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ia.lugo\Desktop\Cuenta publica\CEA\2021\4TO. TRIMESTRE DEL 2021 CEA\"/>
    </mc:Choice>
  </mc:AlternateContent>
  <xr:revisionPtr revIDLastSave="0" documentId="8_{4789A1BC-22EB-44A2-B640-58775C89F704}" xr6:coauthVersionLast="47" xr6:coauthVersionMax="47" xr10:uidLastSave="{00000000-0000-0000-0000-000000000000}"/>
  <bookViews>
    <workbookView xWindow="-120" yWindow="-120" windowWidth="29040" windowHeight="15840" xr2:uid="{D70AD64C-3515-4B46-B43B-DE5FDA62458E}"/>
  </bookViews>
  <sheets>
    <sheet name="ETCA-II-01" sheetId="1" r:id="rId1"/>
    <sheet name="ETCA-II-02" sheetId="2" r:id="rId2"/>
    <sheet name="ETCA-II-03" sheetId="3" r:id="rId3"/>
    <sheet name="ETCA II-04" sheetId="4" r:id="rId4"/>
    <sheet name="ETCA-II-05" sheetId="5" r:id="rId5"/>
    <sheet name="ETCA-II-06" sheetId="6" r:id="rId6"/>
    <sheet name="ETCA-II-07" sheetId="7" r:id="rId7"/>
    <sheet name="ETCA-II-08" sheetId="8" r:id="rId8"/>
    <sheet name="ETCA-II-09" sheetId="9" r:id="rId9"/>
    <sheet name="ETCA-II-10" sheetId="10" r:id="rId10"/>
    <sheet name="ETCA-II-11" sheetId="11" r:id="rId11"/>
    <sheet name="ETCA-II-12" sheetId="12" r:id="rId12"/>
    <sheet name="ETCA-II-13" sheetId="13" r:id="rId13"/>
    <sheet name="ETCA-II-14" sheetId="14" r:id="rId14"/>
    <sheet name="ETCA-II-15" sheetId="15" r:id="rId15"/>
    <sheet name="ETCA-II-16" sheetId="16" r:id="rId16"/>
    <sheet name="ETCA-II-17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0">'ETCA-II-01'!$A$1:$H$52</definedName>
    <definedName name="_xlnm.Print_Area" localSheetId="1">'ETCA-II-02'!$A$1:$I$86</definedName>
    <definedName name="_xlnm.Print_Area" localSheetId="2">'ETCA-II-03'!$A$1:$D$34</definedName>
    <definedName name="_xlnm.Print_Area" localSheetId="4">'ETCA-II-05'!$A$1:$H$164</definedName>
    <definedName name="_xlnm.Print_Area" localSheetId="5">'ETCA-II-06'!$A$1:$G$25</definedName>
    <definedName name="_xlnm.Print_Area" localSheetId="6">'ETCA-II-07'!$A$1:$H$33</definedName>
    <definedName name="_xlnm.Print_Area" localSheetId="7">'ETCA-II-08'!$A$1:$G$42</definedName>
    <definedName name="_xlnm.Print_Area" localSheetId="8">'ETCA-II-09'!$A$1:$G$20</definedName>
    <definedName name="_xlnm.Print_Area" localSheetId="9">'ETCA-II-10'!$A$1:$G$26</definedName>
    <definedName name="_xlnm.Print_Area" localSheetId="10">'ETCA-II-11'!$A$1:$G$48</definedName>
    <definedName name="_xlnm.Print_Area" localSheetId="11">'ETCA-II-12'!$A$1:$H$85</definedName>
    <definedName name="_xlnm.Print_Area" localSheetId="12">'ETCA-II-13'!$A$1:$I$407</definedName>
    <definedName name="_xlnm.Print_Area" localSheetId="13">'ETCA-II-14'!$A$1:$G$38</definedName>
    <definedName name="_xlnm.Print_Area" localSheetId="14">'ETCA-II-15'!$A$1:$C$46</definedName>
    <definedName name="_xlnm.Print_Area" localSheetId="15">'ETCA-II-16'!$A$1:$E$36</definedName>
    <definedName name="_xlnm.Print_Area" localSheetId="16">'ETCA-II-17'!$A$1:$D$37</definedName>
    <definedName name="_xlnm.Database" localSheetId="0">#REF!</definedName>
    <definedName name="_xlnm.Database" localSheetId="2">#REF!</definedName>
    <definedName name="_xlnm.Database" localSheetId="5">#REF!</definedName>
    <definedName name="_xlnm.Database" localSheetId="6">#REF!</definedName>
    <definedName name="_xlnm.Database" localSheetId="12">#REF!</definedName>
    <definedName name="_xlnm.Database" localSheetId="14">#REF!</definedName>
    <definedName name="_xlnm.Database" localSheetId="16">#REF!</definedName>
    <definedName name="_xlnm.Database">#REF!</definedName>
    <definedName name="ppto" localSheetId="12">[5]Hoja2!$B$3:$M$95</definedName>
    <definedName name="ppto">[3]Hoja2!$B$3:$M$95</definedName>
    <definedName name="qw" localSheetId="12">#REF!</definedName>
    <definedName name="qw">#REF!</definedName>
    <definedName name="_xlnm.Print_Titles" localSheetId="0">'ETCA-II-01'!$1:$4</definedName>
    <definedName name="_xlnm.Print_Titles" localSheetId="1">'ETCA-II-02'!$5:$7</definedName>
    <definedName name="_xlnm.Print_Titles" localSheetId="11">'ETCA-II-12'!$6:$7</definedName>
    <definedName name="XXX" localSheetId="12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7" l="1"/>
  <c r="B3" i="17"/>
  <c r="C19" i="17"/>
  <c r="D19" i="17"/>
  <c r="C31" i="17"/>
  <c r="C32" i="17" s="1"/>
  <c r="D31" i="17"/>
  <c r="D32" i="17" s="1"/>
  <c r="A1" i="16"/>
  <c r="A3" i="16"/>
  <c r="D8" i="16"/>
  <c r="E8" i="16" s="1"/>
  <c r="E9" i="16"/>
  <c r="E10" i="16"/>
  <c r="E11" i="16"/>
  <c r="E12" i="16"/>
  <c r="E13" i="16"/>
  <c r="E14" i="16"/>
  <c r="E15" i="16"/>
  <c r="E16" i="16"/>
  <c r="E17" i="16"/>
  <c r="C18" i="16"/>
  <c r="E18" i="16"/>
  <c r="E20" i="16"/>
  <c r="E21" i="16"/>
  <c r="E22" i="16"/>
  <c r="E23" i="16"/>
  <c r="E24" i="16"/>
  <c r="E25" i="16"/>
  <c r="E26" i="16"/>
  <c r="E27" i="16"/>
  <c r="E28" i="16"/>
  <c r="E29" i="16"/>
  <c r="C30" i="16"/>
  <c r="D30" i="16"/>
  <c r="C31" i="16"/>
  <c r="A1" i="15"/>
  <c r="A3" i="15"/>
  <c r="C8" i="15"/>
  <c r="C32" i="15"/>
  <c r="D34" i="15"/>
  <c r="A1" i="14"/>
  <c r="A4" i="14"/>
  <c r="C8" i="14"/>
  <c r="F8" i="14"/>
  <c r="D9" i="14"/>
  <c r="G9" i="14"/>
  <c r="D10" i="14"/>
  <c r="G10" i="14"/>
  <c r="D11" i="14"/>
  <c r="G11" i="14" s="1"/>
  <c r="D12" i="14"/>
  <c r="G12" i="14" s="1"/>
  <c r="D13" i="14"/>
  <c r="G13" i="14"/>
  <c r="D14" i="14"/>
  <c r="G14" i="14"/>
  <c r="B15" i="14"/>
  <c r="B8" i="14" s="1"/>
  <c r="C15" i="14"/>
  <c r="E15" i="14"/>
  <c r="E8" i="14" s="1"/>
  <c r="E31" i="14" s="1"/>
  <c r="F15" i="14"/>
  <c r="D16" i="14"/>
  <c r="G16" i="14"/>
  <c r="D17" i="14"/>
  <c r="D18" i="14"/>
  <c r="G18" i="14" s="1"/>
  <c r="C20" i="14"/>
  <c r="C31" i="14" s="1"/>
  <c r="E20" i="14"/>
  <c r="F20" i="14"/>
  <c r="D21" i="14"/>
  <c r="D22" i="14"/>
  <c r="G22" i="14"/>
  <c r="D23" i="14"/>
  <c r="G23" i="14"/>
  <c r="D24" i="14"/>
  <c r="G24" i="14" s="1"/>
  <c r="D25" i="14"/>
  <c r="G25" i="14" s="1"/>
  <c r="D26" i="14"/>
  <c r="G26" i="14"/>
  <c r="B27" i="14"/>
  <c r="B20" i="14" s="1"/>
  <c r="C27" i="14"/>
  <c r="D27" i="14"/>
  <c r="E27" i="14"/>
  <c r="F27" i="14"/>
  <c r="D28" i="14"/>
  <c r="G28" i="14"/>
  <c r="G27" i="14" s="1"/>
  <c r="D29" i="14"/>
  <c r="G29" i="14"/>
  <c r="D30" i="14"/>
  <c r="G30" i="14" s="1"/>
  <c r="B31" i="14"/>
  <c r="C12" i="13"/>
  <c r="D12" i="13"/>
  <c r="F12" i="13"/>
  <c r="G12" i="13"/>
  <c r="C13" i="13"/>
  <c r="D13" i="13"/>
  <c r="E13" i="13" s="1"/>
  <c r="H13" i="13" s="1"/>
  <c r="F13" i="13"/>
  <c r="G13" i="13"/>
  <c r="I13" i="13"/>
  <c r="C14" i="13"/>
  <c r="D14" i="13"/>
  <c r="E14" i="13"/>
  <c r="I14" i="13" s="1"/>
  <c r="F14" i="13"/>
  <c r="G14" i="13"/>
  <c r="H14" i="13"/>
  <c r="C15" i="13"/>
  <c r="E15" i="13" s="1"/>
  <c r="H15" i="13" s="1"/>
  <c r="D15" i="13"/>
  <c r="F15" i="13"/>
  <c r="G15" i="13"/>
  <c r="C16" i="13"/>
  <c r="D16" i="13"/>
  <c r="E16" i="13"/>
  <c r="H16" i="13" s="1"/>
  <c r="F16" i="13"/>
  <c r="G16" i="13"/>
  <c r="C17" i="13"/>
  <c r="E17" i="13" s="1"/>
  <c r="H17" i="13" s="1"/>
  <c r="D17" i="13"/>
  <c r="F17" i="13"/>
  <c r="G17" i="13"/>
  <c r="C18" i="13"/>
  <c r="D18" i="13"/>
  <c r="E18" i="13"/>
  <c r="H18" i="13" s="1"/>
  <c r="F18" i="13"/>
  <c r="I18" i="13" s="1"/>
  <c r="G18" i="13"/>
  <c r="C19" i="13"/>
  <c r="E19" i="13" s="1"/>
  <c r="D19" i="13"/>
  <c r="F19" i="13"/>
  <c r="G19" i="13"/>
  <c r="H19" i="13"/>
  <c r="G20" i="13"/>
  <c r="G21" i="13"/>
  <c r="C22" i="13"/>
  <c r="D22" i="13"/>
  <c r="D21" i="13" s="1"/>
  <c r="F22" i="13"/>
  <c r="F21" i="13" s="1"/>
  <c r="G22" i="13"/>
  <c r="D23" i="13"/>
  <c r="G23" i="13"/>
  <c r="C24" i="13"/>
  <c r="C23" i="13" s="1"/>
  <c r="E23" i="13" s="1"/>
  <c r="H23" i="13" s="1"/>
  <c r="D24" i="13"/>
  <c r="E24" i="13"/>
  <c r="H24" i="13" s="1"/>
  <c r="F24" i="13"/>
  <c r="F23" i="13" s="1"/>
  <c r="G24" i="13"/>
  <c r="D26" i="13"/>
  <c r="E26" i="13"/>
  <c r="G26" i="13"/>
  <c r="C27" i="13"/>
  <c r="C26" i="13" s="1"/>
  <c r="D27" i="13"/>
  <c r="F27" i="13"/>
  <c r="G27" i="13"/>
  <c r="G28" i="13"/>
  <c r="C29" i="13"/>
  <c r="D29" i="13"/>
  <c r="E29" i="13"/>
  <c r="F29" i="13"/>
  <c r="I29" i="13" s="1"/>
  <c r="G29" i="13"/>
  <c r="H29" i="13"/>
  <c r="C30" i="13"/>
  <c r="E30" i="13" s="1"/>
  <c r="D30" i="13"/>
  <c r="F30" i="13"/>
  <c r="F28" i="13" s="1"/>
  <c r="G30" i="13"/>
  <c r="C31" i="13"/>
  <c r="D31" i="13"/>
  <c r="F31" i="13"/>
  <c r="G31" i="13"/>
  <c r="C32" i="13"/>
  <c r="E32" i="13" s="1"/>
  <c r="H32" i="13" s="1"/>
  <c r="D32" i="13"/>
  <c r="F32" i="13"/>
  <c r="G32" i="13"/>
  <c r="C33" i="13"/>
  <c r="D33" i="13"/>
  <c r="F33" i="13"/>
  <c r="C34" i="13"/>
  <c r="D34" i="13"/>
  <c r="E34" i="13"/>
  <c r="H34" i="13" s="1"/>
  <c r="F34" i="13"/>
  <c r="G34" i="13"/>
  <c r="G33" i="13" s="1"/>
  <c r="C35" i="13"/>
  <c r="E35" i="13" s="1"/>
  <c r="F35" i="13"/>
  <c r="I35" i="13" s="1"/>
  <c r="H35" i="13"/>
  <c r="C36" i="13"/>
  <c r="D36" i="13"/>
  <c r="D35" i="13" s="1"/>
  <c r="F36" i="13"/>
  <c r="G36" i="13"/>
  <c r="G35" i="13" s="1"/>
  <c r="F38" i="13"/>
  <c r="F37" i="13" s="1"/>
  <c r="C39" i="13"/>
  <c r="D39" i="13"/>
  <c r="F39" i="13"/>
  <c r="G39" i="13"/>
  <c r="G38" i="13" s="1"/>
  <c r="C40" i="13"/>
  <c r="C38" i="13" s="1"/>
  <c r="D40" i="13"/>
  <c r="E40" i="13"/>
  <c r="H40" i="13" s="1"/>
  <c r="F40" i="13"/>
  <c r="G40" i="13"/>
  <c r="C41" i="13"/>
  <c r="D41" i="13"/>
  <c r="F41" i="13"/>
  <c r="C42" i="13"/>
  <c r="D42" i="13"/>
  <c r="E42" i="13"/>
  <c r="H42" i="13" s="1"/>
  <c r="F42" i="13"/>
  <c r="G42" i="13"/>
  <c r="G41" i="13" s="1"/>
  <c r="F43" i="13"/>
  <c r="C44" i="13"/>
  <c r="D44" i="13"/>
  <c r="D43" i="13" s="1"/>
  <c r="F44" i="13"/>
  <c r="G44" i="13"/>
  <c r="G43" i="13" s="1"/>
  <c r="C45" i="13"/>
  <c r="D45" i="13"/>
  <c r="E45" i="13"/>
  <c r="F45" i="13"/>
  <c r="I45" i="13" s="1"/>
  <c r="G45" i="13"/>
  <c r="H45" i="13"/>
  <c r="C46" i="13"/>
  <c r="D46" i="13"/>
  <c r="F46" i="13"/>
  <c r="G46" i="13"/>
  <c r="C48" i="13"/>
  <c r="E48" i="13" s="1"/>
  <c r="C49" i="13"/>
  <c r="E49" i="13" s="1"/>
  <c r="H49" i="13" s="1"/>
  <c r="D49" i="13"/>
  <c r="D48" i="13" s="1"/>
  <c r="F49" i="13"/>
  <c r="G49" i="13"/>
  <c r="G48" i="13" s="1"/>
  <c r="G50" i="13"/>
  <c r="C51" i="13"/>
  <c r="C50" i="13" s="1"/>
  <c r="D51" i="13"/>
  <c r="F51" i="13"/>
  <c r="G51" i="13"/>
  <c r="C52" i="13"/>
  <c r="D52" i="13"/>
  <c r="E52" i="13" s="1"/>
  <c r="H52" i="13" s="1"/>
  <c r="F52" i="13"/>
  <c r="G52" i="13"/>
  <c r="C53" i="13"/>
  <c r="D53" i="13"/>
  <c r="E53" i="13"/>
  <c r="F53" i="13"/>
  <c r="G53" i="13"/>
  <c r="C55" i="13"/>
  <c r="E55" i="13" s="1"/>
  <c r="D55" i="13"/>
  <c r="F55" i="13"/>
  <c r="G55" i="13"/>
  <c r="C56" i="13"/>
  <c r="D56" i="13"/>
  <c r="E56" i="13"/>
  <c r="F56" i="13"/>
  <c r="G56" i="13"/>
  <c r="C57" i="13"/>
  <c r="E57" i="13" s="1"/>
  <c r="H57" i="13" s="1"/>
  <c r="D57" i="13"/>
  <c r="F57" i="13"/>
  <c r="I57" i="13" s="1"/>
  <c r="G57" i="13"/>
  <c r="C58" i="13"/>
  <c r="D58" i="13"/>
  <c r="E58" i="13" s="1"/>
  <c r="F58" i="13"/>
  <c r="G58" i="13"/>
  <c r="C59" i="13"/>
  <c r="D59" i="13"/>
  <c r="E59" i="13"/>
  <c r="F59" i="13"/>
  <c r="G59" i="13"/>
  <c r="H59" i="13"/>
  <c r="C60" i="13"/>
  <c r="E60" i="13" s="1"/>
  <c r="D60" i="13"/>
  <c r="F60" i="13"/>
  <c r="I60" i="13" s="1"/>
  <c r="G60" i="13"/>
  <c r="C61" i="13"/>
  <c r="D61" i="13"/>
  <c r="E61" i="13" s="1"/>
  <c r="F61" i="13"/>
  <c r="G61" i="13"/>
  <c r="C62" i="13"/>
  <c r="E62" i="13" s="1"/>
  <c r="H62" i="13" s="1"/>
  <c r="D62" i="13"/>
  <c r="F62" i="13"/>
  <c r="G62" i="13"/>
  <c r="C63" i="13"/>
  <c r="D63" i="13"/>
  <c r="F63" i="13"/>
  <c r="G63" i="13"/>
  <c r="C64" i="13"/>
  <c r="D64" i="13"/>
  <c r="E64" i="13"/>
  <c r="H64" i="13" s="1"/>
  <c r="F64" i="13"/>
  <c r="G64" i="13"/>
  <c r="C65" i="13"/>
  <c r="E65" i="13" s="1"/>
  <c r="H65" i="13" s="1"/>
  <c r="D65" i="13"/>
  <c r="F65" i="13"/>
  <c r="G65" i="13"/>
  <c r="C66" i="13"/>
  <c r="D66" i="13"/>
  <c r="E66" i="13" s="1"/>
  <c r="H66" i="13" s="1"/>
  <c r="F66" i="13"/>
  <c r="G66" i="13"/>
  <c r="I66" i="13"/>
  <c r="C67" i="13"/>
  <c r="D67" i="13"/>
  <c r="E67" i="13"/>
  <c r="F67" i="13"/>
  <c r="I67" i="13" s="1"/>
  <c r="G67" i="13"/>
  <c r="H67" i="13"/>
  <c r="C68" i="13"/>
  <c r="E68" i="13" s="1"/>
  <c r="H68" i="13" s="1"/>
  <c r="D68" i="13"/>
  <c r="F68" i="13"/>
  <c r="I68" i="13" s="1"/>
  <c r="G68" i="13"/>
  <c r="D69" i="13"/>
  <c r="G69" i="13"/>
  <c r="C70" i="13"/>
  <c r="C69" i="13" s="1"/>
  <c r="D70" i="13"/>
  <c r="E70" i="13"/>
  <c r="H70" i="13" s="1"/>
  <c r="F70" i="13"/>
  <c r="F69" i="13" s="1"/>
  <c r="G70" i="13"/>
  <c r="D71" i="13"/>
  <c r="F71" i="13"/>
  <c r="D72" i="13"/>
  <c r="F72" i="13"/>
  <c r="G72" i="13"/>
  <c r="G71" i="13" s="1"/>
  <c r="C73" i="13"/>
  <c r="D74" i="13"/>
  <c r="C76" i="13"/>
  <c r="D76" i="13"/>
  <c r="D75" i="13" s="1"/>
  <c r="F76" i="13"/>
  <c r="G76" i="13"/>
  <c r="G75" i="13" s="1"/>
  <c r="G74" i="13" s="1"/>
  <c r="C77" i="13"/>
  <c r="D77" i="13"/>
  <c r="E77" i="13"/>
  <c r="H77" i="13" s="1"/>
  <c r="F77" i="13"/>
  <c r="G77" i="13"/>
  <c r="C78" i="13"/>
  <c r="D78" i="13"/>
  <c r="F78" i="13"/>
  <c r="G78" i="13"/>
  <c r="C82" i="13"/>
  <c r="F82" i="13"/>
  <c r="C83" i="13"/>
  <c r="D83" i="13"/>
  <c r="F83" i="13"/>
  <c r="G83" i="13"/>
  <c r="G82" i="13" s="1"/>
  <c r="C84" i="13"/>
  <c r="C85" i="13"/>
  <c r="E85" i="13" s="1"/>
  <c r="H85" i="13" s="1"/>
  <c r="D85" i="13"/>
  <c r="D84" i="13" s="1"/>
  <c r="E84" i="13" s="1"/>
  <c r="H84" i="13" s="1"/>
  <c r="F85" i="13"/>
  <c r="F84" i="13" s="1"/>
  <c r="G85" i="13"/>
  <c r="G84" i="13" s="1"/>
  <c r="I85" i="13"/>
  <c r="D86" i="13"/>
  <c r="G86" i="13"/>
  <c r="C87" i="13"/>
  <c r="D87" i="13"/>
  <c r="F87" i="13"/>
  <c r="G87" i="13"/>
  <c r="D88" i="13"/>
  <c r="F88" i="13"/>
  <c r="C89" i="13"/>
  <c r="D89" i="13"/>
  <c r="E89" i="13"/>
  <c r="F89" i="13"/>
  <c r="I89" i="13" s="1"/>
  <c r="G89" i="13"/>
  <c r="H89" i="13"/>
  <c r="C90" i="13"/>
  <c r="E90" i="13" s="1"/>
  <c r="F90" i="13"/>
  <c r="G90" i="13"/>
  <c r="G88" i="13" s="1"/>
  <c r="C91" i="13"/>
  <c r="E91" i="13" s="1"/>
  <c r="H91" i="13"/>
  <c r="C92" i="13"/>
  <c r="D92" i="13"/>
  <c r="D91" i="13" s="1"/>
  <c r="F92" i="13"/>
  <c r="F91" i="13" s="1"/>
  <c r="G92" i="13"/>
  <c r="G91" i="13" s="1"/>
  <c r="F93" i="13"/>
  <c r="C94" i="13"/>
  <c r="C93" i="13" s="1"/>
  <c r="E93" i="13" s="1"/>
  <c r="H93" i="13" s="1"/>
  <c r="D94" i="13"/>
  <c r="E94" i="13"/>
  <c r="H94" i="13" s="1"/>
  <c r="F94" i="13"/>
  <c r="G94" i="13"/>
  <c r="G93" i="13" s="1"/>
  <c r="G95" i="13"/>
  <c r="C96" i="13"/>
  <c r="D96" i="13"/>
  <c r="F96" i="13"/>
  <c r="G96" i="13"/>
  <c r="C97" i="13"/>
  <c r="E97" i="13" s="1"/>
  <c r="D97" i="13"/>
  <c r="D95" i="13" s="1"/>
  <c r="F97" i="13"/>
  <c r="G97" i="13"/>
  <c r="D99" i="13"/>
  <c r="G99" i="13"/>
  <c r="C100" i="13"/>
  <c r="C99" i="13" s="1"/>
  <c r="D100" i="13"/>
  <c r="E100" i="13"/>
  <c r="H100" i="13" s="1"/>
  <c r="F100" i="13"/>
  <c r="I100" i="13" s="1"/>
  <c r="G100" i="13"/>
  <c r="C101" i="13"/>
  <c r="E101" i="13" s="1"/>
  <c r="D101" i="13"/>
  <c r="F101" i="13"/>
  <c r="G101" i="13"/>
  <c r="D102" i="13"/>
  <c r="G102" i="13"/>
  <c r="C103" i="13"/>
  <c r="C102" i="13" s="1"/>
  <c r="D103" i="13"/>
  <c r="F103" i="13"/>
  <c r="F102" i="13" s="1"/>
  <c r="G103" i="13"/>
  <c r="D104" i="13"/>
  <c r="D105" i="13"/>
  <c r="G105" i="13"/>
  <c r="G104" i="13" s="1"/>
  <c r="C106" i="13"/>
  <c r="D106" i="13"/>
  <c r="F106" i="13"/>
  <c r="G106" i="13"/>
  <c r="G108" i="13"/>
  <c r="C109" i="13"/>
  <c r="D109" i="13"/>
  <c r="D108" i="13" s="1"/>
  <c r="F109" i="13"/>
  <c r="F108" i="13" s="1"/>
  <c r="G109" i="13"/>
  <c r="F110" i="13"/>
  <c r="C111" i="13"/>
  <c r="C110" i="13" s="1"/>
  <c r="E110" i="13" s="1"/>
  <c r="H110" i="13" s="1"/>
  <c r="D111" i="13"/>
  <c r="E111" i="13"/>
  <c r="H111" i="13" s="1"/>
  <c r="F111" i="13"/>
  <c r="G111" i="13"/>
  <c r="G110" i="13" s="1"/>
  <c r="F112" i="13"/>
  <c r="C113" i="13"/>
  <c r="C112" i="13" s="1"/>
  <c r="E112" i="13" s="1"/>
  <c r="H112" i="13" s="1"/>
  <c r="D113" i="13"/>
  <c r="E113" i="13" s="1"/>
  <c r="H113" i="13" s="1"/>
  <c r="F113" i="13"/>
  <c r="G113" i="13"/>
  <c r="G112" i="13" s="1"/>
  <c r="C114" i="13"/>
  <c r="E114" i="13"/>
  <c r="C115" i="13"/>
  <c r="D115" i="13"/>
  <c r="E115" i="13" s="1"/>
  <c r="H115" i="13" s="1"/>
  <c r="F115" i="13"/>
  <c r="F114" i="13" s="1"/>
  <c r="G115" i="13"/>
  <c r="G114" i="13" s="1"/>
  <c r="C116" i="13"/>
  <c r="F116" i="13"/>
  <c r="C117" i="13"/>
  <c r="D117" i="13"/>
  <c r="F117" i="13"/>
  <c r="G117" i="13"/>
  <c r="G116" i="13" s="1"/>
  <c r="C118" i="13"/>
  <c r="E118" i="13" s="1"/>
  <c r="H118" i="13"/>
  <c r="C119" i="13"/>
  <c r="D119" i="13"/>
  <c r="D118" i="13" s="1"/>
  <c r="F119" i="13"/>
  <c r="F118" i="13" s="1"/>
  <c r="G119" i="13"/>
  <c r="G118" i="13" s="1"/>
  <c r="D120" i="13"/>
  <c r="G120" i="13"/>
  <c r="C121" i="13"/>
  <c r="D121" i="13"/>
  <c r="F121" i="13"/>
  <c r="G121" i="13"/>
  <c r="G122" i="13"/>
  <c r="C123" i="13"/>
  <c r="F123" i="13"/>
  <c r="G123" i="13"/>
  <c r="C124" i="13"/>
  <c r="D124" i="13"/>
  <c r="F124" i="13"/>
  <c r="G124" i="13"/>
  <c r="C125" i="13"/>
  <c r="F125" i="13"/>
  <c r="C126" i="13"/>
  <c r="D126" i="13"/>
  <c r="F126" i="13"/>
  <c r="G126" i="13"/>
  <c r="G125" i="13" s="1"/>
  <c r="C127" i="13"/>
  <c r="C128" i="13"/>
  <c r="D128" i="13"/>
  <c r="F128" i="13"/>
  <c r="G128" i="13"/>
  <c r="G127" i="13" s="1"/>
  <c r="G129" i="13"/>
  <c r="C130" i="13"/>
  <c r="E130" i="13" s="1"/>
  <c r="H130" i="13" s="1"/>
  <c r="D130" i="13"/>
  <c r="D129" i="13" s="1"/>
  <c r="F130" i="13"/>
  <c r="F129" i="13" s="1"/>
  <c r="G130" i="13"/>
  <c r="I130" i="13"/>
  <c r="D131" i="13"/>
  <c r="G131" i="13"/>
  <c r="C132" i="13"/>
  <c r="C131" i="13" s="1"/>
  <c r="E131" i="13" s="1"/>
  <c r="D132" i="13"/>
  <c r="F132" i="13"/>
  <c r="G132" i="13"/>
  <c r="D134" i="13"/>
  <c r="D133" i="13" s="1"/>
  <c r="C135" i="13"/>
  <c r="C134" i="13" s="1"/>
  <c r="E134" i="13" s="1"/>
  <c r="D135" i="13"/>
  <c r="F135" i="13"/>
  <c r="G135" i="13"/>
  <c r="C136" i="13"/>
  <c r="D136" i="13"/>
  <c r="E136" i="13" s="1"/>
  <c r="H136" i="13" s="1"/>
  <c r="F136" i="13"/>
  <c r="G136" i="13"/>
  <c r="G134" i="13" s="1"/>
  <c r="G133" i="13" s="1"/>
  <c r="I136" i="13"/>
  <c r="C138" i="13"/>
  <c r="F138" i="13"/>
  <c r="C139" i="13"/>
  <c r="D139" i="13"/>
  <c r="E139" i="13" s="1"/>
  <c r="F139" i="13"/>
  <c r="G139" i="13"/>
  <c r="G138" i="13" s="1"/>
  <c r="G137" i="13" s="1"/>
  <c r="F140" i="13"/>
  <c r="C141" i="13"/>
  <c r="D141" i="13"/>
  <c r="D140" i="13" s="1"/>
  <c r="F141" i="13"/>
  <c r="G141" i="13"/>
  <c r="G140" i="13" s="1"/>
  <c r="C143" i="13"/>
  <c r="D143" i="13"/>
  <c r="E143" i="13" s="1"/>
  <c r="H143" i="13" s="1"/>
  <c r="C144" i="13"/>
  <c r="D144" i="13"/>
  <c r="E144" i="13"/>
  <c r="H144" i="13" s="1"/>
  <c r="F144" i="13"/>
  <c r="F143" i="13" s="1"/>
  <c r="G144" i="13"/>
  <c r="G143" i="13" s="1"/>
  <c r="I144" i="13"/>
  <c r="F145" i="13"/>
  <c r="C146" i="13"/>
  <c r="D146" i="13"/>
  <c r="D145" i="13" s="1"/>
  <c r="F146" i="13"/>
  <c r="G146" i="13"/>
  <c r="G145" i="13" s="1"/>
  <c r="D147" i="13"/>
  <c r="G147" i="13"/>
  <c r="C148" i="13"/>
  <c r="C147" i="13" s="1"/>
  <c r="E147" i="13" s="1"/>
  <c r="D148" i="13"/>
  <c r="E148" i="13"/>
  <c r="F148" i="13"/>
  <c r="F147" i="13" s="1"/>
  <c r="G148" i="13"/>
  <c r="F149" i="13"/>
  <c r="C150" i="13"/>
  <c r="C149" i="13" s="1"/>
  <c r="D150" i="13"/>
  <c r="D149" i="13" s="1"/>
  <c r="F150" i="13"/>
  <c r="G150" i="13"/>
  <c r="G149" i="13" s="1"/>
  <c r="C151" i="13"/>
  <c r="D151" i="13"/>
  <c r="E151" i="13" s="1"/>
  <c r="H151" i="13" s="1"/>
  <c r="G151" i="13"/>
  <c r="C152" i="13"/>
  <c r="D152" i="13"/>
  <c r="E152" i="13"/>
  <c r="H152" i="13" s="1"/>
  <c r="F152" i="13"/>
  <c r="F151" i="13" s="1"/>
  <c r="G152" i="13"/>
  <c r="I152" i="13"/>
  <c r="F153" i="13"/>
  <c r="C154" i="13"/>
  <c r="D154" i="13"/>
  <c r="D153" i="13" s="1"/>
  <c r="F154" i="13"/>
  <c r="G154" i="13"/>
  <c r="G153" i="13" s="1"/>
  <c r="C155" i="13"/>
  <c r="D155" i="13"/>
  <c r="E155" i="13" s="1"/>
  <c r="G155" i="13"/>
  <c r="C156" i="13"/>
  <c r="D156" i="13"/>
  <c r="E156" i="13"/>
  <c r="F156" i="13"/>
  <c r="F155" i="13" s="1"/>
  <c r="I155" i="13" s="1"/>
  <c r="G156" i="13"/>
  <c r="E157" i="13"/>
  <c r="H157" i="13" s="1"/>
  <c r="F160" i="13"/>
  <c r="C161" i="13"/>
  <c r="C160" i="13" s="1"/>
  <c r="D161" i="13"/>
  <c r="D160" i="13" s="1"/>
  <c r="F161" i="13"/>
  <c r="G161" i="13"/>
  <c r="G160" i="13" s="1"/>
  <c r="G159" i="13" s="1"/>
  <c r="C162" i="13"/>
  <c r="D162" i="13"/>
  <c r="E162" i="13" s="1"/>
  <c r="G162" i="13"/>
  <c r="C163" i="13"/>
  <c r="D163" i="13"/>
  <c r="E163" i="13"/>
  <c r="H163" i="13" s="1"/>
  <c r="F163" i="13"/>
  <c r="F162" i="13" s="1"/>
  <c r="I162" i="13" s="1"/>
  <c r="G163" i="13"/>
  <c r="I163" i="13"/>
  <c r="F164" i="13"/>
  <c r="C165" i="13"/>
  <c r="D165" i="13"/>
  <c r="D164" i="13" s="1"/>
  <c r="F165" i="13"/>
  <c r="G165" i="13"/>
  <c r="G164" i="13" s="1"/>
  <c r="C166" i="13"/>
  <c r="E166" i="13" s="1"/>
  <c r="H166" i="13" s="1"/>
  <c r="D166" i="13"/>
  <c r="G166" i="13"/>
  <c r="C167" i="13"/>
  <c r="D167" i="13"/>
  <c r="E167" i="13"/>
  <c r="F167" i="13"/>
  <c r="F166" i="13" s="1"/>
  <c r="G167" i="13"/>
  <c r="F168" i="13"/>
  <c r="I168" i="13" s="1"/>
  <c r="C169" i="13"/>
  <c r="C168" i="13" s="1"/>
  <c r="E168" i="13" s="1"/>
  <c r="D169" i="13"/>
  <c r="D168" i="13" s="1"/>
  <c r="F169" i="13"/>
  <c r="G169" i="13"/>
  <c r="G168" i="13" s="1"/>
  <c r="C170" i="13"/>
  <c r="D170" i="13"/>
  <c r="E170" i="13" s="1"/>
  <c r="C171" i="13"/>
  <c r="D171" i="13"/>
  <c r="E171" i="13"/>
  <c r="H171" i="13" s="1"/>
  <c r="F171" i="13"/>
  <c r="F170" i="13" s="1"/>
  <c r="H170" i="13" s="1"/>
  <c r="G171" i="13"/>
  <c r="G170" i="13" s="1"/>
  <c r="C172" i="13"/>
  <c r="D172" i="13"/>
  <c r="E172" i="13" s="1"/>
  <c r="G172" i="13"/>
  <c r="C173" i="13"/>
  <c r="D173" i="13"/>
  <c r="E173" i="13"/>
  <c r="F173" i="13"/>
  <c r="F172" i="13" s="1"/>
  <c r="I172" i="13" s="1"/>
  <c r="G173" i="13"/>
  <c r="F174" i="13"/>
  <c r="C175" i="13"/>
  <c r="C174" i="13" s="1"/>
  <c r="D175" i="13"/>
  <c r="D174" i="13" s="1"/>
  <c r="F175" i="13"/>
  <c r="G175" i="13"/>
  <c r="G174" i="13" s="1"/>
  <c r="D177" i="13"/>
  <c r="C178" i="13"/>
  <c r="C177" i="13" s="1"/>
  <c r="D178" i="13"/>
  <c r="E178" i="13"/>
  <c r="H178" i="13" s="1"/>
  <c r="F178" i="13"/>
  <c r="F177" i="13" s="1"/>
  <c r="G178" i="13"/>
  <c r="G177" i="13" s="1"/>
  <c r="C179" i="13"/>
  <c r="F179" i="13"/>
  <c r="G179" i="13"/>
  <c r="C180" i="13"/>
  <c r="D180" i="13"/>
  <c r="F180" i="13"/>
  <c r="G180" i="13"/>
  <c r="C182" i="13"/>
  <c r="C181" i="13" s="1"/>
  <c r="D182" i="13"/>
  <c r="F182" i="13"/>
  <c r="G182" i="13"/>
  <c r="C183" i="13"/>
  <c r="E183" i="13" s="1"/>
  <c r="H183" i="13" s="1"/>
  <c r="D183" i="13"/>
  <c r="D181" i="13" s="1"/>
  <c r="E181" i="13" s="1"/>
  <c r="F183" i="13"/>
  <c r="I183" i="13" s="1"/>
  <c r="G183" i="13"/>
  <c r="C184" i="13"/>
  <c r="D184" i="13"/>
  <c r="E184" i="13" s="1"/>
  <c r="H184" i="13" s="1"/>
  <c r="G184" i="13"/>
  <c r="C185" i="13"/>
  <c r="D185" i="13"/>
  <c r="E185" i="13"/>
  <c r="H185" i="13" s="1"/>
  <c r="F185" i="13"/>
  <c r="F184" i="13" s="1"/>
  <c r="G185" i="13"/>
  <c r="I185" i="13"/>
  <c r="F186" i="13"/>
  <c r="C187" i="13"/>
  <c r="D187" i="13"/>
  <c r="D186" i="13" s="1"/>
  <c r="F187" i="13"/>
  <c r="G187" i="13"/>
  <c r="G186" i="13" s="1"/>
  <c r="C188" i="13"/>
  <c r="D188" i="13"/>
  <c r="E188" i="13" s="1"/>
  <c r="G188" i="13"/>
  <c r="C189" i="13"/>
  <c r="D189" i="13"/>
  <c r="E189" i="13"/>
  <c r="F189" i="13"/>
  <c r="F188" i="13" s="1"/>
  <c r="I188" i="13" s="1"/>
  <c r="G189" i="13"/>
  <c r="C191" i="13"/>
  <c r="F191" i="13"/>
  <c r="G191" i="13"/>
  <c r="C192" i="13"/>
  <c r="D192" i="13"/>
  <c r="D191" i="13" s="1"/>
  <c r="F192" i="13"/>
  <c r="G192" i="13"/>
  <c r="D193" i="13"/>
  <c r="E193" i="13"/>
  <c r="C194" i="13"/>
  <c r="C193" i="13" s="1"/>
  <c r="D194" i="13"/>
  <c r="F194" i="13"/>
  <c r="G194" i="13"/>
  <c r="G193" i="13" s="1"/>
  <c r="C195" i="13"/>
  <c r="G195" i="13"/>
  <c r="C196" i="13"/>
  <c r="D196" i="13"/>
  <c r="F196" i="13"/>
  <c r="G196" i="13"/>
  <c r="C197" i="13"/>
  <c r="D197" i="13"/>
  <c r="E197" i="13"/>
  <c r="H197" i="13" s="1"/>
  <c r="F197" i="13"/>
  <c r="F195" i="13" s="1"/>
  <c r="G197" i="13"/>
  <c r="F198" i="13"/>
  <c r="C199" i="13"/>
  <c r="D199" i="13"/>
  <c r="D198" i="13" s="1"/>
  <c r="F199" i="13"/>
  <c r="G199" i="13"/>
  <c r="G198" i="13" s="1"/>
  <c r="D200" i="13"/>
  <c r="C201" i="13"/>
  <c r="D201" i="13"/>
  <c r="E201" i="13"/>
  <c r="H201" i="13" s="1"/>
  <c r="F201" i="13"/>
  <c r="F200" i="13" s="1"/>
  <c r="G201" i="13"/>
  <c r="C202" i="13"/>
  <c r="D202" i="13"/>
  <c r="F202" i="13"/>
  <c r="G202" i="13"/>
  <c r="G200" i="13" s="1"/>
  <c r="C203" i="13"/>
  <c r="D203" i="13"/>
  <c r="E203" i="13" s="1"/>
  <c r="I203" i="13" s="1"/>
  <c r="F203" i="13"/>
  <c r="G203" i="13"/>
  <c r="C204" i="13"/>
  <c r="D204" i="13"/>
  <c r="E204" i="13"/>
  <c r="H204" i="13" s="1"/>
  <c r="F204" i="13"/>
  <c r="G204" i="13"/>
  <c r="I204" i="13"/>
  <c r="F205" i="13"/>
  <c r="C206" i="13"/>
  <c r="D206" i="13"/>
  <c r="D205" i="13" s="1"/>
  <c r="F206" i="13"/>
  <c r="G206" i="13"/>
  <c r="G205" i="13" s="1"/>
  <c r="C207" i="13"/>
  <c r="D207" i="13"/>
  <c r="E207" i="13" s="1"/>
  <c r="H207" i="13" s="1"/>
  <c r="G207" i="13"/>
  <c r="C208" i="13"/>
  <c r="D208" i="13"/>
  <c r="E208" i="13"/>
  <c r="H208" i="13" s="1"/>
  <c r="F208" i="13"/>
  <c r="F207" i="13" s="1"/>
  <c r="G208" i="13"/>
  <c r="C210" i="13"/>
  <c r="F210" i="13"/>
  <c r="G210" i="13"/>
  <c r="G209" i="13" s="1"/>
  <c r="C211" i="13"/>
  <c r="E211" i="13" s="1"/>
  <c r="I211" i="13" s="1"/>
  <c r="D211" i="13"/>
  <c r="D210" i="13" s="1"/>
  <c r="F211" i="13"/>
  <c r="G211" i="13"/>
  <c r="H211" i="13"/>
  <c r="D212" i="13"/>
  <c r="E212" i="13"/>
  <c r="H212" i="13" s="1"/>
  <c r="F212" i="13"/>
  <c r="I212" i="13" s="1"/>
  <c r="C213" i="13"/>
  <c r="C212" i="13" s="1"/>
  <c r="D213" i="13"/>
  <c r="E213" i="13"/>
  <c r="H213" i="13" s="1"/>
  <c r="F213" i="13"/>
  <c r="G213" i="13"/>
  <c r="G212" i="13" s="1"/>
  <c r="I213" i="13"/>
  <c r="C214" i="13"/>
  <c r="F214" i="13"/>
  <c r="G214" i="13"/>
  <c r="C215" i="13"/>
  <c r="D215" i="13"/>
  <c r="D214" i="13" s="1"/>
  <c r="E215" i="13"/>
  <c r="F215" i="13"/>
  <c r="G215" i="13"/>
  <c r="D216" i="13"/>
  <c r="E216" i="13" s="1"/>
  <c r="H216" i="13"/>
  <c r="C217" i="13"/>
  <c r="C216" i="13" s="1"/>
  <c r="D217" i="13"/>
  <c r="E217" i="13"/>
  <c r="F217" i="13"/>
  <c r="F216" i="13" s="1"/>
  <c r="G217" i="13"/>
  <c r="G216" i="13" s="1"/>
  <c r="C219" i="13"/>
  <c r="E219" i="13" s="1"/>
  <c r="H219" i="13" s="1"/>
  <c r="G219" i="13"/>
  <c r="C220" i="13"/>
  <c r="D220" i="13"/>
  <c r="D219" i="13" s="1"/>
  <c r="E220" i="13"/>
  <c r="I220" i="13" s="1"/>
  <c r="F220" i="13"/>
  <c r="F219" i="13" s="1"/>
  <c r="G220" i="13"/>
  <c r="H220" i="13"/>
  <c r="G221" i="13"/>
  <c r="C222" i="13"/>
  <c r="D222" i="13"/>
  <c r="D221" i="13" s="1"/>
  <c r="F222" i="13"/>
  <c r="F221" i="13" s="1"/>
  <c r="G222" i="13"/>
  <c r="D223" i="13"/>
  <c r="G223" i="13"/>
  <c r="C224" i="13"/>
  <c r="D224" i="13"/>
  <c r="E224" i="13"/>
  <c r="F224" i="13"/>
  <c r="F223" i="13" s="1"/>
  <c r="G224" i="13"/>
  <c r="H224" i="13"/>
  <c r="C225" i="13"/>
  <c r="E225" i="13" s="1"/>
  <c r="H225" i="13" s="1"/>
  <c r="D225" i="13"/>
  <c r="F225" i="13"/>
  <c r="G225" i="13"/>
  <c r="C226" i="13"/>
  <c r="F226" i="13"/>
  <c r="G226" i="13"/>
  <c r="C227" i="13"/>
  <c r="D227" i="13"/>
  <c r="F227" i="13"/>
  <c r="G227" i="13"/>
  <c r="C229" i="13"/>
  <c r="C228" i="13" s="1"/>
  <c r="E228" i="13" s="1"/>
  <c r="D229" i="13"/>
  <c r="D228" i="13" s="1"/>
  <c r="F229" i="13"/>
  <c r="G229" i="13"/>
  <c r="G228" i="13" s="1"/>
  <c r="C230" i="13"/>
  <c r="E230" i="13" s="1"/>
  <c r="H230" i="13" s="1"/>
  <c r="D230" i="13"/>
  <c r="F230" i="13"/>
  <c r="G230" i="13"/>
  <c r="D231" i="13"/>
  <c r="F231" i="13"/>
  <c r="C232" i="13"/>
  <c r="C231" i="13" s="1"/>
  <c r="E231" i="13" s="1"/>
  <c r="D232" i="13"/>
  <c r="F232" i="13"/>
  <c r="G232" i="13"/>
  <c r="G231" i="13" s="1"/>
  <c r="C233" i="13"/>
  <c r="F233" i="13"/>
  <c r="G233" i="13"/>
  <c r="C234" i="13"/>
  <c r="D234" i="13"/>
  <c r="F234" i="13"/>
  <c r="G234" i="13"/>
  <c r="C236" i="13"/>
  <c r="F236" i="13"/>
  <c r="C237" i="13"/>
  <c r="E237" i="13" s="1"/>
  <c r="H237" i="13" s="1"/>
  <c r="D237" i="13"/>
  <c r="D236" i="13" s="1"/>
  <c r="F237" i="13"/>
  <c r="I237" i="13" s="1"/>
  <c r="G237" i="13"/>
  <c r="G236" i="13" s="1"/>
  <c r="G235" i="13" s="1"/>
  <c r="C238" i="13"/>
  <c r="D238" i="13"/>
  <c r="E238" i="13"/>
  <c r="C239" i="13"/>
  <c r="D239" i="13"/>
  <c r="E239" i="13"/>
  <c r="H239" i="13" s="1"/>
  <c r="F239" i="13"/>
  <c r="F238" i="13" s="1"/>
  <c r="I238" i="13" s="1"/>
  <c r="G239" i="13"/>
  <c r="G238" i="13" s="1"/>
  <c r="I239" i="13"/>
  <c r="F240" i="13"/>
  <c r="G240" i="13"/>
  <c r="C241" i="13"/>
  <c r="D241" i="13"/>
  <c r="D240" i="13" s="1"/>
  <c r="F241" i="13"/>
  <c r="G241" i="13"/>
  <c r="D242" i="13"/>
  <c r="C243" i="13"/>
  <c r="C242" i="13" s="1"/>
  <c r="D243" i="13"/>
  <c r="E243" i="13"/>
  <c r="H243" i="13" s="1"/>
  <c r="F243" i="13"/>
  <c r="F242" i="13" s="1"/>
  <c r="G243" i="13"/>
  <c r="G242" i="13" s="1"/>
  <c r="C245" i="13"/>
  <c r="E245" i="13" s="1"/>
  <c r="D245" i="13"/>
  <c r="G245" i="13"/>
  <c r="C246" i="13"/>
  <c r="D246" i="13"/>
  <c r="E246" i="13"/>
  <c r="I246" i="13" s="1"/>
  <c r="F246" i="13"/>
  <c r="G246" i="13"/>
  <c r="H246" i="13"/>
  <c r="C247" i="13"/>
  <c r="D247" i="13"/>
  <c r="E247" i="13"/>
  <c r="F247" i="13"/>
  <c r="G247" i="13"/>
  <c r="C248" i="13"/>
  <c r="G248" i="13"/>
  <c r="C249" i="13"/>
  <c r="D249" i="13"/>
  <c r="F249" i="13"/>
  <c r="F248" i="13" s="1"/>
  <c r="G249" i="13"/>
  <c r="C251" i="13"/>
  <c r="D251" i="13"/>
  <c r="D250" i="13" s="1"/>
  <c r="F251" i="13"/>
  <c r="G251" i="13"/>
  <c r="G250" i="13" s="1"/>
  <c r="C252" i="13"/>
  <c r="D252" i="13"/>
  <c r="F252" i="13"/>
  <c r="G252" i="13"/>
  <c r="D253" i="13"/>
  <c r="E253" i="13"/>
  <c r="H253" i="13" s="1"/>
  <c r="C254" i="13"/>
  <c r="C253" i="13" s="1"/>
  <c r="D254" i="13"/>
  <c r="F254" i="13"/>
  <c r="F253" i="13" s="1"/>
  <c r="G254" i="13"/>
  <c r="G253" i="13" s="1"/>
  <c r="D255" i="13"/>
  <c r="I255" i="13"/>
  <c r="C256" i="13"/>
  <c r="C255" i="13" s="1"/>
  <c r="E255" i="13" s="1"/>
  <c r="H255" i="13" s="1"/>
  <c r="D256" i="13"/>
  <c r="E256" i="13"/>
  <c r="H256" i="13" s="1"/>
  <c r="F256" i="13"/>
  <c r="F255" i="13" s="1"/>
  <c r="G256" i="13"/>
  <c r="G255" i="13" s="1"/>
  <c r="C257" i="13"/>
  <c r="F257" i="13"/>
  <c r="C258" i="13"/>
  <c r="E258" i="13" s="1"/>
  <c r="D258" i="13"/>
  <c r="D257" i="13" s="1"/>
  <c r="F258" i="13"/>
  <c r="G258" i="13"/>
  <c r="G257" i="13" s="1"/>
  <c r="F260" i="13"/>
  <c r="C261" i="13"/>
  <c r="C260" i="13" s="1"/>
  <c r="D261" i="13"/>
  <c r="D260" i="13" s="1"/>
  <c r="D259" i="13" s="1"/>
  <c r="F261" i="13"/>
  <c r="G261" i="13"/>
  <c r="G260" i="13" s="1"/>
  <c r="C263" i="13"/>
  <c r="E263" i="13" s="1"/>
  <c r="H263" i="13" s="1"/>
  <c r="D263" i="13"/>
  <c r="F263" i="13"/>
  <c r="F262" i="13" s="1"/>
  <c r="G263" i="13"/>
  <c r="G262" i="13" s="1"/>
  <c r="D264" i="13"/>
  <c r="C265" i="13"/>
  <c r="C264" i="13" s="1"/>
  <c r="E264" i="13" s="1"/>
  <c r="D265" i="13"/>
  <c r="E265" i="13"/>
  <c r="F265" i="13"/>
  <c r="G265" i="13"/>
  <c r="G264" i="13" s="1"/>
  <c r="C266" i="13"/>
  <c r="E266" i="13" s="1"/>
  <c r="G266" i="13"/>
  <c r="C267" i="13"/>
  <c r="D267" i="13"/>
  <c r="E267" i="13"/>
  <c r="H267" i="13" s="1"/>
  <c r="F267" i="13"/>
  <c r="F266" i="13" s="1"/>
  <c r="H266" i="13" s="1"/>
  <c r="G267" i="13"/>
  <c r="D269" i="13"/>
  <c r="C270" i="13"/>
  <c r="C269" i="13" s="1"/>
  <c r="E269" i="13" s="1"/>
  <c r="I269" i="13" s="1"/>
  <c r="D270" i="13"/>
  <c r="E270" i="13"/>
  <c r="F270" i="13"/>
  <c r="F269" i="13" s="1"/>
  <c r="G270" i="13"/>
  <c r="G269" i="13" s="1"/>
  <c r="C271" i="13"/>
  <c r="E271" i="13" s="1"/>
  <c r="H271" i="13" s="1"/>
  <c r="F271" i="13"/>
  <c r="G271" i="13"/>
  <c r="C272" i="13"/>
  <c r="D272" i="13"/>
  <c r="D271" i="13" s="1"/>
  <c r="F272" i="13"/>
  <c r="G272" i="13"/>
  <c r="D273" i="13"/>
  <c r="E273" i="13" s="1"/>
  <c r="C274" i="13"/>
  <c r="C273" i="13" s="1"/>
  <c r="D274" i="13"/>
  <c r="E274" i="13"/>
  <c r="H274" i="13" s="1"/>
  <c r="F274" i="13"/>
  <c r="G274" i="13"/>
  <c r="G273" i="13" s="1"/>
  <c r="C275" i="13"/>
  <c r="E275" i="13" s="1"/>
  <c r="H275" i="13" s="1"/>
  <c r="F275" i="13"/>
  <c r="C276" i="13"/>
  <c r="D276" i="13"/>
  <c r="D275" i="13" s="1"/>
  <c r="F276" i="13"/>
  <c r="G276" i="13"/>
  <c r="G275" i="13" s="1"/>
  <c r="H277" i="13"/>
  <c r="C280" i="13"/>
  <c r="C279" i="13" s="1"/>
  <c r="F280" i="13"/>
  <c r="D281" i="13"/>
  <c r="F281" i="13"/>
  <c r="G281" i="13"/>
  <c r="G280" i="13" s="1"/>
  <c r="C282" i="13"/>
  <c r="D282" i="13"/>
  <c r="E282" i="13"/>
  <c r="D283" i="13"/>
  <c r="E283" i="13" s="1"/>
  <c r="H283" i="13" s="1"/>
  <c r="F283" i="13"/>
  <c r="G283" i="13"/>
  <c r="G282" i="13" s="1"/>
  <c r="C284" i="13"/>
  <c r="E284" i="13" s="1"/>
  <c r="D284" i="13"/>
  <c r="H284" i="13"/>
  <c r="C285" i="13"/>
  <c r="D285" i="13"/>
  <c r="E285" i="13"/>
  <c r="H285" i="13"/>
  <c r="I285" i="13"/>
  <c r="D286" i="13"/>
  <c r="E286" i="13" s="1"/>
  <c r="H286" i="13" s="1"/>
  <c r="F286" i="13"/>
  <c r="F285" i="13" s="1"/>
  <c r="F284" i="13" s="1"/>
  <c r="G286" i="13"/>
  <c r="G285" i="13" s="1"/>
  <c r="G284" i="13" s="1"/>
  <c r="C287" i="13"/>
  <c r="E287" i="13" s="1"/>
  <c r="D288" i="13"/>
  <c r="E288" i="13" s="1"/>
  <c r="F288" i="13"/>
  <c r="G288" i="13"/>
  <c r="G287" i="13" s="1"/>
  <c r="C289" i="13"/>
  <c r="E289" i="13"/>
  <c r="C290" i="13"/>
  <c r="E290" i="13" s="1"/>
  <c r="H290" i="13" s="1"/>
  <c r="F290" i="13"/>
  <c r="F289" i="13" s="1"/>
  <c r="G290" i="13"/>
  <c r="G289" i="13" s="1"/>
  <c r="D291" i="13"/>
  <c r="E291" i="13" s="1"/>
  <c r="F291" i="13"/>
  <c r="G291" i="13"/>
  <c r="G292" i="13"/>
  <c r="C293" i="13"/>
  <c r="C292" i="13" s="1"/>
  <c r="E292" i="13" s="1"/>
  <c r="E293" i="13"/>
  <c r="H293" i="13" s="1"/>
  <c r="I293" i="13"/>
  <c r="D294" i="13"/>
  <c r="E294" i="13" s="1"/>
  <c r="H294" i="13" s="1"/>
  <c r="F294" i="13"/>
  <c r="F293" i="13" s="1"/>
  <c r="F292" i="13" s="1"/>
  <c r="I292" i="13" s="1"/>
  <c r="G294" i="13"/>
  <c r="G293" i="13" s="1"/>
  <c r="E295" i="13"/>
  <c r="H295" i="13"/>
  <c r="C297" i="13"/>
  <c r="C298" i="13"/>
  <c r="E298" i="13" s="1"/>
  <c r="D298" i="13"/>
  <c r="G298" i="13"/>
  <c r="D299" i="13"/>
  <c r="E299" i="13"/>
  <c r="F299" i="13"/>
  <c r="G299" i="13"/>
  <c r="C300" i="13"/>
  <c r="F300" i="13"/>
  <c r="G300" i="13"/>
  <c r="D301" i="13"/>
  <c r="D300" i="13" s="1"/>
  <c r="F301" i="13"/>
  <c r="G301" i="13"/>
  <c r="C302" i="13"/>
  <c r="F302" i="13"/>
  <c r="D303" i="13"/>
  <c r="F303" i="13"/>
  <c r="G303" i="13"/>
  <c r="G302" i="13" s="1"/>
  <c r="G297" i="13" s="1"/>
  <c r="C304" i="13"/>
  <c r="E304" i="13"/>
  <c r="F304" i="13"/>
  <c r="I304" i="13" s="1"/>
  <c r="D305" i="13"/>
  <c r="E305" i="13" s="1"/>
  <c r="I305" i="13" s="1"/>
  <c r="F305" i="13"/>
  <c r="G305" i="13"/>
  <c r="G304" i="13" s="1"/>
  <c r="H305" i="13"/>
  <c r="C307" i="13"/>
  <c r="F307" i="13"/>
  <c r="F306" i="13" s="1"/>
  <c r="G307" i="13"/>
  <c r="D308" i="13"/>
  <c r="E308" i="13"/>
  <c r="F308" i="13"/>
  <c r="G308" i="13"/>
  <c r="C309" i="13"/>
  <c r="E309" i="13" s="1"/>
  <c r="D309" i="13"/>
  <c r="D306" i="13" s="1"/>
  <c r="G309" i="13"/>
  <c r="H309" i="13"/>
  <c r="D310" i="13"/>
  <c r="E310" i="13"/>
  <c r="F310" i="13"/>
  <c r="F309" i="13" s="1"/>
  <c r="G310" i="13"/>
  <c r="I310" i="13"/>
  <c r="F311" i="13"/>
  <c r="G311" i="13"/>
  <c r="C312" i="13"/>
  <c r="E312" i="13" s="1"/>
  <c r="D312" i="13"/>
  <c r="D311" i="13" s="1"/>
  <c r="G312" i="13"/>
  <c r="D313" i="13"/>
  <c r="E313" i="13"/>
  <c r="F313" i="13"/>
  <c r="F312" i="13" s="1"/>
  <c r="G313" i="13"/>
  <c r="C314" i="13"/>
  <c r="C315" i="13"/>
  <c r="F315" i="13"/>
  <c r="G315" i="13"/>
  <c r="D316" i="13"/>
  <c r="D315" i="13" s="1"/>
  <c r="D314" i="13" s="1"/>
  <c r="F316" i="13"/>
  <c r="G316" i="13"/>
  <c r="C317" i="13"/>
  <c r="F317" i="13"/>
  <c r="G317" i="13"/>
  <c r="G314" i="13" s="1"/>
  <c r="D318" i="13"/>
  <c r="D317" i="13" s="1"/>
  <c r="E318" i="13"/>
  <c r="F318" i="13"/>
  <c r="G318" i="13"/>
  <c r="G319" i="13"/>
  <c r="F320" i="13"/>
  <c r="F319" i="13" s="1"/>
  <c r="C321" i="13"/>
  <c r="D321" i="13"/>
  <c r="D320" i="13" s="1"/>
  <c r="D319" i="13" s="1"/>
  <c r="F321" i="13"/>
  <c r="G321" i="13"/>
  <c r="G320" i="13" s="1"/>
  <c r="C323" i="13"/>
  <c r="F323" i="13"/>
  <c r="G323" i="13"/>
  <c r="D324" i="13"/>
  <c r="D323" i="13" s="1"/>
  <c r="E324" i="13"/>
  <c r="F324" i="13"/>
  <c r="G324" i="13"/>
  <c r="C325" i="13"/>
  <c r="F325" i="13"/>
  <c r="D326" i="13"/>
  <c r="F326" i="13"/>
  <c r="G326" i="13"/>
  <c r="G325" i="13" s="1"/>
  <c r="C327" i="13"/>
  <c r="E327" i="13"/>
  <c r="H327" i="13" s="1"/>
  <c r="F327" i="13"/>
  <c r="I327" i="13"/>
  <c r="D328" i="13"/>
  <c r="E328" i="13" s="1"/>
  <c r="I328" i="13" s="1"/>
  <c r="F328" i="13"/>
  <c r="G328" i="13"/>
  <c r="G327" i="13" s="1"/>
  <c r="C329" i="13"/>
  <c r="E329" i="13"/>
  <c r="H329" i="13" s="1"/>
  <c r="F329" i="13"/>
  <c r="I329" i="13"/>
  <c r="D330" i="13"/>
  <c r="E330" i="13" s="1"/>
  <c r="I330" i="13" s="1"/>
  <c r="F330" i="13"/>
  <c r="G330" i="13"/>
  <c r="G329" i="13" s="1"/>
  <c r="C331" i="13"/>
  <c r="D331" i="13"/>
  <c r="E331" i="13" s="1"/>
  <c r="D332" i="13"/>
  <c r="E332" i="13" s="1"/>
  <c r="H332" i="13" s="1"/>
  <c r="F332" i="13"/>
  <c r="G332" i="13"/>
  <c r="G331" i="13" s="1"/>
  <c r="C333" i="13"/>
  <c r="D334" i="13"/>
  <c r="E334" i="13"/>
  <c r="H334" i="13" s="1"/>
  <c r="F334" i="13"/>
  <c r="F333" i="13" s="1"/>
  <c r="G334" i="13"/>
  <c r="I334" i="13"/>
  <c r="D335" i="13"/>
  <c r="E335" i="13" s="1"/>
  <c r="F335" i="13"/>
  <c r="G335" i="13"/>
  <c r="G333" i="13" s="1"/>
  <c r="H335" i="13"/>
  <c r="C337" i="13"/>
  <c r="D338" i="13"/>
  <c r="E338" i="13" s="1"/>
  <c r="F338" i="13"/>
  <c r="G338" i="13"/>
  <c r="G337" i="13" s="1"/>
  <c r="G336" i="13" s="1"/>
  <c r="C340" i="13"/>
  <c r="E340" i="13" s="1"/>
  <c r="G340" i="13"/>
  <c r="G339" i="13" s="1"/>
  <c r="D341" i="13"/>
  <c r="E341" i="13" s="1"/>
  <c r="F341" i="13"/>
  <c r="F340" i="13" s="1"/>
  <c r="G341" i="13"/>
  <c r="E342" i="13"/>
  <c r="H342" i="13" s="1"/>
  <c r="E347" i="13"/>
  <c r="I347" i="13"/>
  <c r="C348" i="13"/>
  <c r="D348" i="13"/>
  <c r="E348" i="13"/>
  <c r="H348" i="13" s="1"/>
  <c r="F348" i="13"/>
  <c r="I348" i="13" s="1"/>
  <c r="G348" i="13"/>
  <c r="C349" i="13"/>
  <c r="C346" i="13" s="1"/>
  <c r="D349" i="13"/>
  <c r="D346" i="13" s="1"/>
  <c r="F349" i="13"/>
  <c r="F346" i="13" s="1"/>
  <c r="G349" i="13"/>
  <c r="G346" i="13" s="1"/>
  <c r="C350" i="13"/>
  <c r="D350" i="13"/>
  <c r="E350" i="13"/>
  <c r="F350" i="13"/>
  <c r="G350" i="13"/>
  <c r="H350" i="13"/>
  <c r="C351" i="13"/>
  <c r="E351" i="13" s="1"/>
  <c r="H351" i="13" s="1"/>
  <c r="D351" i="13"/>
  <c r="F351" i="13"/>
  <c r="G351" i="13"/>
  <c r="C353" i="13"/>
  <c r="C352" i="13" s="1"/>
  <c r="D353" i="13"/>
  <c r="E353" i="13"/>
  <c r="H353" i="13" s="1"/>
  <c r="F353" i="13"/>
  <c r="F352" i="13" s="1"/>
  <c r="G353" i="13"/>
  <c r="C354" i="13"/>
  <c r="D354" i="13"/>
  <c r="E354" i="13" s="1"/>
  <c r="F354" i="13"/>
  <c r="G354" i="13"/>
  <c r="C355" i="13"/>
  <c r="D355" i="13"/>
  <c r="E355" i="13"/>
  <c r="F355" i="13"/>
  <c r="G355" i="13"/>
  <c r="H355" i="13"/>
  <c r="I355" i="13"/>
  <c r="C356" i="13"/>
  <c r="E356" i="13" s="1"/>
  <c r="H356" i="13" s="1"/>
  <c r="D356" i="13"/>
  <c r="F356" i="13"/>
  <c r="G356" i="13"/>
  <c r="C357" i="13"/>
  <c r="E357" i="13" s="1"/>
  <c r="H357" i="13" s="1"/>
  <c r="D357" i="13"/>
  <c r="F357" i="13"/>
  <c r="G357" i="13"/>
  <c r="C358" i="13"/>
  <c r="D358" i="13"/>
  <c r="E358" i="13" s="1"/>
  <c r="H358" i="13" s="1"/>
  <c r="F358" i="13"/>
  <c r="G358" i="13"/>
  <c r="C359" i="13"/>
  <c r="E359" i="13" s="1"/>
  <c r="D359" i="13"/>
  <c r="F359" i="13"/>
  <c r="I359" i="13" s="1"/>
  <c r="G359" i="13"/>
  <c r="G360" i="13"/>
  <c r="G361" i="13"/>
  <c r="C362" i="13"/>
  <c r="D362" i="13"/>
  <c r="D361" i="13" s="1"/>
  <c r="D360" i="13" s="1"/>
  <c r="F362" i="13"/>
  <c r="G362" i="13"/>
  <c r="C363" i="13"/>
  <c r="D363" i="13"/>
  <c r="E363" i="13"/>
  <c r="H363" i="13" s="1"/>
  <c r="F363" i="13"/>
  <c r="F361" i="13" s="1"/>
  <c r="F360" i="13" s="1"/>
  <c r="G363" i="13"/>
  <c r="E364" i="13"/>
  <c r="H364" i="13"/>
  <c r="G367" i="13"/>
  <c r="C368" i="13"/>
  <c r="D368" i="13"/>
  <c r="E368" i="13"/>
  <c r="F368" i="13"/>
  <c r="G368" i="13"/>
  <c r="H368" i="13"/>
  <c r="I368" i="13"/>
  <c r="C369" i="13"/>
  <c r="D369" i="13"/>
  <c r="F369" i="13"/>
  <c r="F367" i="13" s="1"/>
  <c r="G369" i="13"/>
  <c r="C370" i="13"/>
  <c r="E370" i="13" s="1"/>
  <c r="H370" i="13" s="1"/>
  <c r="D370" i="13"/>
  <c r="F370" i="13"/>
  <c r="I370" i="13" s="1"/>
  <c r="G370" i="13"/>
  <c r="C371" i="13"/>
  <c r="E371" i="13" s="1"/>
  <c r="H371" i="13" s="1"/>
  <c r="D371" i="13"/>
  <c r="D367" i="13" s="1"/>
  <c r="F371" i="13"/>
  <c r="G371" i="13"/>
  <c r="C372" i="13"/>
  <c r="D372" i="13"/>
  <c r="E372" i="13"/>
  <c r="H372" i="13" s="1"/>
  <c r="F372" i="13"/>
  <c r="G372" i="13"/>
  <c r="C373" i="13"/>
  <c r="E373" i="13" s="1"/>
  <c r="H373" i="13" s="1"/>
  <c r="D373" i="13"/>
  <c r="F373" i="13"/>
  <c r="G373" i="13"/>
  <c r="C375" i="13"/>
  <c r="C374" i="13" s="1"/>
  <c r="D375" i="13"/>
  <c r="F375" i="13"/>
  <c r="G375" i="13"/>
  <c r="G374" i="13" s="1"/>
  <c r="C376" i="13"/>
  <c r="E376" i="13" s="1"/>
  <c r="H376" i="13" s="1"/>
  <c r="D376" i="13"/>
  <c r="F376" i="13"/>
  <c r="I376" i="13" s="1"/>
  <c r="G376" i="13"/>
  <c r="C377" i="13"/>
  <c r="E377" i="13" s="1"/>
  <c r="D377" i="13"/>
  <c r="F377" i="13"/>
  <c r="G377" i="13"/>
  <c r="C378" i="13"/>
  <c r="D378" i="13"/>
  <c r="E378" i="13" s="1"/>
  <c r="H378" i="13" s="1"/>
  <c r="F378" i="13"/>
  <c r="G378" i="13"/>
  <c r="C379" i="13"/>
  <c r="E379" i="13" s="1"/>
  <c r="D379" i="13"/>
  <c r="F379" i="13"/>
  <c r="G379" i="13"/>
  <c r="C380" i="13"/>
  <c r="D380" i="13"/>
  <c r="E380" i="13"/>
  <c r="F380" i="13"/>
  <c r="G380" i="13"/>
  <c r="H380" i="13"/>
  <c r="I380" i="13"/>
  <c r="E381" i="13"/>
  <c r="H381" i="13" s="1"/>
  <c r="F384" i="13"/>
  <c r="F383" i="13" s="1"/>
  <c r="C385" i="13"/>
  <c r="C384" i="13" s="1"/>
  <c r="D385" i="13"/>
  <c r="D384" i="13" s="1"/>
  <c r="D383" i="13" s="1"/>
  <c r="D382" i="13" s="1"/>
  <c r="F385" i="13"/>
  <c r="G385" i="13"/>
  <c r="G384" i="13" s="1"/>
  <c r="G383" i="13" s="1"/>
  <c r="G382" i="13" s="1"/>
  <c r="E386" i="13"/>
  <c r="H386" i="13" s="1"/>
  <c r="C389" i="13"/>
  <c r="D389" i="13"/>
  <c r="D388" i="13" s="1"/>
  <c r="D390" i="13"/>
  <c r="E390" i="13"/>
  <c r="H390" i="13" s="1"/>
  <c r="F390" i="13"/>
  <c r="F389" i="13" s="1"/>
  <c r="G390" i="13"/>
  <c r="G389" i="13" s="1"/>
  <c r="G388" i="13" s="1"/>
  <c r="D391" i="13"/>
  <c r="E391" i="13"/>
  <c r="F391" i="13"/>
  <c r="G391" i="13"/>
  <c r="H391" i="13"/>
  <c r="I391" i="13"/>
  <c r="C393" i="13"/>
  <c r="C392" i="13" s="1"/>
  <c r="D394" i="13"/>
  <c r="F394" i="13"/>
  <c r="F393" i="13" s="1"/>
  <c r="G394" i="13"/>
  <c r="D395" i="13"/>
  <c r="E395" i="13" s="1"/>
  <c r="F395" i="13"/>
  <c r="G395" i="13"/>
  <c r="G393" i="13" s="1"/>
  <c r="G392" i="13" s="1"/>
  <c r="C397" i="13"/>
  <c r="C396" i="13" s="1"/>
  <c r="D398" i="13"/>
  <c r="E398" i="13" s="1"/>
  <c r="F398" i="13"/>
  <c r="G398" i="13"/>
  <c r="D399" i="13"/>
  <c r="E399" i="13"/>
  <c r="H399" i="13" s="1"/>
  <c r="F399" i="13"/>
  <c r="F397" i="13" s="1"/>
  <c r="F396" i="13" s="1"/>
  <c r="G399" i="13"/>
  <c r="G397" i="13" s="1"/>
  <c r="G396" i="13" s="1"/>
  <c r="D400" i="13"/>
  <c r="E400" i="13"/>
  <c r="F400" i="13"/>
  <c r="G400" i="13"/>
  <c r="H400" i="13"/>
  <c r="A1" i="12"/>
  <c r="A4" i="12"/>
  <c r="C10" i="12"/>
  <c r="C9" i="12" s="1"/>
  <c r="C82" i="12" s="1"/>
  <c r="D10" i="12"/>
  <c r="D9" i="12" s="1"/>
  <c r="F10" i="12"/>
  <c r="G10" i="12"/>
  <c r="E11" i="12"/>
  <c r="E10" i="12" s="1"/>
  <c r="E12" i="12"/>
  <c r="H12" i="12" s="1"/>
  <c r="E13" i="12"/>
  <c r="H13" i="12" s="1"/>
  <c r="E14" i="12"/>
  <c r="H14" i="12"/>
  <c r="E15" i="12"/>
  <c r="H15" i="12" s="1"/>
  <c r="E16" i="12"/>
  <c r="H16" i="12" s="1"/>
  <c r="E17" i="12"/>
  <c r="H17" i="12" s="1"/>
  <c r="E18" i="12"/>
  <c r="H18" i="12"/>
  <c r="C20" i="12"/>
  <c r="D20" i="12"/>
  <c r="E20" i="12"/>
  <c r="F20" i="12"/>
  <c r="F9" i="12" s="1"/>
  <c r="G20" i="12"/>
  <c r="G9" i="12" s="1"/>
  <c r="E21" i="12"/>
  <c r="H21" i="12"/>
  <c r="E22" i="12"/>
  <c r="H22" i="12" s="1"/>
  <c r="E23" i="12"/>
  <c r="H23" i="12" s="1"/>
  <c r="E24" i="12"/>
  <c r="H24" i="12" s="1"/>
  <c r="E25" i="12"/>
  <c r="H25" i="12"/>
  <c r="E26" i="12"/>
  <c r="H26" i="12" s="1"/>
  <c r="E27" i="12"/>
  <c r="H27" i="12" s="1"/>
  <c r="C29" i="12"/>
  <c r="D29" i="12"/>
  <c r="F29" i="12"/>
  <c r="G29" i="12"/>
  <c r="E30" i="12"/>
  <c r="E31" i="12"/>
  <c r="H31" i="12" s="1"/>
  <c r="E32" i="12"/>
  <c r="H32" i="12"/>
  <c r="E33" i="12"/>
  <c r="H33" i="12" s="1"/>
  <c r="E34" i="12"/>
  <c r="H34" i="12" s="1"/>
  <c r="E35" i="12"/>
  <c r="H35" i="12" s="1"/>
  <c r="E36" i="12"/>
  <c r="H36" i="12"/>
  <c r="E37" i="12"/>
  <c r="H37" i="12" s="1"/>
  <c r="E38" i="12"/>
  <c r="H38" i="12" s="1"/>
  <c r="C40" i="12"/>
  <c r="D40" i="12"/>
  <c r="F40" i="12"/>
  <c r="G40" i="12"/>
  <c r="E41" i="12"/>
  <c r="E42" i="12"/>
  <c r="H42" i="12" s="1"/>
  <c r="E43" i="12"/>
  <c r="H43" i="12"/>
  <c r="E44" i="12"/>
  <c r="H44" i="12" s="1"/>
  <c r="C46" i="12"/>
  <c r="C47" i="12"/>
  <c r="D47" i="12"/>
  <c r="E47" i="12"/>
  <c r="F47" i="12"/>
  <c r="F46" i="12" s="1"/>
  <c r="F82" i="12" s="1"/>
  <c r="I85" i="12" s="1"/>
  <c r="G47" i="12"/>
  <c r="E48" i="12"/>
  <c r="H48" i="12"/>
  <c r="E49" i="12"/>
  <c r="H49" i="12" s="1"/>
  <c r="E50" i="12"/>
  <c r="H50" i="12" s="1"/>
  <c r="E51" i="12"/>
  <c r="H51" i="12" s="1"/>
  <c r="E52" i="12"/>
  <c r="H52" i="12"/>
  <c r="E53" i="12"/>
  <c r="H53" i="12" s="1"/>
  <c r="E54" i="12"/>
  <c r="H54" i="12" s="1"/>
  <c r="E55" i="12"/>
  <c r="H55" i="12" s="1"/>
  <c r="C57" i="12"/>
  <c r="D57" i="12"/>
  <c r="F57" i="12"/>
  <c r="G57" i="12"/>
  <c r="E58" i="12"/>
  <c r="H58" i="12" s="1"/>
  <c r="E59" i="12"/>
  <c r="H59" i="12"/>
  <c r="E60" i="12"/>
  <c r="H60" i="12" s="1"/>
  <c r="E61" i="12"/>
  <c r="H61" i="12" s="1"/>
  <c r="E62" i="12"/>
  <c r="H62" i="12" s="1"/>
  <c r="E63" i="12"/>
  <c r="H63" i="12"/>
  <c r="E64" i="12"/>
  <c r="H64" i="12" s="1"/>
  <c r="C65" i="12"/>
  <c r="D65" i="12"/>
  <c r="F65" i="12"/>
  <c r="G65" i="12"/>
  <c r="E66" i="12"/>
  <c r="E65" i="12" s="1"/>
  <c r="H67" i="12"/>
  <c r="E68" i="12"/>
  <c r="H68" i="12" s="1"/>
  <c r="E69" i="12"/>
  <c r="H69" i="12"/>
  <c r="E70" i="12"/>
  <c r="H70" i="12" s="1"/>
  <c r="E71" i="12"/>
  <c r="H71" i="12"/>
  <c r="E72" i="12"/>
  <c r="H72" i="12" s="1"/>
  <c r="E73" i="12"/>
  <c r="H73" i="12"/>
  <c r="E74" i="12"/>
  <c r="H74" i="12" s="1"/>
  <c r="C76" i="12"/>
  <c r="D76" i="12"/>
  <c r="F76" i="12"/>
  <c r="G76" i="12"/>
  <c r="E77" i="12"/>
  <c r="H77" i="12" s="1"/>
  <c r="E78" i="12"/>
  <c r="H78" i="12"/>
  <c r="E79" i="12"/>
  <c r="E76" i="12" s="1"/>
  <c r="E80" i="12"/>
  <c r="H80" i="12"/>
  <c r="A1" i="11"/>
  <c r="A4" i="11"/>
  <c r="B9" i="11"/>
  <c r="C9" i="11"/>
  <c r="D9" i="11"/>
  <c r="E9" i="11"/>
  <c r="E44" i="11" s="1"/>
  <c r="H46" i="11" s="1"/>
  <c r="F9" i="11"/>
  <c r="G9" i="11"/>
  <c r="D10" i="11"/>
  <c r="G10" i="11" s="1"/>
  <c r="D11" i="11"/>
  <c r="G11" i="11"/>
  <c r="D12" i="11"/>
  <c r="G12" i="11" s="1"/>
  <c r="D13" i="11"/>
  <c r="G13" i="11"/>
  <c r="D14" i="11"/>
  <c r="G14" i="11" s="1"/>
  <c r="D15" i="11"/>
  <c r="G15" i="11"/>
  <c r="D16" i="11"/>
  <c r="G16" i="11" s="1"/>
  <c r="D17" i="11"/>
  <c r="G17" i="11"/>
  <c r="D18" i="11"/>
  <c r="G18" i="11"/>
  <c r="B19" i="11"/>
  <c r="C19" i="11"/>
  <c r="D19" i="11"/>
  <c r="E19" i="11"/>
  <c r="F19" i="11"/>
  <c r="G19" i="11"/>
  <c r="D20" i="11"/>
  <c r="G20" i="11" s="1"/>
  <c r="D21" i="11"/>
  <c r="D22" i="11"/>
  <c r="G22" i="11"/>
  <c r="D23" i="11"/>
  <c r="G23" i="11" s="1"/>
  <c r="D24" i="11"/>
  <c r="G24" i="11" s="1"/>
  <c r="D25" i="11"/>
  <c r="G25" i="11" s="1"/>
  <c r="D26" i="11"/>
  <c r="G26" i="11"/>
  <c r="D27" i="11"/>
  <c r="G27" i="11"/>
  <c r="B28" i="11"/>
  <c r="D28" i="11" s="1"/>
  <c r="G28" i="11" s="1"/>
  <c r="C28" i="11"/>
  <c r="E28" i="11"/>
  <c r="F28" i="11"/>
  <c r="D29" i="11"/>
  <c r="G29" i="11" s="1"/>
  <c r="D30" i="11"/>
  <c r="G30" i="11" s="1"/>
  <c r="D31" i="11"/>
  <c r="G31" i="11" s="1"/>
  <c r="D32" i="11"/>
  <c r="G32" i="11"/>
  <c r="D33" i="11"/>
  <c r="G33" i="11" s="1"/>
  <c r="D34" i="11"/>
  <c r="G34" i="11" s="1"/>
  <c r="D35" i="11"/>
  <c r="G35" i="11" s="1"/>
  <c r="D36" i="11"/>
  <c r="G36" i="11"/>
  <c r="D37" i="11"/>
  <c r="G37" i="11" s="1"/>
  <c r="D38" i="11"/>
  <c r="G38" i="11"/>
  <c r="B39" i="11"/>
  <c r="D39" i="11" s="1"/>
  <c r="G39" i="11" s="1"/>
  <c r="C39" i="11"/>
  <c r="E39" i="11"/>
  <c r="F39" i="11"/>
  <c r="D40" i="11"/>
  <c r="G40" i="11" s="1"/>
  <c r="D41" i="11"/>
  <c r="G41" i="11" s="1"/>
  <c r="D42" i="11"/>
  <c r="G42" i="11"/>
  <c r="D43" i="11"/>
  <c r="G43" i="11" s="1"/>
  <c r="C44" i="11"/>
  <c r="F44" i="11"/>
  <c r="A1" i="10"/>
  <c r="A4" i="10"/>
  <c r="D9" i="10"/>
  <c r="D10" i="10"/>
  <c r="G10" i="10"/>
  <c r="D11" i="10"/>
  <c r="G11" i="10" s="1"/>
  <c r="D12" i="10"/>
  <c r="G12" i="10"/>
  <c r="D13" i="10"/>
  <c r="G13" i="10"/>
  <c r="D14" i="10"/>
  <c r="G14" i="10"/>
  <c r="D15" i="10"/>
  <c r="G15" i="10" s="1"/>
  <c r="D16" i="10"/>
  <c r="G16" i="10"/>
  <c r="D17" i="10"/>
  <c r="G17" i="10"/>
  <c r="D18" i="10"/>
  <c r="G18" i="10"/>
  <c r="D19" i="10"/>
  <c r="G19" i="10" s="1"/>
  <c r="D20" i="10"/>
  <c r="G20" i="10"/>
  <c r="D21" i="10"/>
  <c r="G21" i="10"/>
  <c r="B22" i="10"/>
  <c r="C22" i="10"/>
  <c r="D22" i="10"/>
  <c r="E22" i="10"/>
  <c r="F22" i="10"/>
  <c r="A1" i="9"/>
  <c r="A4" i="9"/>
  <c r="D9" i="9"/>
  <c r="G9" i="9"/>
  <c r="D10" i="9"/>
  <c r="G10" i="9" s="1"/>
  <c r="D11" i="9"/>
  <c r="G11" i="9" s="1"/>
  <c r="D12" i="9"/>
  <c r="G12" i="9" s="1"/>
  <c r="H20" i="9"/>
  <c r="A1" i="8"/>
  <c r="A4" i="8"/>
  <c r="B9" i="8"/>
  <c r="B32" i="8" s="1"/>
  <c r="E9" i="8"/>
  <c r="E32" i="8" s="1"/>
  <c r="D10" i="8"/>
  <c r="G10" i="8"/>
  <c r="D11" i="8"/>
  <c r="G11" i="8" s="1"/>
  <c r="C12" i="8"/>
  <c r="E12" i="8"/>
  <c r="F12" i="8"/>
  <c r="C13" i="8"/>
  <c r="D13" i="8" s="1"/>
  <c r="G13" i="8" s="1"/>
  <c r="E13" i="8"/>
  <c r="F13" i="8"/>
  <c r="F9" i="8" s="1"/>
  <c r="F32" i="8" s="1"/>
  <c r="C14" i="8"/>
  <c r="D14" i="8" s="1"/>
  <c r="G14" i="8" s="1"/>
  <c r="E14" i="8"/>
  <c r="F14" i="8"/>
  <c r="D15" i="8"/>
  <c r="G15" i="8"/>
  <c r="D16" i="8"/>
  <c r="G16" i="8" s="1"/>
  <c r="D17" i="8"/>
  <c r="G17" i="8"/>
  <c r="D18" i="8"/>
  <c r="G18" i="8" s="1"/>
  <c r="B21" i="8"/>
  <c r="C21" i="8"/>
  <c r="E21" i="8"/>
  <c r="F21" i="8"/>
  <c r="D22" i="8"/>
  <c r="G22" i="8" s="1"/>
  <c r="D23" i="8"/>
  <c r="G23" i="8"/>
  <c r="D24" i="8"/>
  <c r="D21" i="8" s="1"/>
  <c r="D25" i="8"/>
  <c r="G25" i="8"/>
  <c r="D26" i="8"/>
  <c r="G26" i="8" s="1"/>
  <c r="D27" i="8"/>
  <c r="G27" i="8"/>
  <c r="D28" i="8"/>
  <c r="G28" i="8" s="1"/>
  <c r="D29" i="8"/>
  <c r="G29" i="8"/>
  <c r="D30" i="8"/>
  <c r="G30" i="8" s="1"/>
  <c r="A1" i="7"/>
  <c r="A4" i="7"/>
  <c r="C8" i="7"/>
  <c r="D8" i="7"/>
  <c r="E8" i="7"/>
  <c r="M8" i="7" s="1"/>
  <c r="O8" i="7" s="1"/>
  <c r="C9" i="7"/>
  <c r="C28" i="7" s="1"/>
  <c r="E9" i="7"/>
  <c r="M9" i="7"/>
  <c r="O9" i="7" s="1"/>
  <c r="R9" i="7"/>
  <c r="C10" i="7"/>
  <c r="D10" i="7"/>
  <c r="G10" i="7" s="1"/>
  <c r="E10" i="7"/>
  <c r="M10" i="7"/>
  <c r="O10" i="7" s="1"/>
  <c r="C11" i="7"/>
  <c r="D11" i="7" s="1"/>
  <c r="G11" i="7" s="1"/>
  <c r="E11" i="7"/>
  <c r="M11" i="7" s="1"/>
  <c r="O11" i="7" s="1"/>
  <c r="C12" i="7"/>
  <c r="D12" i="7" s="1"/>
  <c r="G12" i="7" s="1"/>
  <c r="E12" i="7"/>
  <c r="M12" i="7"/>
  <c r="O12" i="7"/>
  <c r="D13" i="7"/>
  <c r="G13" i="7" s="1"/>
  <c r="M13" i="7"/>
  <c r="O13" i="7" s="1"/>
  <c r="D14" i="7"/>
  <c r="G14" i="7" s="1"/>
  <c r="M14" i="7"/>
  <c r="O14" i="7"/>
  <c r="D15" i="7"/>
  <c r="G15" i="7" s="1"/>
  <c r="M15" i="7"/>
  <c r="O15" i="7" s="1"/>
  <c r="D16" i="7"/>
  <c r="G16" i="7" s="1"/>
  <c r="M16" i="7"/>
  <c r="O16" i="7"/>
  <c r="P16" i="7" s="1"/>
  <c r="D17" i="7"/>
  <c r="G17" i="7"/>
  <c r="N17" i="7"/>
  <c r="P17" i="7" s="1"/>
  <c r="D18" i="7"/>
  <c r="G18" i="7"/>
  <c r="N18" i="7"/>
  <c r="P18" i="7" s="1"/>
  <c r="D19" i="7"/>
  <c r="G19" i="7"/>
  <c r="N19" i="7"/>
  <c r="P19" i="7" s="1"/>
  <c r="D20" i="7"/>
  <c r="G20" i="7"/>
  <c r="D21" i="7"/>
  <c r="G21" i="7"/>
  <c r="D22" i="7"/>
  <c r="G22" i="7"/>
  <c r="D23" i="7"/>
  <c r="G23" i="7"/>
  <c r="D24" i="7"/>
  <c r="G24" i="7"/>
  <c r="D25" i="7"/>
  <c r="G25" i="7"/>
  <c r="D26" i="7"/>
  <c r="G26" i="7"/>
  <c r="D27" i="7"/>
  <c r="G27" i="7"/>
  <c r="B28" i="7"/>
  <c r="F28" i="7"/>
  <c r="A1" i="6"/>
  <c r="A4" i="6"/>
  <c r="D8" i="6"/>
  <c r="G8" i="6" s="1"/>
  <c r="D9" i="6"/>
  <c r="G9" i="6"/>
  <c r="D10" i="6"/>
  <c r="G10" i="6" s="1"/>
  <c r="D11" i="6"/>
  <c r="G11" i="6"/>
  <c r="D12" i="6"/>
  <c r="G12" i="6" s="1"/>
  <c r="B14" i="6"/>
  <c r="C14" i="6"/>
  <c r="D14" i="6"/>
  <c r="E14" i="6"/>
  <c r="F14" i="6"/>
  <c r="G14" i="6"/>
  <c r="A1" i="5"/>
  <c r="C10" i="5"/>
  <c r="D10" i="5"/>
  <c r="F10" i="5"/>
  <c r="F9" i="5" s="1"/>
  <c r="G10" i="5"/>
  <c r="E11" i="5"/>
  <c r="E12" i="5"/>
  <c r="H12" i="5" s="1"/>
  <c r="E13" i="5"/>
  <c r="H13" i="5"/>
  <c r="E14" i="5"/>
  <c r="H14" i="5" s="1"/>
  <c r="E15" i="5"/>
  <c r="H15" i="5" s="1"/>
  <c r="E16" i="5"/>
  <c r="H16" i="5" s="1"/>
  <c r="E17" i="5"/>
  <c r="H17" i="5"/>
  <c r="C18" i="5"/>
  <c r="D18" i="5"/>
  <c r="E18" i="5"/>
  <c r="F18" i="5"/>
  <c r="G18" i="5"/>
  <c r="E19" i="5"/>
  <c r="H19" i="5"/>
  <c r="E20" i="5"/>
  <c r="H20" i="5" s="1"/>
  <c r="E21" i="5"/>
  <c r="H21" i="5"/>
  <c r="E22" i="5"/>
  <c r="H22" i="5" s="1"/>
  <c r="E23" i="5"/>
  <c r="H23" i="5"/>
  <c r="E24" i="5"/>
  <c r="H24" i="5" s="1"/>
  <c r="E25" i="5"/>
  <c r="H25" i="5"/>
  <c r="E26" i="5"/>
  <c r="H26" i="5" s="1"/>
  <c r="E27" i="5"/>
  <c r="H27" i="5"/>
  <c r="C28" i="5"/>
  <c r="D28" i="5"/>
  <c r="E28" i="5"/>
  <c r="F28" i="5"/>
  <c r="G28" i="5"/>
  <c r="E29" i="5"/>
  <c r="H29" i="5"/>
  <c r="E30" i="5"/>
  <c r="H30" i="5" s="1"/>
  <c r="E31" i="5"/>
  <c r="H31" i="5"/>
  <c r="E32" i="5"/>
  <c r="H32" i="5" s="1"/>
  <c r="E33" i="5"/>
  <c r="H33" i="5"/>
  <c r="E34" i="5"/>
  <c r="H34" i="5" s="1"/>
  <c r="E35" i="5"/>
  <c r="H35" i="5" s="1"/>
  <c r="E36" i="5"/>
  <c r="H36" i="5" s="1"/>
  <c r="E37" i="5"/>
  <c r="H37" i="5"/>
  <c r="C38" i="5"/>
  <c r="D38" i="5"/>
  <c r="F38" i="5"/>
  <c r="G38" i="5"/>
  <c r="E39" i="5"/>
  <c r="H39" i="5"/>
  <c r="E40" i="5"/>
  <c r="H40" i="5" s="1"/>
  <c r="E41" i="5"/>
  <c r="H41" i="5"/>
  <c r="E42" i="5"/>
  <c r="H42" i="5" s="1"/>
  <c r="E43" i="5"/>
  <c r="H43" i="5"/>
  <c r="E44" i="5"/>
  <c r="H44" i="5" s="1"/>
  <c r="E45" i="5"/>
  <c r="E38" i="5" s="1"/>
  <c r="H45" i="5"/>
  <c r="E46" i="5"/>
  <c r="H46" i="5" s="1"/>
  <c r="E47" i="5"/>
  <c r="H47" i="5"/>
  <c r="C48" i="5"/>
  <c r="D48" i="5"/>
  <c r="F48" i="5"/>
  <c r="G48" i="5"/>
  <c r="E49" i="5"/>
  <c r="H49" i="5"/>
  <c r="E50" i="5"/>
  <c r="H50" i="5" s="1"/>
  <c r="E51" i="5"/>
  <c r="H51" i="5" s="1"/>
  <c r="E52" i="5"/>
  <c r="H52" i="5" s="1"/>
  <c r="E53" i="5"/>
  <c r="H53" i="5"/>
  <c r="E54" i="5"/>
  <c r="H54" i="5" s="1"/>
  <c r="E55" i="5"/>
  <c r="H55" i="5"/>
  <c r="E56" i="5"/>
  <c r="H56" i="5" s="1"/>
  <c r="E57" i="5"/>
  <c r="H57" i="5"/>
  <c r="C58" i="5"/>
  <c r="D58" i="5"/>
  <c r="F58" i="5"/>
  <c r="G58" i="5"/>
  <c r="E59" i="5"/>
  <c r="H59" i="5"/>
  <c r="E60" i="5"/>
  <c r="H60" i="5" s="1"/>
  <c r="E61" i="5"/>
  <c r="E58" i="5" s="1"/>
  <c r="H61" i="5"/>
  <c r="C62" i="5"/>
  <c r="D62" i="5"/>
  <c r="F62" i="5"/>
  <c r="G62" i="5"/>
  <c r="E63" i="5"/>
  <c r="E62" i="5" s="1"/>
  <c r="H63" i="5"/>
  <c r="E64" i="5"/>
  <c r="H64" i="5" s="1"/>
  <c r="E65" i="5"/>
  <c r="H65" i="5"/>
  <c r="E66" i="5"/>
  <c r="H66" i="5" s="1"/>
  <c r="E67" i="5"/>
  <c r="H67" i="5"/>
  <c r="E68" i="5"/>
  <c r="H68" i="5" s="1"/>
  <c r="E69" i="5"/>
  <c r="H69" i="5"/>
  <c r="E70" i="5"/>
  <c r="H70" i="5" s="1"/>
  <c r="C71" i="5"/>
  <c r="C9" i="5" s="1"/>
  <c r="D71" i="5"/>
  <c r="F71" i="5"/>
  <c r="G71" i="5"/>
  <c r="E72" i="5"/>
  <c r="H72" i="5" s="1"/>
  <c r="H71" i="5" s="1"/>
  <c r="E73" i="5"/>
  <c r="E71" i="5" s="1"/>
  <c r="H73" i="5"/>
  <c r="E74" i="5"/>
  <c r="H74" i="5" s="1"/>
  <c r="C75" i="5"/>
  <c r="D75" i="5"/>
  <c r="F75" i="5"/>
  <c r="G75" i="5"/>
  <c r="G9" i="5" s="1"/>
  <c r="E76" i="5"/>
  <c r="H76" i="5" s="1"/>
  <c r="H75" i="5" s="1"/>
  <c r="E77" i="5"/>
  <c r="H77" i="5"/>
  <c r="E78" i="5"/>
  <c r="H78" i="5" s="1"/>
  <c r="E79" i="5"/>
  <c r="H79" i="5"/>
  <c r="E80" i="5"/>
  <c r="H80" i="5" s="1"/>
  <c r="E81" i="5"/>
  <c r="H81" i="5"/>
  <c r="E82" i="5"/>
  <c r="H82" i="5" s="1"/>
  <c r="C84" i="5"/>
  <c r="D84" i="5"/>
  <c r="F84" i="5"/>
  <c r="G84" i="5"/>
  <c r="E85" i="5"/>
  <c r="H85" i="5"/>
  <c r="E86" i="5"/>
  <c r="H86" i="5" s="1"/>
  <c r="E87" i="5"/>
  <c r="H87" i="5" s="1"/>
  <c r="E88" i="5"/>
  <c r="H88" i="5" s="1"/>
  <c r="E89" i="5"/>
  <c r="H89" i="5"/>
  <c r="E90" i="5"/>
  <c r="H90" i="5" s="1"/>
  <c r="E91" i="5"/>
  <c r="H91" i="5"/>
  <c r="C92" i="5"/>
  <c r="D92" i="5"/>
  <c r="F92" i="5"/>
  <c r="G92" i="5"/>
  <c r="E93" i="5"/>
  <c r="H93" i="5"/>
  <c r="E94" i="5"/>
  <c r="H94" i="5" s="1"/>
  <c r="E95" i="5"/>
  <c r="H95" i="5" s="1"/>
  <c r="E96" i="5"/>
  <c r="H96" i="5" s="1"/>
  <c r="E97" i="5"/>
  <c r="H97" i="5"/>
  <c r="E98" i="5"/>
  <c r="H98" i="5" s="1"/>
  <c r="E99" i="5"/>
  <c r="H99" i="5"/>
  <c r="E100" i="5"/>
  <c r="H100" i="5" s="1"/>
  <c r="E101" i="5"/>
  <c r="H101" i="5"/>
  <c r="C102" i="5"/>
  <c r="D102" i="5"/>
  <c r="F102" i="5"/>
  <c r="G102" i="5"/>
  <c r="E103" i="5"/>
  <c r="E102" i="5" s="1"/>
  <c r="E104" i="5"/>
  <c r="H104" i="5" s="1"/>
  <c r="E105" i="5"/>
  <c r="H105" i="5"/>
  <c r="E106" i="5"/>
  <c r="H106" i="5" s="1"/>
  <c r="E107" i="5"/>
  <c r="H107" i="5"/>
  <c r="E108" i="5"/>
  <c r="H108" i="5" s="1"/>
  <c r="E109" i="5"/>
  <c r="H109" i="5"/>
  <c r="E110" i="5"/>
  <c r="H110" i="5" s="1"/>
  <c r="E111" i="5"/>
  <c r="H111" i="5" s="1"/>
  <c r="C112" i="5"/>
  <c r="D112" i="5"/>
  <c r="F112" i="5"/>
  <c r="G112" i="5"/>
  <c r="E113" i="5"/>
  <c r="E112" i="5" s="1"/>
  <c r="H113" i="5"/>
  <c r="E114" i="5"/>
  <c r="H114" i="5" s="1"/>
  <c r="E115" i="5"/>
  <c r="H115" i="5"/>
  <c r="E116" i="5"/>
  <c r="H116" i="5" s="1"/>
  <c r="E117" i="5"/>
  <c r="H117" i="5"/>
  <c r="E118" i="5"/>
  <c r="H118" i="5" s="1"/>
  <c r="E119" i="5"/>
  <c r="H119" i="5" s="1"/>
  <c r="E120" i="5"/>
  <c r="H120" i="5" s="1"/>
  <c r="E121" i="5"/>
  <c r="H121" i="5"/>
  <c r="C122" i="5"/>
  <c r="D122" i="5"/>
  <c r="F122" i="5"/>
  <c r="G122" i="5"/>
  <c r="E123" i="5"/>
  <c r="H123" i="5"/>
  <c r="E124" i="5"/>
  <c r="H124" i="5" s="1"/>
  <c r="E125" i="5"/>
  <c r="H125" i="5"/>
  <c r="E126" i="5"/>
  <c r="H126" i="5" s="1"/>
  <c r="E127" i="5"/>
  <c r="H127" i="5" s="1"/>
  <c r="E128" i="5"/>
  <c r="H128" i="5" s="1"/>
  <c r="E129" i="5"/>
  <c r="H129" i="5"/>
  <c r="E130" i="5"/>
  <c r="H130" i="5" s="1"/>
  <c r="E131" i="5"/>
  <c r="H131" i="5"/>
  <c r="C132" i="5"/>
  <c r="D132" i="5"/>
  <c r="F132" i="5"/>
  <c r="G132" i="5"/>
  <c r="E133" i="5"/>
  <c r="E132" i="5" s="1"/>
  <c r="H133" i="5"/>
  <c r="E134" i="5"/>
  <c r="H134" i="5" s="1"/>
  <c r="E135" i="5"/>
  <c r="H135" i="5" s="1"/>
  <c r="C136" i="5"/>
  <c r="D136" i="5"/>
  <c r="F136" i="5"/>
  <c r="G136" i="5"/>
  <c r="E137" i="5"/>
  <c r="E136" i="5" s="1"/>
  <c r="H137" i="5"/>
  <c r="E138" i="5"/>
  <c r="H138" i="5" s="1"/>
  <c r="E139" i="5"/>
  <c r="H139" i="5"/>
  <c r="E140" i="5"/>
  <c r="H140" i="5" s="1"/>
  <c r="E141" i="5"/>
  <c r="H141" i="5"/>
  <c r="E142" i="5"/>
  <c r="H142" i="5" s="1"/>
  <c r="E143" i="5"/>
  <c r="H143" i="5" s="1"/>
  <c r="E144" i="5"/>
  <c r="H144" i="5" s="1"/>
  <c r="C145" i="5"/>
  <c r="C83" i="5" s="1"/>
  <c r="C158" i="5" s="1"/>
  <c r="D145" i="5"/>
  <c r="D83" i="5" s="1"/>
  <c r="F145" i="5"/>
  <c r="G145" i="5"/>
  <c r="E146" i="5"/>
  <c r="H146" i="5" s="1"/>
  <c r="H145" i="5" s="1"/>
  <c r="E147" i="5"/>
  <c r="H147" i="5"/>
  <c r="E148" i="5"/>
  <c r="H148" i="5" s="1"/>
  <c r="C149" i="5"/>
  <c r="D149" i="5"/>
  <c r="F149" i="5"/>
  <c r="G149" i="5"/>
  <c r="E150" i="5"/>
  <c r="E151" i="5"/>
  <c r="H151" i="5"/>
  <c r="E152" i="5"/>
  <c r="H152" i="5" s="1"/>
  <c r="E153" i="5"/>
  <c r="H153" i="5"/>
  <c r="E154" i="5"/>
  <c r="H154" i="5" s="1"/>
  <c r="E155" i="5"/>
  <c r="H155" i="5" s="1"/>
  <c r="E156" i="5"/>
  <c r="H156" i="5"/>
  <c r="E157" i="5"/>
  <c r="A1" i="4"/>
  <c r="A4" i="4"/>
  <c r="B8" i="4"/>
  <c r="D8" i="4" s="1"/>
  <c r="G8" i="4" s="1"/>
  <c r="C8" i="4"/>
  <c r="E8" i="4"/>
  <c r="F8" i="4"/>
  <c r="D9" i="4"/>
  <c r="G9" i="4"/>
  <c r="D10" i="4"/>
  <c r="G10" i="4"/>
  <c r="D11" i="4"/>
  <c r="G11" i="4"/>
  <c r="D12" i="4"/>
  <c r="G12" i="4"/>
  <c r="D13" i="4"/>
  <c r="G13" i="4"/>
  <c r="D14" i="4"/>
  <c r="G14" i="4"/>
  <c r="D15" i="4"/>
  <c r="G15" i="4"/>
  <c r="B16" i="4"/>
  <c r="D16" i="4" s="1"/>
  <c r="G16" i="4" s="1"/>
  <c r="C16" i="4"/>
  <c r="E16" i="4"/>
  <c r="F16" i="4"/>
  <c r="D17" i="4"/>
  <c r="G17" i="4"/>
  <c r="D18" i="4"/>
  <c r="G18" i="4"/>
  <c r="D19" i="4"/>
  <c r="G19" i="4"/>
  <c r="D20" i="4"/>
  <c r="G20" i="4"/>
  <c r="D21" i="4"/>
  <c r="G21" i="4"/>
  <c r="D22" i="4"/>
  <c r="G22" i="4"/>
  <c r="D23" i="4"/>
  <c r="G23" i="4"/>
  <c r="D24" i="4"/>
  <c r="G24" i="4"/>
  <c r="D25" i="4"/>
  <c r="G25" i="4"/>
  <c r="B26" i="4"/>
  <c r="D26" i="4" s="1"/>
  <c r="G26" i="4" s="1"/>
  <c r="C26" i="4"/>
  <c r="E26" i="4"/>
  <c r="F26" i="4"/>
  <c r="D27" i="4"/>
  <c r="G27" i="4"/>
  <c r="D28" i="4"/>
  <c r="G28" i="4"/>
  <c r="D29" i="4"/>
  <c r="G29" i="4"/>
  <c r="D30" i="4"/>
  <c r="G30" i="4"/>
  <c r="D31" i="4"/>
  <c r="G31" i="4"/>
  <c r="D32" i="4"/>
  <c r="G32" i="4"/>
  <c r="D33" i="4"/>
  <c r="G33" i="4"/>
  <c r="D34" i="4"/>
  <c r="G34" i="4"/>
  <c r="D35" i="4"/>
  <c r="G35" i="4"/>
  <c r="B36" i="4"/>
  <c r="D36" i="4" s="1"/>
  <c r="G36" i="4" s="1"/>
  <c r="C36" i="4"/>
  <c r="E36" i="4"/>
  <c r="F36" i="4"/>
  <c r="D37" i="4"/>
  <c r="G37" i="4"/>
  <c r="D38" i="4"/>
  <c r="G38" i="4"/>
  <c r="D39" i="4"/>
  <c r="G39" i="4"/>
  <c r="D40" i="4"/>
  <c r="G40" i="4"/>
  <c r="D41" i="4"/>
  <c r="G41" i="4"/>
  <c r="D42" i="4"/>
  <c r="G42" i="4"/>
  <c r="D43" i="4"/>
  <c r="G43" i="4"/>
  <c r="D44" i="4"/>
  <c r="G44" i="4"/>
  <c r="D45" i="4"/>
  <c r="G45" i="4"/>
  <c r="B46" i="4"/>
  <c r="D46" i="4" s="1"/>
  <c r="G46" i="4" s="1"/>
  <c r="C46" i="4"/>
  <c r="E46" i="4"/>
  <c r="F46" i="4"/>
  <c r="D47" i="4"/>
  <c r="G47" i="4"/>
  <c r="D48" i="4"/>
  <c r="G48" i="4"/>
  <c r="D49" i="4"/>
  <c r="G49" i="4"/>
  <c r="D50" i="4"/>
  <c r="G50" i="4"/>
  <c r="D51" i="4"/>
  <c r="G51" i="4"/>
  <c r="D52" i="4"/>
  <c r="G52" i="4"/>
  <c r="D53" i="4"/>
  <c r="G53" i="4"/>
  <c r="D54" i="4"/>
  <c r="G54" i="4"/>
  <c r="D55" i="4"/>
  <c r="G55" i="4"/>
  <c r="B56" i="4"/>
  <c r="D56" i="4" s="1"/>
  <c r="G56" i="4" s="1"/>
  <c r="C56" i="4"/>
  <c r="E56" i="4"/>
  <c r="F56" i="4"/>
  <c r="D57" i="4"/>
  <c r="G57" i="4"/>
  <c r="D58" i="4"/>
  <c r="G58" i="4"/>
  <c r="D59" i="4"/>
  <c r="G59" i="4"/>
  <c r="B60" i="4"/>
  <c r="D60" i="4" s="1"/>
  <c r="G60" i="4" s="1"/>
  <c r="C60" i="4"/>
  <c r="E60" i="4"/>
  <c r="F60" i="4"/>
  <c r="D61" i="4"/>
  <c r="G61" i="4"/>
  <c r="D62" i="4"/>
  <c r="G62" i="4"/>
  <c r="D63" i="4"/>
  <c r="G63" i="4"/>
  <c r="D64" i="4"/>
  <c r="G64" i="4"/>
  <c r="D65" i="4"/>
  <c r="G65" i="4"/>
  <c r="D66" i="4"/>
  <c r="G66" i="4"/>
  <c r="D67" i="4"/>
  <c r="G67" i="4"/>
  <c r="B68" i="4"/>
  <c r="D68" i="4" s="1"/>
  <c r="G68" i="4" s="1"/>
  <c r="C68" i="4"/>
  <c r="E68" i="4"/>
  <c r="F68" i="4"/>
  <c r="D69" i="4"/>
  <c r="G69" i="4"/>
  <c r="D70" i="4"/>
  <c r="G70" i="4"/>
  <c r="D71" i="4"/>
  <c r="G71" i="4"/>
  <c r="B72" i="4"/>
  <c r="D72" i="4" s="1"/>
  <c r="G72" i="4" s="1"/>
  <c r="C72" i="4"/>
  <c r="C80" i="4" s="1"/>
  <c r="E72" i="4"/>
  <c r="F72" i="4"/>
  <c r="D73" i="4"/>
  <c r="G73" i="4"/>
  <c r="D74" i="4"/>
  <c r="G74" i="4"/>
  <c r="D75" i="4"/>
  <c r="G75" i="4"/>
  <c r="D76" i="4"/>
  <c r="G76" i="4"/>
  <c r="D77" i="4"/>
  <c r="G77" i="4"/>
  <c r="D78" i="4"/>
  <c r="G78" i="4"/>
  <c r="D79" i="4"/>
  <c r="G79" i="4"/>
  <c r="E80" i="4"/>
  <c r="F80" i="4"/>
  <c r="H18" i="9" s="1"/>
  <c r="A1" i="3"/>
  <c r="A3" i="3"/>
  <c r="D8" i="3"/>
  <c r="E9" i="3"/>
  <c r="E11" i="3"/>
  <c r="E12" i="3"/>
  <c r="D17" i="3"/>
  <c r="A1" i="2"/>
  <c r="A3" i="2"/>
  <c r="A4" i="5" s="1"/>
  <c r="F10" i="2"/>
  <c r="I10" i="2"/>
  <c r="F11" i="2"/>
  <c r="I11" i="2"/>
  <c r="F12" i="2"/>
  <c r="I12" i="2"/>
  <c r="F13" i="2"/>
  <c r="I13" i="2"/>
  <c r="F14" i="2"/>
  <c r="I14" i="2"/>
  <c r="F15" i="2"/>
  <c r="I15" i="2"/>
  <c r="F16" i="2"/>
  <c r="I16" i="2"/>
  <c r="D17" i="2"/>
  <c r="D43" i="2" s="1"/>
  <c r="E17" i="2"/>
  <c r="G17" i="2"/>
  <c r="G43" i="2" s="1"/>
  <c r="G74" i="2" s="1"/>
  <c r="H17" i="2"/>
  <c r="H43" i="2" s="1"/>
  <c r="F19" i="2"/>
  <c r="I19" i="2"/>
  <c r="I17" i="2" s="1"/>
  <c r="F20" i="2"/>
  <c r="F17" i="2" s="1"/>
  <c r="I20" i="2"/>
  <c r="F21" i="2"/>
  <c r="I21" i="2"/>
  <c r="F22" i="2"/>
  <c r="I22" i="2"/>
  <c r="F23" i="2"/>
  <c r="I23" i="2"/>
  <c r="F24" i="2"/>
  <c r="I24" i="2"/>
  <c r="F25" i="2"/>
  <c r="I25" i="2"/>
  <c r="F26" i="2"/>
  <c r="I26" i="2"/>
  <c r="F27" i="2"/>
  <c r="I27" i="2"/>
  <c r="F28" i="2"/>
  <c r="I28" i="2"/>
  <c r="F29" i="2"/>
  <c r="I29" i="2"/>
  <c r="D30" i="2"/>
  <c r="E30" i="2"/>
  <c r="G30" i="2"/>
  <c r="H30" i="2"/>
  <c r="I31" i="2"/>
  <c r="I30" i="2" s="1"/>
  <c r="F32" i="2"/>
  <c r="F30" i="2" s="1"/>
  <c r="I32" i="2"/>
  <c r="F33" i="2"/>
  <c r="I33" i="2"/>
  <c r="F34" i="2"/>
  <c r="I34" i="2"/>
  <c r="F35" i="2"/>
  <c r="I35" i="2"/>
  <c r="F36" i="2"/>
  <c r="I36" i="2"/>
  <c r="D37" i="2"/>
  <c r="E37" i="2"/>
  <c r="G37" i="2"/>
  <c r="H37" i="2"/>
  <c r="F38" i="2"/>
  <c r="F37" i="2" s="1"/>
  <c r="I38" i="2"/>
  <c r="I37" i="2" s="1"/>
  <c r="D39" i="2"/>
  <c r="E39" i="2"/>
  <c r="G39" i="2"/>
  <c r="H39" i="2"/>
  <c r="F40" i="2"/>
  <c r="F39" i="2" s="1"/>
  <c r="I40" i="2"/>
  <c r="I39" i="2" s="1"/>
  <c r="F41" i="2"/>
  <c r="I41" i="2"/>
  <c r="E43" i="2"/>
  <c r="D49" i="2"/>
  <c r="D69" i="2" s="1"/>
  <c r="E49" i="2"/>
  <c r="E69" i="2" s="1"/>
  <c r="E74" i="2" s="1"/>
  <c r="G49" i="2"/>
  <c r="H49" i="2"/>
  <c r="H69" i="2" s="1"/>
  <c r="F50" i="2"/>
  <c r="F49" i="2" s="1"/>
  <c r="I50" i="2"/>
  <c r="F51" i="2"/>
  <c r="I51" i="2"/>
  <c r="F52" i="2"/>
  <c r="I52" i="2"/>
  <c r="F53" i="2"/>
  <c r="I53" i="2"/>
  <c r="I49" i="2" s="1"/>
  <c r="I69" i="2" s="1"/>
  <c r="F54" i="2"/>
  <c r="I54" i="2"/>
  <c r="F55" i="2"/>
  <c r="I55" i="2"/>
  <c r="F56" i="2"/>
  <c r="I56" i="2"/>
  <c r="F57" i="2"/>
  <c r="I57" i="2"/>
  <c r="D58" i="2"/>
  <c r="E58" i="2"/>
  <c r="G58" i="2"/>
  <c r="H58" i="2"/>
  <c r="F59" i="2"/>
  <c r="F58" i="2" s="1"/>
  <c r="I59" i="2"/>
  <c r="I58" i="2" s="1"/>
  <c r="I60" i="2"/>
  <c r="I61" i="2"/>
  <c r="I62" i="2"/>
  <c r="D63" i="2"/>
  <c r="E63" i="2"/>
  <c r="G63" i="2"/>
  <c r="H63" i="2"/>
  <c r="I63" i="2"/>
  <c r="F64" i="2"/>
  <c r="I64" i="2"/>
  <c r="F65" i="2"/>
  <c r="F63" i="2" s="1"/>
  <c r="I65" i="2"/>
  <c r="F66" i="2"/>
  <c r="I66" i="2"/>
  <c r="F67" i="2"/>
  <c r="I67" i="2"/>
  <c r="G69" i="2"/>
  <c r="D71" i="2"/>
  <c r="E71" i="2"/>
  <c r="F71" i="2"/>
  <c r="G71" i="2"/>
  <c r="H71" i="2"/>
  <c r="I71" i="2"/>
  <c r="I72" i="2"/>
  <c r="F77" i="2"/>
  <c r="F79" i="2" s="1"/>
  <c r="I77" i="2"/>
  <c r="F78" i="2"/>
  <c r="I78" i="2"/>
  <c r="I79" i="2" s="1"/>
  <c r="D79" i="2"/>
  <c r="E79" i="2"/>
  <c r="G79" i="2"/>
  <c r="H79" i="2"/>
  <c r="A1" i="1"/>
  <c r="A3" i="1"/>
  <c r="E9" i="1"/>
  <c r="E19" i="1" s="1"/>
  <c r="H9" i="1"/>
  <c r="E10" i="1"/>
  <c r="H10" i="1"/>
  <c r="E11" i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C19" i="1"/>
  <c r="D19" i="1"/>
  <c r="F19" i="1"/>
  <c r="D5" i="3" s="1"/>
  <c r="G19" i="1"/>
  <c r="H19" i="1" s="1"/>
  <c r="C25" i="1"/>
  <c r="C44" i="1" s="1"/>
  <c r="D25" i="1"/>
  <c r="D44" i="1" s="1"/>
  <c r="F25" i="1"/>
  <c r="G25" i="1"/>
  <c r="G44" i="1" s="1"/>
  <c r="E26" i="1"/>
  <c r="H26" i="1"/>
  <c r="E28" i="1"/>
  <c r="E25" i="1" s="1"/>
  <c r="H28" i="1"/>
  <c r="H25" i="1" s="1"/>
  <c r="H44" i="1" s="1"/>
  <c r="E29" i="1"/>
  <c r="H29" i="1"/>
  <c r="E30" i="1"/>
  <c r="H30" i="1"/>
  <c r="E31" i="1"/>
  <c r="H31" i="1"/>
  <c r="E32" i="1"/>
  <c r="H32" i="1"/>
  <c r="E33" i="1"/>
  <c r="H33" i="1"/>
  <c r="C35" i="1"/>
  <c r="D35" i="1"/>
  <c r="F35" i="1"/>
  <c r="G35" i="1"/>
  <c r="E36" i="1"/>
  <c r="E35" i="1" s="1"/>
  <c r="H36" i="1"/>
  <c r="E37" i="1"/>
  <c r="H37" i="1"/>
  <c r="E38" i="1"/>
  <c r="H38" i="1"/>
  <c r="E39" i="1"/>
  <c r="H39" i="1"/>
  <c r="H35" i="1" s="1"/>
  <c r="C41" i="1"/>
  <c r="D41" i="1"/>
  <c r="F41" i="1"/>
  <c r="G41" i="1"/>
  <c r="E42" i="1"/>
  <c r="E41" i="1" s="1"/>
  <c r="H42" i="1"/>
  <c r="H41" i="1" s="1"/>
  <c r="F44" i="1"/>
  <c r="I43" i="2" l="1"/>
  <c r="I74" i="2" s="1"/>
  <c r="F69" i="2"/>
  <c r="F43" i="2"/>
  <c r="F74" i="2" s="1"/>
  <c r="F345" i="13"/>
  <c r="H23" i="10"/>
  <c r="H15" i="9"/>
  <c r="I46" i="2"/>
  <c r="H74" i="2"/>
  <c r="E44" i="1"/>
  <c r="J82" i="2"/>
  <c r="J88" i="2"/>
  <c r="J80" i="2"/>
  <c r="J86" i="2"/>
  <c r="D22" i="3"/>
  <c r="E22" i="3" s="1"/>
  <c r="E5" i="3"/>
  <c r="D74" i="2"/>
  <c r="H45" i="1"/>
  <c r="H30" i="12"/>
  <c r="H29" i="12" s="1"/>
  <c r="E29" i="12"/>
  <c r="E9" i="12" s="1"/>
  <c r="G387" i="13"/>
  <c r="C361" i="13"/>
  <c r="E362" i="13"/>
  <c r="H362" i="13" s="1"/>
  <c r="E337" i="13"/>
  <c r="C336" i="13"/>
  <c r="E336" i="13" s="1"/>
  <c r="F388" i="13"/>
  <c r="H341" i="13"/>
  <c r="I341" i="13"/>
  <c r="H20" i="1"/>
  <c r="C5" i="15"/>
  <c r="H17" i="6"/>
  <c r="H17" i="9"/>
  <c r="G83" i="5"/>
  <c r="G158" i="5" s="1"/>
  <c r="I159" i="5" s="1"/>
  <c r="H132" i="5"/>
  <c r="E92" i="5"/>
  <c r="E84" i="5"/>
  <c r="H62" i="5"/>
  <c r="E48" i="5"/>
  <c r="H15" i="6"/>
  <c r="B44" i="11"/>
  <c r="F374" i="13"/>
  <c r="C345" i="13"/>
  <c r="E346" i="13"/>
  <c r="H346" i="13" s="1"/>
  <c r="H324" i="13"/>
  <c r="I324" i="13"/>
  <c r="H291" i="13"/>
  <c r="I291" i="13"/>
  <c r="H38" i="5"/>
  <c r="H29" i="7"/>
  <c r="H41" i="12"/>
  <c r="H40" i="12" s="1"/>
  <c r="E40" i="12"/>
  <c r="H269" i="13"/>
  <c r="H61" i="13"/>
  <c r="I61" i="13"/>
  <c r="H103" i="5"/>
  <c r="H102" i="5" s="1"/>
  <c r="H58" i="5"/>
  <c r="G8" i="7"/>
  <c r="H25" i="10"/>
  <c r="C383" i="13"/>
  <c r="E384" i="13"/>
  <c r="H379" i="13"/>
  <c r="H377" i="13"/>
  <c r="I377" i="13"/>
  <c r="I372" i="13"/>
  <c r="C367" i="13"/>
  <c r="G366" i="13"/>
  <c r="G365" i="13" s="1"/>
  <c r="H340" i="13"/>
  <c r="I312" i="13"/>
  <c r="H312" i="13"/>
  <c r="F264" i="13"/>
  <c r="I264" i="13" s="1"/>
  <c r="I265" i="13"/>
  <c r="C250" i="13"/>
  <c r="E250" i="13" s="1"/>
  <c r="E251" i="13"/>
  <c r="H251" i="13" s="1"/>
  <c r="H112" i="5"/>
  <c r="I82" i="12"/>
  <c r="H47" i="11"/>
  <c r="H32" i="7"/>
  <c r="H18" i="6"/>
  <c r="H28" i="5"/>
  <c r="G22" i="10"/>
  <c r="H20" i="12"/>
  <c r="H395" i="13"/>
  <c r="I395" i="13"/>
  <c r="F366" i="13"/>
  <c r="D352" i="13"/>
  <c r="D345" i="13" s="1"/>
  <c r="D344" i="13" s="1"/>
  <c r="D343" i="13" s="1"/>
  <c r="H289" i="13"/>
  <c r="I289" i="13"/>
  <c r="H273" i="13"/>
  <c r="G268" i="13"/>
  <c r="H258" i="13"/>
  <c r="I258" i="13"/>
  <c r="H136" i="5"/>
  <c r="B80" i="4"/>
  <c r="I154" i="5" s="1"/>
  <c r="H122" i="5"/>
  <c r="H28" i="6"/>
  <c r="H47" i="12"/>
  <c r="C388" i="13"/>
  <c r="E389" i="13"/>
  <c r="H389" i="13" s="1"/>
  <c r="F382" i="13"/>
  <c r="H354" i="13"/>
  <c r="I354" i="13"/>
  <c r="E122" i="5"/>
  <c r="H26" i="10"/>
  <c r="H45" i="11"/>
  <c r="H92" i="5"/>
  <c r="H84" i="5"/>
  <c r="D9" i="5"/>
  <c r="D158" i="5" s="1"/>
  <c r="I155" i="5" s="1"/>
  <c r="H48" i="5"/>
  <c r="H11" i="5"/>
  <c r="H10" i="5" s="1"/>
  <c r="E10" i="5"/>
  <c r="D46" i="12"/>
  <c r="D82" i="12" s="1"/>
  <c r="I83" i="12" s="1"/>
  <c r="H398" i="13"/>
  <c r="I398" i="13"/>
  <c r="F392" i="13"/>
  <c r="D374" i="13"/>
  <c r="D366" i="13" s="1"/>
  <c r="D365" i="13" s="1"/>
  <c r="H359" i="13"/>
  <c r="F337" i="13"/>
  <c r="I338" i="13"/>
  <c r="F298" i="13"/>
  <c r="I299" i="13"/>
  <c r="F279" i="13"/>
  <c r="H264" i="13"/>
  <c r="D233" i="13"/>
  <c r="E233" i="13" s="1"/>
  <c r="E234" i="13"/>
  <c r="H231" i="13"/>
  <c r="I231" i="13"/>
  <c r="H57" i="12"/>
  <c r="F339" i="13"/>
  <c r="I340" i="13"/>
  <c r="H228" i="13"/>
  <c r="F83" i="5"/>
  <c r="F158" i="5" s="1"/>
  <c r="I158" i="5" s="1"/>
  <c r="E149" i="5"/>
  <c r="H150" i="5"/>
  <c r="H149" i="5" s="1"/>
  <c r="E145" i="5"/>
  <c r="H18" i="5"/>
  <c r="D12" i="8"/>
  <c r="C9" i="8"/>
  <c r="C32" i="8" s="1"/>
  <c r="G46" i="12"/>
  <c r="G82" i="12" s="1"/>
  <c r="I86" i="12" s="1"/>
  <c r="E394" i="13"/>
  <c r="H394" i="13" s="1"/>
  <c r="D393" i="13"/>
  <c r="D392" i="13" s="1"/>
  <c r="E392" i="13" s="1"/>
  <c r="H392" i="13" s="1"/>
  <c r="I356" i="13"/>
  <c r="G352" i="13"/>
  <c r="G345" i="13"/>
  <c r="G344" i="13" s="1"/>
  <c r="G343" i="13" s="1"/>
  <c r="H338" i="13"/>
  <c r="F314" i="13"/>
  <c r="D268" i="13"/>
  <c r="C259" i="13"/>
  <c r="E259" i="13" s="1"/>
  <c r="E260" i="13"/>
  <c r="H260" i="13" s="1"/>
  <c r="H66" i="12"/>
  <c r="H65" i="12" s="1"/>
  <c r="H11" i="12"/>
  <c r="H10" i="12" s="1"/>
  <c r="H9" i="12" s="1"/>
  <c r="E349" i="13"/>
  <c r="H349" i="13" s="1"/>
  <c r="E317" i="13"/>
  <c r="H317" i="13" s="1"/>
  <c r="E315" i="13"/>
  <c r="H315" i="13" s="1"/>
  <c r="H313" i="13"/>
  <c r="C311" i="13"/>
  <c r="E311" i="13" s="1"/>
  <c r="H311" i="13" s="1"/>
  <c r="C306" i="13"/>
  <c r="E306" i="13" s="1"/>
  <c r="H306" i="13" s="1"/>
  <c r="E303" i="13"/>
  <c r="D302" i="13"/>
  <c r="E302" i="13" s="1"/>
  <c r="H302" i="13" s="1"/>
  <c r="H299" i="13"/>
  <c r="I284" i="13"/>
  <c r="C278" i="13"/>
  <c r="I270" i="13"/>
  <c r="H265" i="13"/>
  <c r="E248" i="13"/>
  <c r="H248" i="13" s="1"/>
  <c r="C244" i="13"/>
  <c r="F245" i="13"/>
  <c r="D235" i="13"/>
  <c r="F228" i="13"/>
  <c r="I228" i="13" s="1"/>
  <c r="I229" i="13"/>
  <c r="I147" i="13"/>
  <c r="F142" i="13"/>
  <c r="E75" i="5"/>
  <c r="H25" i="6"/>
  <c r="E28" i="7"/>
  <c r="H31" i="7" s="1"/>
  <c r="D9" i="7"/>
  <c r="G9" i="7" s="1"/>
  <c r="E57" i="12"/>
  <c r="E46" i="12" s="1"/>
  <c r="D333" i="13"/>
  <c r="G322" i="13"/>
  <c r="G296" i="13" s="1"/>
  <c r="E301" i="13"/>
  <c r="F273" i="13"/>
  <c r="I273" i="13" s="1"/>
  <c r="I274" i="13"/>
  <c r="F259" i="13"/>
  <c r="I259" i="13" s="1"/>
  <c r="E257" i="13"/>
  <c r="H257" i="13" s="1"/>
  <c r="C240" i="13"/>
  <c r="E240" i="13" s="1"/>
  <c r="H240" i="13" s="1"/>
  <c r="E241" i="13"/>
  <c r="I223" i="13"/>
  <c r="E333" i="13"/>
  <c r="H333" i="13" s="1"/>
  <c r="I323" i="13"/>
  <c r="H292" i="13"/>
  <c r="F287" i="13"/>
  <c r="I287" i="13" s="1"/>
  <c r="I288" i="13"/>
  <c r="F268" i="13"/>
  <c r="I268" i="13" s="1"/>
  <c r="H238" i="13"/>
  <c r="F235" i="13"/>
  <c r="E226" i="13"/>
  <c r="G218" i="13"/>
  <c r="E375" i="13"/>
  <c r="E369" i="13"/>
  <c r="C339" i="13"/>
  <c r="E339" i="13" s="1"/>
  <c r="H339" i="13" s="1"/>
  <c r="H330" i="13"/>
  <c r="H328" i="13"/>
  <c r="C322" i="13"/>
  <c r="E323" i="13"/>
  <c r="H323" i="13" s="1"/>
  <c r="C320" i="13"/>
  <c r="E321" i="13"/>
  <c r="H321" i="13" s="1"/>
  <c r="I309" i="13"/>
  <c r="H304" i="13"/>
  <c r="H288" i="13"/>
  <c r="G279" i="13"/>
  <c r="G278" i="13" s="1"/>
  <c r="H270" i="13"/>
  <c r="C262" i="13"/>
  <c r="E262" i="13" s="1"/>
  <c r="H262" i="13" s="1"/>
  <c r="E252" i="13"/>
  <c r="I248" i="13"/>
  <c r="H247" i="13"/>
  <c r="C235" i="13"/>
  <c r="E235" i="13" s="1"/>
  <c r="H235" i="13" s="1"/>
  <c r="D397" i="13"/>
  <c r="D396" i="13" s="1"/>
  <c r="E396" i="13" s="1"/>
  <c r="E393" i="13"/>
  <c r="H393" i="13" s="1"/>
  <c r="E385" i="13"/>
  <c r="H385" i="13" s="1"/>
  <c r="I333" i="13"/>
  <c r="F331" i="13"/>
  <c r="I331" i="13" s="1"/>
  <c r="I332" i="13"/>
  <c r="H318" i="13"/>
  <c r="E316" i="13"/>
  <c r="H316" i="13" s="1"/>
  <c r="H310" i="13"/>
  <c r="H308" i="13"/>
  <c r="F282" i="13"/>
  <c r="I282" i="13" s="1"/>
  <c r="I283" i="13"/>
  <c r="E276" i="13"/>
  <c r="E272" i="13"/>
  <c r="G259" i="13"/>
  <c r="D248" i="13"/>
  <c r="D244" i="13" s="1"/>
  <c r="E249" i="13"/>
  <c r="G244" i="13"/>
  <c r="E242" i="13"/>
  <c r="H242" i="13" s="1"/>
  <c r="I225" i="13"/>
  <c r="G24" i="8"/>
  <c r="G21" i="8" s="1"/>
  <c r="H79" i="12"/>
  <c r="H76" i="12" s="1"/>
  <c r="F322" i="13"/>
  <c r="E314" i="13"/>
  <c r="H314" i="13" s="1"/>
  <c r="E300" i="13"/>
  <c r="H300" i="13" s="1"/>
  <c r="E281" i="13"/>
  <c r="D280" i="13"/>
  <c r="C268" i="13"/>
  <c r="E268" i="13" s="1"/>
  <c r="F250" i="13"/>
  <c r="I250" i="13" s="1"/>
  <c r="I251" i="13"/>
  <c r="E326" i="13"/>
  <c r="D325" i="13"/>
  <c r="E325" i="13" s="1"/>
  <c r="G306" i="13"/>
  <c r="I275" i="13"/>
  <c r="I271" i="13"/>
  <c r="H245" i="13"/>
  <c r="D226" i="13"/>
  <c r="D218" i="13" s="1"/>
  <c r="E227" i="13"/>
  <c r="F218" i="13"/>
  <c r="I216" i="13"/>
  <c r="F209" i="13"/>
  <c r="H215" i="13"/>
  <c r="I215" i="13"/>
  <c r="E141" i="13"/>
  <c r="C140" i="13"/>
  <c r="E140" i="13" s="1"/>
  <c r="H140" i="13" s="1"/>
  <c r="H134" i="13"/>
  <c r="I294" i="13"/>
  <c r="I290" i="13"/>
  <c r="I286" i="13"/>
  <c r="E236" i="13"/>
  <c r="H236" i="13" s="1"/>
  <c r="E229" i="13"/>
  <c r="H229" i="13" s="1"/>
  <c r="E222" i="13"/>
  <c r="H222" i="13" s="1"/>
  <c r="I217" i="13"/>
  <c r="C205" i="13"/>
  <c r="E205" i="13" s="1"/>
  <c r="H205" i="13" s="1"/>
  <c r="E206" i="13"/>
  <c r="H206" i="13" s="1"/>
  <c r="H203" i="13"/>
  <c r="E202" i="13"/>
  <c r="H202" i="13" s="1"/>
  <c r="C200" i="13"/>
  <c r="E200" i="13" s="1"/>
  <c r="H200" i="13" s="1"/>
  <c r="H188" i="13"/>
  <c r="E179" i="13"/>
  <c r="H179" i="13" s="1"/>
  <c r="H173" i="13"/>
  <c r="I173" i="13"/>
  <c r="H155" i="13"/>
  <c r="H148" i="13"/>
  <c r="I148" i="13"/>
  <c r="C145" i="13"/>
  <c r="E146" i="13"/>
  <c r="H146" i="13" s="1"/>
  <c r="I140" i="13"/>
  <c r="C209" i="13"/>
  <c r="E210" i="13"/>
  <c r="H210" i="13" s="1"/>
  <c r="I184" i="13"/>
  <c r="H168" i="13"/>
  <c r="I151" i="13"/>
  <c r="E99" i="13"/>
  <c r="C98" i="13"/>
  <c r="G81" i="13"/>
  <c r="I200" i="13"/>
  <c r="H147" i="13"/>
  <c r="F131" i="13"/>
  <c r="I131" i="13" s="1"/>
  <c r="I116" i="13"/>
  <c r="G107" i="13"/>
  <c r="F99" i="13"/>
  <c r="I101" i="13"/>
  <c r="F75" i="13"/>
  <c r="E46" i="13"/>
  <c r="C43" i="13"/>
  <c r="E43" i="13" s="1"/>
  <c r="H43" i="13" s="1"/>
  <c r="C37" i="13"/>
  <c r="E37" i="13" s="1"/>
  <c r="H37" i="13" s="1"/>
  <c r="H30" i="13"/>
  <c r="I30" i="13"/>
  <c r="I256" i="13"/>
  <c r="I243" i="13"/>
  <c r="C223" i="13"/>
  <c r="E223" i="13" s="1"/>
  <c r="H223" i="13" s="1"/>
  <c r="H217" i="13"/>
  <c r="I208" i="13"/>
  <c r="C198" i="13"/>
  <c r="E198" i="13" s="1"/>
  <c r="H198" i="13" s="1"/>
  <c r="E199" i="13"/>
  <c r="H199" i="13" s="1"/>
  <c r="F193" i="13"/>
  <c r="H193" i="13" s="1"/>
  <c r="I194" i="13"/>
  <c r="I154" i="13"/>
  <c r="G142" i="13"/>
  <c r="H139" i="13"/>
  <c r="I139" i="13"/>
  <c r="E127" i="13"/>
  <c r="H127" i="13" s="1"/>
  <c r="C95" i="13"/>
  <c r="E95" i="13" s="1"/>
  <c r="H95" i="13" s="1"/>
  <c r="E96" i="13"/>
  <c r="H96" i="13" s="1"/>
  <c r="E78" i="13"/>
  <c r="H78" i="13" s="1"/>
  <c r="C75" i="13"/>
  <c r="H55" i="13"/>
  <c r="I55" i="13"/>
  <c r="E307" i="13"/>
  <c r="H307" i="13" s="1"/>
  <c r="E261" i="13"/>
  <c r="H261" i="13" s="1"/>
  <c r="E254" i="13"/>
  <c r="H254" i="13" s="1"/>
  <c r="E232" i="13"/>
  <c r="H232" i="13" s="1"/>
  <c r="I214" i="13"/>
  <c r="I198" i="13"/>
  <c r="H189" i="13"/>
  <c r="I189" i="13"/>
  <c r="D179" i="13"/>
  <c r="D176" i="13" s="1"/>
  <c r="E180" i="13"/>
  <c r="E174" i="13"/>
  <c r="H174" i="13" s="1"/>
  <c r="H172" i="13"/>
  <c r="I166" i="13"/>
  <c r="D159" i="13"/>
  <c r="H156" i="13"/>
  <c r="I156" i="13"/>
  <c r="E149" i="13"/>
  <c r="H149" i="13" s="1"/>
  <c r="I143" i="13"/>
  <c r="H131" i="13"/>
  <c r="E124" i="13"/>
  <c r="H124" i="13" s="1"/>
  <c r="D123" i="13"/>
  <c r="I102" i="13"/>
  <c r="G11" i="13"/>
  <c r="G10" i="13" s="1"/>
  <c r="G17" i="14"/>
  <c r="G15" i="14" s="1"/>
  <c r="G8" i="14" s="1"/>
  <c r="G31" i="14" s="1"/>
  <c r="D15" i="14"/>
  <c r="D8" i="14" s="1"/>
  <c r="C221" i="13"/>
  <c r="I219" i="13"/>
  <c r="D209" i="13"/>
  <c r="I207" i="13"/>
  <c r="I197" i="13"/>
  <c r="C186" i="13"/>
  <c r="E186" i="13" s="1"/>
  <c r="H186" i="13" s="1"/>
  <c r="E187" i="13"/>
  <c r="H187" i="13" s="1"/>
  <c r="G181" i="13"/>
  <c r="G176" i="13" s="1"/>
  <c r="G158" i="13" s="1"/>
  <c r="E177" i="13"/>
  <c r="H177" i="13" s="1"/>
  <c r="I174" i="13"/>
  <c r="H167" i="13"/>
  <c r="I167" i="13"/>
  <c r="E160" i="13"/>
  <c r="H160" i="13" s="1"/>
  <c r="C153" i="13"/>
  <c r="E153" i="13" s="1"/>
  <c r="H153" i="13" s="1"/>
  <c r="E154" i="13"/>
  <c r="H154" i="13" s="1"/>
  <c r="I149" i="13"/>
  <c r="F137" i="13"/>
  <c r="I138" i="13"/>
  <c r="H58" i="13"/>
  <c r="I58" i="13"/>
  <c r="I222" i="13"/>
  <c r="E214" i="13"/>
  <c r="H214" i="13" s="1"/>
  <c r="I206" i="13"/>
  <c r="I202" i="13"/>
  <c r="D195" i="13"/>
  <c r="E195" i="13" s="1"/>
  <c r="E196" i="13"/>
  <c r="G190" i="13"/>
  <c r="I186" i="13"/>
  <c r="F181" i="13"/>
  <c r="I181" i="13" s="1"/>
  <c r="I177" i="13"/>
  <c r="C164" i="13"/>
  <c r="E164" i="13" s="1"/>
  <c r="H164" i="13" s="1"/>
  <c r="E165" i="13"/>
  <c r="H165" i="13" s="1"/>
  <c r="H162" i="13"/>
  <c r="F159" i="13"/>
  <c r="I160" i="13"/>
  <c r="I153" i="13"/>
  <c r="E126" i="13"/>
  <c r="H126" i="13" s="1"/>
  <c r="D125" i="13"/>
  <c r="E125" i="13" s="1"/>
  <c r="I51" i="13"/>
  <c r="F50" i="13"/>
  <c r="E182" i="13"/>
  <c r="H182" i="13" s="1"/>
  <c r="I178" i="13"/>
  <c r="D138" i="13"/>
  <c r="D137" i="13" s="1"/>
  <c r="F134" i="13"/>
  <c r="E132" i="13"/>
  <c r="H132" i="13" s="1"/>
  <c r="C129" i="13"/>
  <c r="E129" i="13" s="1"/>
  <c r="H129" i="13" s="1"/>
  <c r="F127" i="13"/>
  <c r="F122" i="13"/>
  <c r="E116" i="13"/>
  <c r="H116" i="13" s="1"/>
  <c r="E103" i="13"/>
  <c r="H103" i="13" s="1"/>
  <c r="C72" i="13"/>
  <c r="E73" i="13"/>
  <c r="I59" i="13"/>
  <c r="H56" i="13"/>
  <c r="I56" i="13"/>
  <c r="I52" i="13"/>
  <c r="C11" i="13"/>
  <c r="E191" i="13"/>
  <c r="H191" i="13" s="1"/>
  <c r="E175" i="13"/>
  <c r="H175" i="13" s="1"/>
  <c r="E169" i="13"/>
  <c r="H169" i="13" s="1"/>
  <c r="E161" i="13"/>
  <c r="H161" i="13" s="1"/>
  <c r="E150" i="13"/>
  <c r="H150" i="13" s="1"/>
  <c r="D142" i="13"/>
  <c r="E138" i="13"/>
  <c r="H138" i="13" s="1"/>
  <c r="E135" i="13"/>
  <c r="H101" i="13"/>
  <c r="G98" i="13"/>
  <c r="H97" i="13"/>
  <c r="F86" i="13"/>
  <c r="I84" i="13"/>
  <c r="D82" i="13"/>
  <c r="D81" i="13" s="1"/>
  <c r="E83" i="13"/>
  <c r="I77" i="13"/>
  <c r="E76" i="13"/>
  <c r="H76" i="13" s="1"/>
  <c r="I62" i="13"/>
  <c r="E33" i="13"/>
  <c r="H33" i="13" s="1"/>
  <c r="E31" i="13"/>
  <c r="D28" i="13"/>
  <c r="D25" i="13" s="1"/>
  <c r="I16" i="13"/>
  <c r="F31" i="14"/>
  <c r="E30" i="16"/>
  <c r="E31" i="16" s="1"/>
  <c r="E192" i="13"/>
  <c r="E102" i="13"/>
  <c r="H102" i="13" s="1"/>
  <c r="D98" i="13"/>
  <c r="I92" i="13"/>
  <c r="C88" i="13"/>
  <c r="E88" i="13" s="1"/>
  <c r="I65" i="13"/>
  <c r="C54" i="13"/>
  <c r="I41" i="13"/>
  <c r="G37" i="13"/>
  <c r="I27" i="13"/>
  <c r="F26" i="13"/>
  <c r="G21" i="14"/>
  <c r="G20" i="14" s="1"/>
  <c r="D20" i="14"/>
  <c r="C108" i="13"/>
  <c r="E109" i="13"/>
  <c r="C86" i="13"/>
  <c r="E86" i="13" s="1"/>
  <c r="H86" i="13" s="1"/>
  <c r="E87" i="13"/>
  <c r="H87" i="13" s="1"/>
  <c r="I34" i="13"/>
  <c r="I32" i="13"/>
  <c r="I23" i="13"/>
  <c r="F20" i="13"/>
  <c r="E194" i="13"/>
  <c r="H194" i="13" s="1"/>
  <c r="C133" i="13"/>
  <c r="E133" i="13" s="1"/>
  <c r="D127" i="13"/>
  <c r="E128" i="13"/>
  <c r="H128" i="13" s="1"/>
  <c r="F120" i="13"/>
  <c r="I120" i="13" s="1"/>
  <c r="I118" i="13"/>
  <c r="D116" i="13"/>
  <c r="D107" i="13" s="1"/>
  <c r="E117" i="13"/>
  <c r="F105" i="13"/>
  <c r="F95" i="13"/>
  <c r="I91" i="13"/>
  <c r="H90" i="13"/>
  <c r="I90" i="13"/>
  <c r="G54" i="13"/>
  <c r="G47" i="13"/>
  <c r="I43" i="13"/>
  <c r="E41" i="13"/>
  <c r="H41" i="13" s="1"/>
  <c r="D38" i="13"/>
  <c r="D37" i="13" s="1"/>
  <c r="E39" i="13"/>
  <c r="C25" i="13"/>
  <c r="E25" i="13" s="1"/>
  <c r="D20" i="13"/>
  <c r="I19" i="13"/>
  <c r="I126" i="13"/>
  <c r="I78" i="13"/>
  <c r="E69" i="13"/>
  <c r="H69" i="13" s="1"/>
  <c r="H60" i="13"/>
  <c r="F54" i="13"/>
  <c r="F48" i="13"/>
  <c r="I49" i="13"/>
  <c r="C28" i="13"/>
  <c r="G25" i="13"/>
  <c r="C21" i="13"/>
  <c r="E22" i="13"/>
  <c r="I17" i="13"/>
  <c r="C120" i="13"/>
  <c r="E120" i="13" s="1"/>
  <c r="E121" i="13"/>
  <c r="H121" i="13" s="1"/>
  <c r="E119" i="13"/>
  <c r="H114" i="13"/>
  <c r="C105" i="13"/>
  <c r="E106" i="13"/>
  <c r="H106" i="13" s="1"/>
  <c r="E92" i="13"/>
  <c r="H92" i="13" s="1"/>
  <c r="I64" i="13"/>
  <c r="E63" i="13"/>
  <c r="H63" i="13" s="1"/>
  <c r="D54" i="13"/>
  <c r="I42" i="13"/>
  <c r="I40" i="13"/>
  <c r="H26" i="13"/>
  <c r="I12" i="13"/>
  <c r="F11" i="13"/>
  <c r="D18" i="16"/>
  <c r="D31" i="16" s="1"/>
  <c r="E51" i="13"/>
  <c r="H51" i="13" s="1"/>
  <c r="D50" i="13"/>
  <c r="E50" i="13" s="1"/>
  <c r="H50" i="13" s="1"/>
  <c r="E27" i="13"/>
  <c r="H27" i="13" s="1"/>
  <c r="E12" i="13"/>
  <c r="H12" i="13" s="1"/>
  <c r="D11" i="13"/>
  <c r="D10" i="13" s="1"/>
  <c r="I103" i="13"/>
  <c r="I96" i="13"/>
  <c r="I70" i="13"/>
  <c r="E44" i="13"/>
  <c r="E36" i="13"/>
  <c r="I24" i="13"/>
  <c r="H396" i="13" l="1"/>
  <c r="I396" i="13"/>
  <c r="H195" i="13"/>
  <c r="I195" i="13"/>
  <c r="E82" i="12"/>
  <c r="I84" i="12" s="1"/>
  <c r="H233" i="13"/>
  <c r="I233" i="13"/>
  <c r="H125" i="13"/>
  <c r="I125" i="13"/>
  <c r="E209" i="13"/>
  <c r="H209" i="13" s="1"/>
  <c r="I303" i="13"/>
  <c r="H303" i="13"/>
  <c r="C382" i="13"/>
  <c r="E382" i="13" s="1"/>
  <c r="H382" i="13" s="1"/>
  <c r="E383" i="13"/>
  <c r="E82" i="13"/>
  <c r="H73" i="13"/>
  <c r="I73" i="13"/>
  <c r="I134" i="13"/>
  <c r="F133" i="13"/>
  <c r="I133" i="13" s="1"/>
  <c r="E123" i="13"/>
  <c r="H123" i="13" s="1"/>
  <c r="D122" i="13"/>
  <c r="I165" i="13"/>
  <c r="D190" i="13"/>
  <c r="D158" i="13" s="1"/>
  <c r="F98" i="13"/>
  <c r="I98" i="13" s="1"/>
  <c r="I99" i="13"/>
  <c r="I175" i="13"/>
  <c r="I209" i="13"/>
  <c r="I261" i="13"/>
  <c r="I272" i="13"/>
  <c r="H272" i="13"/>
  <c r="I164" i="13"/>
  <c r="H252" i="13"/>
  <c r="I252" i="13"/>
  <c r="E320" i="13"/>
  <c r="H320" i="13" s="1"/>
  <c r="C319" i="13"/>
  <c r="E319" i="13" s="1"/>
  <c r="H319" i="13" s="1"/>
  <c r="E397" i="13"/>
  <c r="I257" i="13"/>
  <c r="G12" i="8"/>
  <c r="G9" i="8" s="1"/>
  <c r="G32" i="8" s="1"/>
  <c r="D9" i="8"/>
  <c r="D32" i="8" s="1"/>
  <c r="E9" i="5"/>
  <c r="E158" i="5" s="1"/>
  <c r="I156" i="5" s="1"/>
  <c r="C387" i="13"/>
  <c r="E388" i="13"/>
  <c r="H388" i="13" s="1"/>
  <c r="F365" i="13"/>
  <c r="I311" i="13"/>
  <c r="E83" i="5"/>
  <c r="I37" i="13"/>
  <c r="C104" i="13"/>
  <c r="E104" i="13" s="1"/>
  <c r="E105" i="13"/>
  <c r="H105" i="13" s="1"/>
  <c r="H39" i="13"/>
  <c r="I39" i="13"/>
  <c r="H375" i="13"/>
  <c r="I375" i="13"/>
  <c r="H241" i="13"/>
  <c r="I241" i="13"/>
  <c r="E352" i="13"/>
  <c r="I121" i="13"/>
  <c r="H119" i="13"/>
  <c r="I119" i="13"/>
  <c r="E28" i="13"/>
  <c r="C81" i="13"/>
  <c r="I95" i="13"/>
  <c r="I26" i="13"/>
  <c r="F25" i="13"/>
  <c r="I25" i="13" s="1"/>
  <c r="H88" i="13"/>
  <c r="I88" i="13"/>
  <c r="H83" i="13"/>
  <c r="I83" i="13"/>
  <c r="C71" i="13"/>
  <c r="E71" i="13" s="1"/>
  <c r="E72" i="13"/>
  <c r="I146" i="13"/>
  <c r="I182" i="13"/>
  <c r="C176" i="13"/>
  <c r="E176" i="13" s="1"/>
  <c r="E221" i="13"/>
  <c r="C218" i="13"/>
  <c r="E218" i="13" s="1"/>
  <c r="H218" i="13" s="1"/>
  <c r="E38" i="13"/>
  <c r="F176" i="13"/>
  <c r="I176" i="13" s="1"/>
  <c r="H325" i="13"/>
  <c r="I325" i="13"/>
  <c r="H268" i="13"/>
  <c r="I276" i="13"/>
  <c r="H276" i="13"/>
  <c r="I169" i="13"/>
  <c r="I242" i="13"/>
  <c r="I339" i="13"/>
  <c r="I393" i="13"/>
  <c r="H9" i="5"/>
  <c r="H46" i="12"/>
  <c r="H82" i="12" s="1"/>
  <c r="I87" i="12" s="1"/>
  <c r="E374" i="13"/>
  <c r="H374" i="13" s="1"/>
  <c r="H250" i="13"/>
  <c r="C366" i="13"/>
  <c r="E367" i="13"/>
  <c r="H287" i="13"/>
  <c r="I306" i="13"/>
  <c r="H282" i="13"/>
  <c r="I346" i="13"/>
  <c r="D80" i="13"/>
  <c r="D31" i="14"/>
  <c r="I210" i="13"/>
  <c r="H181" i="13"/>
  <c r="F278" i="13"/>
  <c r="I392" i="13"/>
  <c r="I302" i="13"/>
  <c r="D387" i="13"/>
  <c r="D28" i="7"/>
  <c r="I260" i="13"/>
  <c r="E345" i="13"/>
  <c r="H345" i="13" s="1"/>
  <c r="J85" i="2"/>
  <c r="J79" i="2"/>
  <c r="F344" i="13"/>
  <c r="F107" i="13"/>
  <c r="C74" i="13"/>
  <c r="E74" i="13" s="1"/>
  <c r="E75" i="13"/>
  <c r="H75" i="13" s="1"/>
  <c r="I132" i="13"/>
  <c r="I128" i="13"/>
  <c r="I281" i="13"/>
  <c r="H281" i="13"/>
  <c r="H226" i="13"/>
  <c r="I226" i="13"/>
  <c r="H259" i="13"/>
  <c r="I374" i="13"/>
  <c r="H337" i="13"/>
  <c r="C20" i="13"/>
  <c r="E20" i="13" s="1"/>
  <c r="H20" i="13" s="1"/>
  <c r="E21" i="13"/>
  <c r="H36" i="13"/>
  <c r="I36" i="13"/>
  <c r="I105" i="13"/>
  <c r="F104" i="13"/>
  <c r="I104" i="13" s="1"/>
  <c r="D279" i="13"/>
  <c r="E280" i="13"/>
  <c r="H44" i="13"/>
  <c r="I44" i="13"/>
  <c r="F47" i="13"/>
  <c r="I48" i="13"/>
  <c r="H135" i="13"/>
  <c r="I135" i="13"/>
  <c r="G80" i="13"/>
  <c r="H227" i="13"/>
  <c r="I227" i="13"/>
  <c r="C137" i="13"/>
  <c r="E137" i="13" s="1"/>
  <c r="H137" i="13" s="1"/>
  <c r="H117" i="13"/>
  <c r="I117" i="13"/>
  <c r="I86" i="13"/>
  <c r="I122" i="13"/>
  <c r="H48" i="13"/>
  <c r="C159" i="13"/>
  <c r="G9" i="13"/>
  <c r="H180" i="13"/>
  <c r="I180" i="13"/>
  <c r="I161" i="13"/>
  <c r="H46" i="13"/>
  <c r="I46" i="13"/>
  <c r="E98" i="13"/>
  <c r="I199" i="13"/>
  <c r="E145" i="13"/>
  <c r="C142" i="13"/>
  <c r="E142" i="13" s="1"/>
  <c r="H142" i="13" s="1"/>
  <c r="C190" i="13"/>
  <c r="H141" i="13"/>
  <c r="I141" i="13"/>
  <c r="I232" i="13"/>
  <c r="D297" i="13"/>
  <c r="I236" i="13"/>
  <c r="F297" i="13"/>
  <c r="I298" i="13"/>
  <c r="H298" i="13"/>
  <c r="H83" i="5"/>
  <c r="H28" i="7"/>
  <c r="H14" i="6"/>
  <c r="H22" i="10"/>
  <c r="H14" i="9"/>
  <c r="D80" i="4"/>
  <c r="I385" i="13"/>
  <c r="D44" i="11"/>
  <c r="G44" i="11" s="1"/>
  <c r="H44" i="11"/>
  <c r="H331" i="13"/>
  <c r="J81" i="2"/>
  <c r="J87" i="2"/>
  <c r="I69" i="13"/>
  <c r="I193" i="13"/>
  <c r="F190" i="13"/>
  <c r="C122" i="13"/>
  <c r="E122" i="13" s="1"/>
  <c r="H122" i="13" s="1"/>
  <c r="I326" i="13"/>
  <c r="H326" i="13"/>
  <c r="H120" i="13"/>
  <c r="I106" i="13"/>
  <c r="H31" i="13"/>
  <c r="I31" i="13"/>
  <c r="C10" i="13"/>
  <c r="E11" i="13"/>
  <c r="H11" i="13" s="1"/>
  <c r="I54" i="13"/>
  <c r="H133" i="13"/>
  <c r="I11" i="13"/>
  <c r="F10" i="13"/>
  <c r="F81" i="13"/>
  <c r="H109" i="13"/>
  <c r="I109" i="13"/>
  <c r="E54" i="13"/>
  <c r="H54" i="13" s="1"/>
  <c r="I129" i="13"/>
  <c r="C47" i="13"/>
  <c r="I87" i="13"/>
  <c r="I127" i="13"/>
  <c r="I50" i="13"/>
  <c r="I196" i="13"/>
  <c r="H196" i="13"/>
  <c r="I63" i="13"/>
  <c r="I33" i="13"/>
  <c r="I187" i="13"/>
  <c r="I76" i="13"/>
  <c r="H99" i="13"/>
  <c r="I205" i="13"/>
  <c r="I179" i="13"/>
  <c r="H249" i="13"/>
  <c r="I249" i="13"/>
  <c r="I300" i="13"/>
  <c r="I240" i="13"/>
  <c r="I235" i="13"/>
  <c r="I191" i="13"/>
  <c r="I245" i="13"/>
  <c r="F244" i="13"/>
  <c r="D322" i="13"/>
  <c r="E322" i="13" s="1"/>
  <c r="I382" i="13"/>
  <c r="I389" i="13"/>
  <c r="C360" i="13"/>
  <c r="E360" i="13" s="1"/>
  <c r="H360" i="13" s="1"/>
  <c r="E361" i="13"/>
  <c r="H361" i="13" s="1"/>
  <c r="J89" i="2"/>
  <c r="J83" i="2"/>
  <c r="H22" i="13"/>
  <c r="I22" i="13"/>
  <c r="H25" i="13"/>
  <c r="C107" i="13"/>
  <c r="E107" i="13" s="1"/>
  <c r="H107" i="13" s="1"/>
  <c r="E108" i="13"/>
  <c r="I192" i="13"/>
  <c r="H192" i="13"/>
  <c r="D47" i="13"/>
  <c r="D9" i="13" s="1"/>
  <c r="F74" i="13"/>
  <c r="I74" i="13" s="1"/>
  <c r="I150" i="13"/>
  <c r="H369" i="13"/>
  <c r="I369" i="13"/>
  <c r="H301" i="13"/>
  <c r="I301" i="13"/>
  <c r="I142" i="13"/>
  <c r="E244" i="13"/>
  <c r="H244" i="13" s="1"/>
  <c r="H234" i="13"/>
  <c r="I234" i="13"/>
  <c r="F336" i="13"/>
  <c r="I336" i="13" s="1"/>
  <c r="I337" i="13"/>
  <c r="C296" i="13"/>
  <c r="H384" i="13"/>
  <c r="I384" i="13"/>
  <c r="D5" i="15"/>
  <c r="C41" i="15"/>
  <c r="D42" i="15" s="1"/>
  <c r="F387" i="13"/>
  <c r="I388" i="13"/>
  <c r="G401" i="13"/>
  <c r="J90" i="2"/>
  <c r="J84" i="2"/>
  <c r="H322" i="13" l="1"/>
  <c r="I322" i="13"/>
  <c r="F9" i="13"/>
  <c r="D296" i="13"/>
  <c r="E296" i="13" s="1"/>
  <c r="H296" i="13" s="1"/>
  <c r="E297" i="13"/>
  <c r="H297" i="13" s="1"/>
  <c r="H71" i="13"/>
  <c r="I71" i="13"/>
  <c r="C80" i="13"/>
  <c r="E80" i="13" s="1"/>
  <c r="E81" i="13"/>
  <c r="H81" i="13" s="1"/>
  <c r="H82" i="13"/>
  <c r="I82" i="13"/>
  <c r="F158" i="13"/>
  <c r="I158" i="13" s="1"/>
  <c r="H280" i="13"/>
  <c r="I280" i="13"/>
  <c r="H367" i="13"/>
  <c r="I367" i="13"/>
  <c r="H38" i="13"/>
  <c r="I38" i="13"/>
  <c r="H28" i="13"/>
  <c r="I28" i="13"/>
  <c r="H383" i="13"/>
  <c r="I383" i="13"/>
  <c r="H108" i="13"/>
  <c r="I108" i="13"/>
  <c r="E47" i="13"/>
  <c r="H47" i="13" s="1"/>
  <c r="D278" i="13"/>
  <c r="E278" i="13" s="1"/>
  <c r="H278" i="13" s="1"/>
  <c r="E279" i="13"/>
  <c r="H336" i="13"/>
  <c r="I137" i="13"/>
  <c r="C365" i="13"/>
  <c r="E365" i="13" s="1"/>
  <c r="H365" i="13" s="1"/>
  <c r="E366" i="13"/>
  <c r="C158" i="13"/>
  <c r="E158" i="13" s="1"/>
  <c r="E159" i="13"/>
  <c r="H221" i="13"/>
  <c r="I221" i="13"/>
  <c r="H397" i="13"/>
  <c r="I397" i="13"/>
  <c r="E190" i="13"/>
  <c r="H190" i="13" s="1"/>
  <c r="H74" i="13"/>
  <c r="C344" i="13"/>
  <c r="H176" i="13"/>
  <c r="F80" i="13"/>
  <c r="I80" i="13" s="1"/>
  <c r="I81" i="13"/>
  <c r="I20" i="13"/>
  <c r="I75" i="13"/>
  <c r="E10" i="13"/>
  <c r="H10" i="13" s="1"/>
  <c r="C9" i="13"/>
  <c r="E9" i="13" s="1"/>
  <c r="H9" i="13" s="1"/>
  <c r="I190" i="13"/>
  <c r="I107" i="13"/>
  <c r="H352" i="13"/>
  <c r="I352" i="13"/>
  <c r="H21" i="13"/>
  <c r="I21" i="13"/>
  <c r="F343" i="13"/>
  <c r="H72" i="13"/>
  <c r="I72" i="13"/>
  <c r="H98" i="13"/>
  <c r="F401" i="13"/>
  <c r="I278" i="13"/>
  <c r="I244" i="13"/>
  <c r="H16" i="9"/>
  <c r="G80" i="4"/>
  <c r="H26" i="6"/>
  <c r="H24" i="10"/>
  <c r="H16" i="6"/>
  <c r="I297" i="13"/>
  <c r="F296" i="13"/>
  <c r="H145" i="13"/>
  <c r="I145" i="13"/>
  <c r="I47" i="13"/>
  <c r="I345" i="13"/>
  <c r="H30" i="7"/>
  <c r="G28" i="7"/>
  <c r="H33" i="7" s="1"/>
  <c r="I218" i="13"/>
  <c r="H158" i="5"/>
  <c r="I157" i="5" s="1"/>
  <c r="H104" i="13"/>
  <c r="E387" i="13"/>
  <c r="I365" i="13" l="1"/>
  <c r="H387" i="13"/>
  <c r="H19" i="9"/>
  <c r="H21" i="9"/>
  <c r="H29" i="6"/>
  <c r="H27" i="10"/>
  <c r="H279" i="13"/>
  <c r="I279" i="13"/>
  <c r="I10" i="13"/>
  <c r="E344" i="13"/>
  <c r="C343" i="13"/>
  <c r="D401" i="13"/>
  <c r="I9" i="13"/>
  <c r="H159" i="13"/>
  <c r="I159" i="13"/>
  <c r="I296" i="13"/>
  <c r="H158" i="13"/>
  <c r="H80" i="13"/>
  <c r="I387" i="13"/>
  <c r="H48" i="11"/>
  <c r="H366" i="13"/>
  <c r="I366" i="13"/>
  <c r="H344" i="13" l="1"/>
  <c r="I344" i="13"/>
  <c r="E343" i="13"/>
  <c r="C401" i="13"/>
  <c r="H343" i="13" l="1"/>
  <c r="H401" i="13" s="1"/>
  <c r="I343" i="13"/>
  <c r="E401" i="13"/>
  <c r="I401" i="13" s="1"/>
</calcChain>
</file>

<file path=xl/sharedStrings.xml><?xml version="1.0" encoding="utf-8"?>
<sst xmlns="http://schemas.openxmlformats.org/spreadsheetml/2006/main" count="1183" uniqueCount="784">
  <si>
    <t>El importe reflejado siempre debe ser mayor a cero. Nunca en rojo.</t>
  </si>
  <si>
    <t>Los Ingresos Excedentes  se presentan para efectos de cumplimiento de la Ley de Ingresos del Estado y Ley de Contabilidad Gubernamental.</t>
  </si>
  <si>
    <r>
      <rPr>
        <b/>
        <vertAlign val="superscript"/>
        <sz val="9"/>
        <color theme="0" tint="-0.34998626667073579"/>
        <rFont val="Arial Narrow"/>
        <family val="2"/>
      </rPr>
      <t>3</t>
    </r>
    <r>
      <rPr>
        <sz val="9"/>
        <color theme="0" tint="-0.34998626667073579"/>
        <rFont val="Arial Narrow"/>
        <family val="2"/>
      </rPr>
      <t xml:space="preserve"> Se refiere a los ingresos propios obtenidos por los Poderes Legislativo y Judicial, los Organos Autónomos y las entidades de la administracion pública paraestataly paramunicipal, por sus actividades diversas no inherentes a su operación que general recursos y que no sean ingresos por venta de bienes o prestación de servicios, tales como donativos en efectivo, entre otros.</t>
    </r>
  </si>
  <si>
    <r>
      <rPr>
        <b/>
        <vertAlign val="superscript"/>
        <sz val="9"/>
        <color theme="0" tint="-0.34998626667073579"/>
        <rFont val="Arial Narrow"/>
        <family val="2"/>
      </rPr>
      <t>2</t>
    </r>
    <r>
      <rPr>
        <vertAlign val="superscript"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donativos en efectivo del Poder Ejecutivo, entre otros aprovechamientos.</t>
    </r>
  </si>
  <si>
    <r>
      <rPr>
        <b/>
        <vertAlign val="superscript"/>
        <sz val="9"/>
        <color theme="0" tint="-0.34998626667073579"/>
        <rFont val="Arial Narrow"/>
        <family val="2"/>
      </rPr>
      <t>1</t>
    </r>
    <r>
      <rPr>
        <b/>
        <sz val="9"/>
        <color theme="0" tint="-0.34998626667073579"/>
        <rFont val="Arial Narrow"/>
        <family val="2"/>
      </rPr>
      <t xml:space="preserve"> </t>
    </r>
    <r>
      <rPr>
        <sz val="9"/>
        <color theme="0" tint="-0.34998626667073579"/>
        <rFont val="Arial Narrow"/>
        <family val="2"/>
      </rPr>
      <t>Incluye interesesque generan las cuentas bancarias de los entes públicos en productos.</t>
    </r>
  </si>
  <si>
    <t xml:space="preserve">Ingresos Excedentes </t>
  </si>
  <si>
    <t>Total</t>
  </si>
  <si>
    <t>Ingresos Derivados de Financiamientos</t>
  </si>
  <si>
    <t>Ingresos  derivados de Financiamiento</t>
  </si>
  <si>
    <t xml:space="preserve">Transferencias, Asignaciones, Subsidios y Subvenciones, y Pensiones y Jubilaciones </t>
  </si>
  <si>
    <r>
      <t>Ingresos por ventas de Bienes, Prestación de Servicios y Otros Ingresos</t>
    </r>
    <r>
      <rPr>
        <vertAlign val="superscript"/>
        <sz val="10"/>
        <color theme="1"/>
        <rFont val="Arial Narrow"/>
        <family val="2"/>
      </rPr>
      <t>3</t>
    </r>
  </si>
  <si>
    <r>
      <t>Productos</t>
    </r>
    <r>
      <rPr>
        <vertAlign val="superscript"/>
        <sz val="10"/>
        <color theme="1"/>
        <rFont val="Arial Narrow"/>
        <family val="2"/>
      </rPr>
      <t>1</t>
    </r>
  </si>
  <si>
    <t>Cuotas y Aportaciones de Seguridad Social</t>
  </si>
  <si>
    <t>Ingresos De los Entes Públicos de los Poderes Legislativo y Judicial, de los Órganos Autonomos y del Sector Paraestatal o Paramunicipal, asi como de las Empresas Productivas del Estado</t>
  </si>
  <si>
    <t xml:space="preserve">Participaciones, Aportaciones, Convenios, Incentivos Derivados de la Colaboracción Fiscal y Fondos Distintos de Aportaciones </t>
  </si>
  <si>
    <t>Capital</t>
  </si>
  <si>
    <r>
      <t>Aprovechamientos</t>
    </r>
    <r>
      <rPr>
        <vertAlign val="superscript"/>
        <sz val="10"/>
        <color theme="1"/>
        <rFont val="Arial Narrow"/>
        <family val="2"/>
      </rPr>
      <t>2</t>
    </r>
  </si>
  <si>
    <t>Derechos</t>
  </si>
  <si>
    <t>Contribuciones de Mejoras</t>
  </si>
  <si>
    <t xml:space="preserve">Impuestos </t>
  </si>
  <si>
    <t xml:space="preserve">Ingresos del Poder Ejecutivo Federal o Estatal y de los Municipios </t>
  </si>
  <si>
    <t>(6= 5 - 1 )</t>
  </si>
  <si>
    <t>(5)</t>
  </si>
  <si>
    <t>(4)</t>
  </si>
  <si>
    <t>(3= 1 +2)</t>
  </si>
  <si>
    <t>(2)</t>
  </si>
  <si>
    <t>(1)</t>
  </si>
  <si>
    <t>Diferencia</t>
  </si>
  <si>
    <t xml:space="preserve">Recaudado </t>
  </si>
  <si>
    <t xml:space="preserve">Devengado </t>
  </si>
  <si>
    <t>Modificado</t>
  </si>
  <si>
    <t>Ampliaciones y Reducciones           (+ ó -)</t>
  </si>
  <si>
    <t>Estimado</t>
  </si>
  <si>
    <t>Ingreso</t>
  </si>
  <si>
    <t>Estado Analitico de Ingresos Por Fuente de Financiamiento</t>
  </si>
  <si>
    <t>Ingresos por Ventas de Bienes, Prestacion de Servicios y Otros Ingresos</t>
  </si>
  <si>
    <t>Aprovechamientos</t>
  </si>
  <si>
    <t>Productos</t>
  </si>
  <si>
    <t>Impuestos</t>
  </si>
  <si>
    <t>Rubros de  Ingresos</t>
  </si>
  <si>
    <t>Estado Analítico de Ingresos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</si>
  <si>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</si>
  <si>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</si>
  <si>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</si>
  <si>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 xml:space="preserve"> 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</si>
  <si>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</si>
  <si>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</si>
  <si>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</si>
  <si>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</si>
  <si>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</si>
  <si>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</si>
  <si>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</si>
  <si>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</si>
  <si>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</si>
  <si>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</si>
  <si>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</si>
  <si>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</si>
  <si>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</si>
  <si>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</si>
  <si>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</si>
  <si>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</si>
  <si>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</si>
  <si>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</si>
  <si>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</si>
  <si>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</si>
  <si>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</si>
  <si>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</si>
  <si>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</si>
  <si>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</si>
  <si>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</si>
  <si>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</si>
  <si>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</si>
  <si>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 xml:space="preserve">I. Total de Ingresos de Libre Disposición                                                 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</si>
  <si>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</si>
  <si>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</si>
  <si>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</si>
  <si>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</si>
  <si>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</si>
  <si>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</si>
  <si>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</si>
  <si>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</si>
  <si>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</si>
  <si>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</si>
  <si>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</si>
  <si>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</si>
  <si>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</si>
  <si>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</si>
  <si>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</si>
  <si>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</si>
  <si>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</si>
  <si>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</si>
  <si>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</si>
  <si>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</si>
  <si>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</si>
  <si>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</si>
  <si>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</si>
  <si>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</si>
  <si>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</si>
  <si>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</si>
  <si>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</si>
  <si>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</si>
  <si>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</si>
  <si>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</si>
  <si>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</si>
  <si>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</si>
  <si>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</si>
  <si>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</si>
  <si>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Recaudado</t>
  </si>
  <si>
    <t>Devengado</t>
  </si>
  <si>
    <t>Ampliaciones/ (Reducciones)</t>
  </si>
  <si>
    <t>Estimado (d)</t>
  </si>
  <si>
    <t>Concepto</t>
  </si>
  <si>
    <t>Diferencia (e)</t>
  </si>
  <si>
    <t>Estado Analítico de Ingresos Detallado – LDF</t>
  </si>
  <si>
    <r>
      <rPr>
        <b/>
        <sz val="9"/>
        <color theme="0" tint="-0.34998626667073579"/>
        <rFont val="Arial Narrow"/>
        <family val="2"/>
      </rPr>
      <t>2</t>
    </r>
    <r>
      <rPr>
        <sz val="9"/>
        <color theme="0" tint="-0.34998626667073579"/>
        <rFont val="Arial Narrow"/>
        <family val="2"/>
      </rPr>
      <t>. Los Ingresos Financieros y otros ingresos se regularizarán presupuestariamente de acuerdo a la legislacion aplicable</t>
    </r>
  </si>
  <si>
    <r>
      <rPr>
        <b/>
        <sz val="9"/>
        <color theme="0" tint="-0.34998626667073579"/>
        <rFont val="Arial Narrow"/>
        <family val="2"/>
      </rPr>
      <t>1</t>
    </r>
    <r>
      <rPr>
        <sz val="9"/>
        <color theme="0" tint="-0.34998626667073579"/>
        <rFont val="Arial Narrow"/>
        <family val="2"/>
      </rPr>
      <t>. Se deberán incluir los Ingresos Contables No Presupuestarios que no se regularizaron presupuestariamente durante el ejercicio</t>
    </r>
  </si>
  <si>
    <t>4. Total de Ingresos Contables  (4=  1  +  2  -  3 )</t>
  </si>
  <si>
    <t>Otros Ingresos Presupuestarios No Contables</t>
  </si>
  <si>
    <t xml:space="preserve">Aprovechamientos Patrimoniales </t>
  </si>
  <si>
    <t>3.Menos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</si>
  <si>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</si>
  <si>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</si>
  <si>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</si>
  <si>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</si>
  <si>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</si>
  <si>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Finanacieros</t>
  </si>
  <si>
    <t>2.Mas Ingresos contables No Presupuestarios</t>
  </si>
  <si>
    <t>1. Total de Ingresos Presupuestarios</t>
  </si>
  <si>
    <t xml:space="preserve">                                                            </t>
  </si>
  <si>
    <t>Conciliacion entre los Ingresos Presupuestarios y Contables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</si>
  <si>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</si>
  <si>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</si>
  <si>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</si>
  <si>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</si>
  <si>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</si>
  <si>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</si>
  <si>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</si>
  <si>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</si>
  <si>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</si>
  <si>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</si>
  <si>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</si>
  <si>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</si>
  <si>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</si>
  <si>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</si>
  <si>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</si>
  <si>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</si>
  <si>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</si>
  <si>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</si>
  <si>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</si>
  <si>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</si>
  <si>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</si>
  <si>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</si>
  <si>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</si>
  <si>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</si>
  <si>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</si>
  <si>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</si>
  <si>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</si>
  <si>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</si>
  <si>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</si>
  <si>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</si>
  <si>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</si>
  <si>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</si>
  <si>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</si>
  <si>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</si>
  <si>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</si>
  <si>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</si>
  <si>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</si>
  <si>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</si>
  <si>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</si>
  <si>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</si>
  <si>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</si>
  <si>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</si>
  <si>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</si>
  <si>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</si>
  <si>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</si>
  <si>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</si>
  <si>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</si>
  <si>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</si>
  <si>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</si>
  <si>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</si>
  <si>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</si>
  <si>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</si>
  <si>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</si>
  <si>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</si>
  <si>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</si>
  <si>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</si>
  <si>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</si>
  <si>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</si>
  <si>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</si>
  <si>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</si>
  <si>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</si>
  <si>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</si>
  <si>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</si>
  <si>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</si>
  <si>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</si>
  <si>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</si>
  <si>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</si>
  <si>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</si>
  <si>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</si>
  <si>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</si>
  <si>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</si>
  <si>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</si>
  <si>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</si>
  <si>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( 6 = 3 - 4 )</t>
  </si>
  <si>
    <t>(3=1+2)</t>
  </si>
  <si>
    <t>Subejercicio</t>
  </si>
  <si>
    <t>Egresos Pagado     Acumulado</t>
  </si>
  <si>
    <t>Egresos Devengado Acumulado</t>
  </si>
  <si>
    <t>Egresos Modificado   Anual</t>
  </si>
  <si>
    <t>Egresos Aprobado   Anual</t>
  </si>
  <si>
    <t>Ejercicio del Presupuesto por
Capítulo del Gasto</t>
  </si>
  <si>
    <t xml:space="preserve">                                                                                                                                                     </t>
  </si>
  <si>
    <t>Clasificación por Objeto del Gasto (Capítulo y Concepto)</t>
  </si>
  <si>
    <t>Estado Analítico del Ejercicio Presupuesto de Egresos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</si>
  <si>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</si>
  <si>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</si>
  <si>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</si>
  <si>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</si>
  <si>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</si>
  <si>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</si>
  <si>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</si>
  <si>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</si>
  <si>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</si>
  <si>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</si>
  <si>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</si>
  <si>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</si>
  <si>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</si>
  <si>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</si>
  <si>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</si>
  <si>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</si>
  <si>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</si>
  <si>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</si>
  <si>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</si>
  <si>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</si>
  <si>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</si>
  <si>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</si>
  <si>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</si>
  <si>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</si>
  <si>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</si>
  <si>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</si>
  <si>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</si>
  <si>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</si>
  <si>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</si>
  <si>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</si>
  <si>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</si>
  <si>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</si>
  <si>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</si>
  <si>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</si>
  <si>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</si>
  <si>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</si>
  <si>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</si>
  <si>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</si>
  <si>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</si>
  <si>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</si>
  <si>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</si>
  <si>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</si>
  <si>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</si>
  <si>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</si>
  <si>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</si>
  <si>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</si>
  <si>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</si>
  <si>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</si>
  <si>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</si>
  <si>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</si>
  <si>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</si>
  <si>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</si>
  <si>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</si>
  <si>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</si>
  <si>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</si>
  <si>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</si>
  <si>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</si>
  <si>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</si>
  <si>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</si>
  <si>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</si>
  <si>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</si>
  <si>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</si>
  <si>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</si>
  <si>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</si>
  <si>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</si>
  <si>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</si>
  <si>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</si>
  <si>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</si>
  <si>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</si>
  <si>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</si>
  <si>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</si>
  <si>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</si>
  <si>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</si>
  <si>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</si>
  <si>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</si>
  <si>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</si>
  <si>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</si>
  <si>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</si>
  <si>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</si>
  <si>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</si>
  <si>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</si>
  <si>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</si>
  <si>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</si>
  <si>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</si>
  <si>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</si>
  <si>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</si>
  <si>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Punto Adicionado DOF 30-09-2015</t>
  </si>
  <si>
    <t>Son los gastos destinados a cubrir las participaciones para las entidades federativas y/o los municipios.</t>
  </si>
  <si>
    <t xml:space="preserve">5. Participaciones </t>
  </si>
  <si>
    <t>Son los gastos destinados para el pago a pensionistas y jubilados o a sus familiares, que cubren los gobiernos Federal, Estatal y Municipal, o bien el Instituto de Seguridad Social correspondiente.</t>
  </si>
  <si>
    <t>4. Pensiones y Jubilaciones</t>
  </si>
  <si>
    <t>Comprende la amortización de la deuda adquirida y disminución de pasivos con el sector privado, público y externo.</t>
  </si>
  <si>
    <t>3. Amortización de la deuda y disminución de pasivos</t>
  </si>
  <si>
    <t>Son los gastos destinados a la inversión de capital y las transferencias a los otros componentes institucionales del sistema económico que se efectúan para financiar gastos de éstos con tal propósito.</t>
  </si>
  <si>
    <t>2. Gasto de Capital</t>
  </si>
  <si>
    <t>Son los gastos de consumo y/o de operación, el arrendamiento de la propiedad y las transferencias otorgadas a los otros componentes institucionales del sistema económico para financiar gastos de esas características.</t>
  </si>
  <si>
    <t>1. Gasto Corriente</t>
  </si>
  <si>
    <t>A continuación se conceptualizan las siguientes categorías:</t>
  </si>
  <si>
    <t>Amortización del la Deuda y Disminución de Pasivos</t>
  </si>
  <si>
    <t>Gasto de Capital</t>
  </si>
  <si>
    <t>Gasto Corriente</t>
  </si>
  <si>
    <t xml:space="preserve">                                                                                                                                </t>
  </si>
  <si>
    <t>Clasificación Económica (por Tipo de Gasto)</t>
  </si>
  <si>
    <t>fed</t>
  </si>
  <si>
    <t>est</t>
  </si>
  <si>
    <t>ORGANISMOS OPERADORES</t>
  </si>
  <si>
    <t>UNIDAD DE ASUNTOS JURIDICOS</t>
  </si>
  <si>
    <t>ORGANO INTERNO DE CONTROL</t>
  </si>
  <si>
    <t>COSTOS, CONCURSOS Y CONTRATOS</t>
  </si>
  <si>
    <t>DIRECCION GENERAL DE INFRAESTRUCTURA HIDROAGRICOLA</t>
  </si>
  <si>
    <t>DIRECCION GENERAL DE INFRAESTRUCTURA HIDRAULICA URBANA</t>
  </si>
  <si>
    <t>DIRECCION GENERAL DE DESARROLLO Y FORTALECIMIENTO INSTITUCIONAL</t>
  </si>
  <si>
    <t>DIRECCION GENERAL DE ADMINISTRACION Y FINANZAS</t>
  </si>
  <si>
    <t>VOCALIA EJECUTIVA</t>
  </si>
  <si>
    <t>2t dev</t>
  </si>
  <si>
    <t>ANT</t>
  </si>
  <si>
    <t>Clasificación Administrativa (Por Unidad Administrativa)</t>
  </si>
  <si>
    <t xml:space="preserve">                                                                                                                                                         </t>
  </si>
  <si>
    <t>ORGANO DE CONTRO Y DESARROLLO ADMINISTRATIVO</t>
  </si>
  <si>
    <t>DIRECCION JURIDICA</t>
  </si>
  <si>
    <t>DIRECCION GENERAL DE FORTALECIMIENTO INSTITUCIONAL</t>
  </si>
  <si>
    <t>(II=A+B+C+D+E+F+G+H)</t>
  </si>
  <si>
    <t>II. Gasto Etiquetado</t>
  </si>
  <si>
    <t>(I=A+B+C+D+E+F+G+H)</t>
  </si>
  <si>
    <t>I. Gasto No Etiquetado</t>
  </si>
  <si>
    <t>Pagado</t>
  </si>
  <si>
    <t>Clasificación Administrativa</t>
  </si>
  <si>
    <t>Órganos Autónomos</t>
  </si>
  <si>
    <t>Poder Judicial</t>
  </si>
  <si>
    <t>Poder Legislativo</t>
  </si>
  <si>
    <t>Poder Ejecutivo</t>
  </si>
  <si>
    <t>Clasificación Administrativa (Por Poderes)</t>
  </si>
  <si>
    <t xml:space="preserve">                                                                                                                                     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</si>
  <si>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</si>
  <si>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</si>
  <si>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</si>
  <si>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</si>
  <si>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</si>
  <si>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</si>
  <si>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</si>
  <si>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 xml:space="preserve">                                                                                                                                      </t>
  </si>
  <si>
    <t>Clasificación Administrativa (Por Tipo de Organismos o Entidad Paraestatal)</t>
  </si>
  <si>
    <t>Adeudos de ejercicios Fiscales Anteriores</t>
  </si>
  <si>
    <t>Saneamiento del Sistema Financiero</t>
  </si>
  <si>
    <t>Transferencias, Participaciones y Aportaciones entre Diferentes Niveles y Órdenes de gobierno</t>
  </si>
  <si>
    <t>Transacdciones de la Deuda Pública / Costo financiero de la Deuda</t>
  </si>
  <si>
    <t>Otras No Clasificadas en funciones anteriores</t>
  </si>
  <si>
    <t>Otras Industrias y Otros Asuntos Económicos</t>
  </si>
  <si>
    <t>Ciencia, Tencología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</si>
  <si>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</si>
  <si>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</si>
  <si>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</si>
  <si>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</si>
  <si>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</si>
  <si>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</si>
  <si>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</si>
  <si>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</si>
  <si>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</si>
  <si>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</si>
  <si>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</si>
  <si>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</si>
  <si>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</si>
  <si>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Viviendas y Servicios a la Comunidad</t>
  </si>
  <si>
    <t>Protección Ambiental</t>
  </si>
  <si>
    <t>Desarrollo Social</t>
  </si>
  <si>
    <t>Asuntos de Orden Público y Seguridad Interior</t>
  </si>
  <si>
    <t>Seguridad Nacional</t>
  </si>
  <si>
    <t>Asuntos Financieros y Hacendarios</t>
  </si>
  <si>
    <t>Relaciones Exteriores</t>
  </si>
  <si>
    <t>Coordinación de la Politica de Gobierno</t>
  </si>
  <si>
    <t>Justicia</t>
  </si>
  <si>
    <t>Legislación</t>
  </si>
  <si>
    <t>Gobierno</t>
  </si>
  <si>
    <t>Clasificación Funcional (Finalidad y Función)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</si>
  <si>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</si>
  <si>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</si>
  <si>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</si>
  <si>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</si>
  <si>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</si>
  <si>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</si>
  <si>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</si>
  <si>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</si>
  <si>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</si>
  <si>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</si>
  <si>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</si>
  <si>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</si>
  <si>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</si>
  <si>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</si>
  <si>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</si>
  <si>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</si>
  <si>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</si>
  <si>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</si>
  <si>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</si>
  <si>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</si>
  <si>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</si>
  <si>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</si>
  <si>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</si>
  <si>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</si>
  <si>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</si>
  <si>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</si>
  <si>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</si>
  <si>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</si>
  <si>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</si>
  <si>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</si>
  <si>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</si>
  <si>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</si>
  <si>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</si>
  <si>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</si>
  <si>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 xml:space="preserve">         DIRECTORA GENERAL DE ADMINISTRACION Y FINANZAS</t>
  </si>
  <si>
    <t xml:space="preserve">                 DIRECTORA ADMINISTRATIVA</t>
  </si>
  <si>
    <t>C.P. REBECA IMELDA LAGUNA FIGUEROA</t>
  </si>
  <si>
    <t>C.P. LEONOR LANDAVAZO GUTIERREZ</t>
  </si>
  <si>
    <t>ADEFAS INVERCIÓN ESTATAL (COTAS Y GERENCIAS)</t>
  </si>
  <si>
    <t>ADEFAS INVERCIÓN ESTATAL</t>
  </si>
  <si>
    <t>ADEFAS OPERACIÓN</t>
  </si>
  <si>
    <t>ADEFAS</t>
  </si>
  <si>
    <t>ADEUDOS DE EJERCICIOS FISCALES ANTERIORES (ADEFAS)</t>
  </si>
  <si>
    <t>PAGO DE INTERESES DE CORTO PLAZO</t>
  </si>
  <si>
    <t>PAGO DE INTERESES LARGO PLAZO</t>
  </si>
  <si>
    <t>INTERESES DE LA DEUDA INTERNA CON INSTITUCIONES DE CRÉDITO</t>
  </si>
  <si>
    <t>INTERESES DE LA DEUDA PÚBLICA</t>
  </si>
  <si>
    <t>AMORTIZACIÓN DE CAPITAL CORTO PLAZO</t>
  </si>
  <si>
    <t>AMORTIZACIÓN DE CAPITAL LARGO PLAZO</t>
  </si>
  <si>
    <t xml:space="preserve">AMORTIZACIÓN DE LA DEUDA INTERNA CON INSTITUCIONES DE CRÉDITO
</t>
  </si>
  <si>
    <t>AMORTIZACIÓN DE LA DEUDA PÚBLICA</t>
  </si>
  <si>
    <t>DEUDA PUBLICA</t>
  </si>
  <si>
    <t>OTRAS EROGACIONES ESPECIALES</t>
  </si>
  <si>
    <t>PROVISIONES PARA CONTINGENCIAS Y OTRAS EROGACIONES ESPECIALES</t>
  </si>
  <si>
    <t>INVERSIONES FINANCIERAS Y OTRAS PROVISIONES</t>
  </si>
  <si>
    <t>SUPERVISIÓN Y CONTROL DE CALIDAD</t>
  </si>
  <si>
    <t>INDIRECTOS PARA OBRAS EN DIVISIÓN DE TERRENOS
Y CONSTRUCCIÓN DE OBRAS DE URBANIZACIÓN</t>
  </si>
  <si>
    <t>INFRAESTRUCTURA BÁSICA Y EQUIPAMIENTO SOCIAL</t>
  </si>
  <si>
    <t>INFRAESTRUCTURA Y EQUIPAMIENTO EN MATERIA
DE ALCANTARILLADO</t>
  </si>
  <si>
    <t>INFRAESTRUCTURA Y EQUIPAMIENTO EN MATERIA
DE AGUA POTABLE</t>
  </si>
  <si>
    <t>ESTUDIOS Y PROYECTOS</t>
  </si>
  <si>
    <t xml:space="preserve">DIVISIÓN DE TERRENOS Y CONSTRUCCION DE OBRAS DE URBANIZACIÓN
</t>
  </si>
  <si>
    <t>FISCALIZACIÓN Y SEGUIMIENTO</t>
  </si>
  <si>
    <t>INDIRECTOS PARA OBRAS DE CONSTRUCCIÓN PARA
EL ABASTECIMIENTO DE AGUA, PETROLEO, GAS,
ELECTRICIDAD Y TELECOMUNICACIONES</t>
  </si>
  <si>
    <t>APOYO Y FORTALECIMIENTO A LOS SISTEMAS DE
OPERACIÓN DE DISTRITOS DE RIEGO</t>
  </si>
  <si>
    <t>REHABILITACIÓN DE SISTEMAS DE ABASTECIMIENTO
DE AGUA PARA USO AGRÍCOLA</t>
  </si>
  <si>
    <t>FORTALECIMIENTO A ORGANISMOS OPERADORES
DE SISTEMAS DE AGUA POTABLE</t>
  </si>
  <si>
    <t>CONSTRUCCIÓN DE SISTEMAS DE ABASTECIMIENTO DE AGUA POTABLE</t>
  </si>
  <si>
    <t>CONSTRUCCIÓN DE OBRAS PARA EL ABASTECIMIENTO DE AGUA,
PETROLEO, GAS, ELECTRICIDAD Y TELECOMUNICACIÓN</t>
  </si>
  <si>
    <t>OBRA PÚBLICA EN BIENES DE DOMINIO PÚBLICO</t>
  </si>
  <si>
    <t>FEDERAL</t>
  </si>
  <si>
    <t>CONSERVACIÓN Y MANTENIMIENTO</t>
  </si>
  <si>
    <t xml:space="preserve">DIVISIÓN DE TERRENOS Y CONSTRUCCIÓN DE OBRAS DE URBANIZACIÓN
</t>
  </si>
  <si>
    <t>OBRA PÚBLICA EN BIENES PROPIOS</t>
  </si>
  <si>
    <t>ESTUDIOS Y PROYECTOS PARA SISTEMAS DE
ABASTECIMIENTO DE AGUA POTABLE</t>
  </si>
  <si>
    <t>ESTATAL</t>
  </si>
  <si>
    <t>INVERSIÓN PÚBLICA</t>
  </si>
  <si>
    <t>Software</t>
  </si>
  <si>
    <t>Activos intangibles</t>
  </si>
  <si>
    <t>Terrenos</t>
  </si>
  <si>
    <t>OTROS BIENES MUEBLES POR ARRENDAMIENTO
FINANCIERO</t>
  </si>
  <si>
    <t>BIENES MUEBLES POR ARRENDAMIENTO
FINANCIERO</t>
  </si>
  <si>
    <t>OTROS EQUIPOS</t>
  </si>
  <si>
    <t>Herramientas</t>
  </si>
  <si>
    <t>Herramientas y máquinas-herramienta</t>
  </si>
  <si>
    <t>Maquinaria y equipo electrico y electronico</t>
  </si>
  <si>
    <t>Equipo de Generacion Electrica, aparatos y accesoris electrios</t>
  </si>
  <si>
    <t>Equipo de Comunicación y Telecomunicacion</t>
  </si>
  <si>
    <t>Sistemas de aire acondicionado, calefaccion y de refrigeracion industrial y comercial</t>
  </si>
  <si>
    <t>MAQUINARIA Y EQUIPO INDUSTRIAL</t>
  </si>
  <si>
    <t xml:space="preserve">MAQUINARIA, OTROS EQUIPOS Y HERRAMIENTAS </t>
  </si>
  <si>
    <t>SISTEMAS INTEGRALES DE SEGURIDAD PÚBLICA</t>
  </si>
  <si>
    <t>EQUIPO DE DEFENSA Y SEGURIDAD</t>
  </si>
  <si>
    <t>Otros Equipos de Transporte</t>
  </si>
  <si>
    <t>Automoviles y camiones</t>
  </si>
  <si>
    <t>Vehiculos y equipo de transporte</t>
  </si>
  <si>
    <t>Instrumental medico y de laboratorio</t>
  </si>
  <si>
    <t>Equipo e instrumental medico y de laboratorio</t>
  </si>
  <si>
    <t>CAMARAS FOTOGRÁFICAS Y DE VIDEO</t>
  </si>
  <si>
    <t>EQUIPOS Y APARATOS AUDIOVISUALES</t>
  </si>
  <si>
    <t>MOBILIARIO Y EQUIPO EDUCACIONAL Y RECREATIVO</t>
  </si>
  <si>
    <t>Equipo de administracion</t>
  </si>
  <si>
    <t>Otros mobiliarios y equipos de administracion</t>
  </si>
  <si>
    <t>Bienes informáticos</t>
  </si>
  <si>
    <t>Equipo de cómputo y de tecnologías de la información</t>
  </si>
  <si>
    <t>Muebles, Excepto de Oficina y Estantería</t>
  </si>
  <si>
    <t>MUEBLES DE OFICINA Y ESTANTERÍA</t>
  </si>
  <si>
    <t>MOBILIARIO Y EQUIPO DE ADMINISTRACIÓN</t>
  </si>
  <si>
    <t>BIENES MUEBLES, INMUEBLES E INTANGIBLES</t>
  </si>
  <si>
    <t>Donativos a Instituciones sin fines de lucro</t>
  </si>
  <si>
    <t xml:space="preserve">Donativos  </t>
  </si>
  <si>
    <t>Fomento deportivo</t>
  </si>
  <si>
    <t>Becas y otras ayudas para prograas de capacitacion</t>
  </si>
  <si>
    <t>Ayudas sociales</t>
  </si>
  <si>
    <t>Subsidios a la prestación de servicios públicos</t>
  </si>
  <si>
    <t>TRANSFERENCIAS OTORGADAS A ENTIDADES
FEDERATIVAS Y MUNICIPIOS</t>
  </si>
  <si>
    <t xml:space="preserve">TRANSFERENCIAS OTORGADAS A ENTIDADES FEDERATIVAS Y MUNICIPIOS
</t>
  </si>
  <si>
    <t>TRANSFERENCIAS AL RESTO DEL SECTOR PÚBLICO</t>
  </si>
  <si>
    <t>Transferencias para gastos de operación</t>
  </si>
  <si>
    <t>Transferencias internas otorgadasa entidades paraestatales no empresariales y no financieras</t>
  </si>
  <si>
    <t>Transferencias, asigaciones, subsidios y otras ayudas</t>
  </si>
  <si>
    <t>Asigacion presupuestria al poder ejecutivo</t>
  </si>
  <si>
    <t>Transferecias internas yasignaciones al sector publico</t>
  </si>
  <si>
    <t>TRANSFERENCIAS, ASIGNACIONES, SUBSIDIOS Y OTRAS AYUDAS</t>
  </si>
  <si>
    <t>IMPUESTOS SOBRE NÓMINAS</t>
  </si>
  <si>
    <t xml:space="preserve">IMPUESTOS SOBRE NÓMINAS Y OTROS QUE SE DERIVEN DE UNA RELACIÓN LABORAL
</t>
  </si>
  <si>
    <t>OTROS GASTOS POR RESPONSABILIDADES</t>
  </si>
  <si>
    <t>PENAS, MULTAS, ACCESORIOS Y ACTUALIZACIONES</t>
  </si>
  <si>
    <t>IMPUESTOS Y DERECHOS</t>
  </si>
  <si>
    <t>OTROS SERVICIOS GENERALES</t>
  </si>
  <si>
    <t>GASTOS DE ATENCION Y PROMOCIÓN</t>
  </si>
  <si>
    <t>GASTOS DE REPRESENTACION</t>
  </si>
  <si>
    <t>CONGRESOS Y CONVENCIONES</t>
  </si>
  <si>
    <t>GASTOS DE ORDEN SOCIAL Y CULTURAL</t>
  </si>
  <si>
    <t>GASTOS DE CEREMONIAL</t>
  </si>
  <si>
    <t>SERVICIOS OFICIALES</t>
  </si>
  <si>
    <t>CUOTAS</t>
  </si>
  <si>
    <t>OTROS SERVICIOS DE TRASLADO Y HOSPEDAJE</t>
  </si>
  <si>
    <t>SERVICIOS INTEGRALES DE TRASLADO Y VIÁTICOS</t>
  </si>
  <si>
    <t>VIÁTICOS EN EL EXTRANJERO</t>
  </si>
  <si>
    <t>GASTOS DE CAMINO</t>
  </si>
  <si>
    <t>VIÁTICOS EN EL PAÍS</t>
  </si>
  <si>
    <t>PASAJES TERRESTRES</t>
  </si>
  <si>
    <t>PASAJES ÁEREOS INTERNACIONALES PARA
SERVIDORES PÚBLICOS EN EL DESEMPEÑO DE
COMISIONES Y FUNCIONES OFICIALES.</t>
  </si>
  <si>
    <t>PASAJES AÉREOS</t>
  </si>
  <si>
    <t>SERVICIOS DE TRASLADO Y VIÁTICOS</t>
  </si>
  <si>
    <t>OTROS SERVICIOS DE INFORMACIÓN</t>
  </si>
  <si>
    <t>SERVICIOS DE LA INDUSTRIA FÍLMICA, DEL SONIDO Y DEL VIDEO</t>
  </si>
  <si>
    <t>SERVICIOS DE REVELADO DE FOTOGRAFÍAS</t>
  </si>
  <si>
    <t xml:space="preserve">DIFUSIÓN POR RADIO, TELEVISIÓN Y OTROS MEDIOS DE MENSAJES SOBRE PROGRAMAS Y ACTIVIDADES GUBERNAMENTALES
</t>
  </si>
  <si>
    <t>SERVICIOS DE COMUNICACIÓN SOCIAL Y PUBLICIDAD</t>
  </si>
  <si>
    <t>SERVICIOS DE JARDINERÍA Y FUMIGACIÓN</t>
  </si>
  <si>
    <t>SERVICIOS DE LIMPIEZA Y MANEJO DE DESECHOS</t>
  </si>
  <si>
    <t>MANTENIMIENTO Y CONSERVACIÓN DE
HERRAMIENTAS, MAQUINAS HERRAMIENTAS,
INSTRUMENTOS, UTILES Y EQUIPO</t>
  </si>
  <si>
    <t>MANTENIMIENTO Y CONSERVACIÓN DE
MAQUINARIA Y EQUIPO</t>
  </si>
  <si>
    <t xml:space="preserve">INSTALACIÓN, REPARACIÍN Y MANTENIMIENTO DE MAQUINARIA,OTROS EQUIPOS Y HERRAMIENTA
</t>
  </si>
  <si>
    <t>REPARACIÓN Y MANTENIMIENTO DE EQUIPO DE TRANSPORTE</t>
  </si>
  <si>
    <t>MANTENIMIENTO Y CONSERVACION DE BIENES
INFORMÁTICOS</t>
  </si>
  <si>
    <t>INSTALACIONES</t>
  </si>
  <si>
    <t xml:space="preserve">INSTALACIÓN, REPARACIÓN Y MANTENIMIENTO DE EQUIPO DE COMPUTO Y TECNOLOGÍA DE LA INFORMACIÓN
</t>
  </si>
  <si>
    <t>MANTENIMIENTO Y CONSERVACION DE MOBILIARIO
Y EQUIPO</t>
  </si>
  <si>
    <t xml:space="preserve">INSTALACIÓN, REPARACIÓN Y MANTENIMIENTO DE MOBILIARIO Y EQUIPO DE ADMINISTRACIÓN, EDUCACIONAL Y RECREATIVO
</t>
  </si>
  <si>
    <t>CONSERVACION Y MANTENIMIENTO MENOR DE INMUEBLES</t>
  </si>
  <si>
    <t>SERVICIOS DE INSTALACIÓN, REPARACIÓN, MANTENIMIENTO Y CONSERVACIÓN</t>
  </si>
  <si>
    <t>FLETES Y MANIOBRAS</t>
  </si>
  <si>
    <t>SEGUROS DE RESPONSABILIDAD PATRIMONIAL Y FIANZAS</t>
  </si>
  <si>
    <t>SERVICIOS DE RECAUDACION, TRASLADO Y CUSTODIA DE VALORES</t>
  </si>
  <si>
    <t>SERVICIOS FINANCIEROS Y BANCARIOS</t>
  </si>
  <si>
    <t>SERVICIOS FINANCIEROS, BANCARIOS Y COMERCIALES</t>
  </si>
  <si>
    <t>SERVICIOS PROFESIONALES, CIENTIFICOS Y TECNICOS INTEGRALES</t>
  </si>
  <si>
    <t>SERVICIOS DE VIGILANCIA</t>
  </si>
  <si>
    <t>SERVICIO DE FOTOCOPIADO EN LAS INSTALACIONES
DE LAS DEPENDENCIAS Y ENTIDADES</t>
  </si>
  <si>
    <t>LICITACIONES, CONVENIOS Y CONVOCATORIAS</t>
  </si>
  <si>
    <t>IMPRESIONES Y PUBLICACIONES OFICIALES</t>
  </si>
  <si>
    <t>APOYOS A COMISARIOS PÚBLICOS</t>
  </si>
  <si>
    <t xml:space="preserve">SERVICIOS DE APOYO ADMINISTRATIVO, TRADUCCIÓN,FOTOCOPIADO E IMPRESIÓN
</t>
  </si>
  <si>
    <t>SERVICIOS DE CAPACITACIÓN</t>
  </si>
  <si>
    <t>SERVICIOS DE CONSULTORIAS</t>
  </si>
  <si>
    <t>SERVICIOS DE INFORMÁTICA</t>
  </si>
  <si>
    <t xml:space="preserve">SERVICIOS DE CONSULTORIA ADMINISTRATIVA, PROCESOS, TÉCNICA Y EN TECNOLOGIAS DE LA INFORMACIÓN
</t>
  </si>
  <si>
    <t>SERVICIOS DE DISEÑO, ARQUITECTURA, INGENIERÍA
Y ACTIVIDADES RELACIONADAS</t>
  </si>
  <si>
    <t xml:space="preserve">SERVICIOS DE DISEÑO, ARQUITECTURA, INGENIERÍA Y ACTIVIDADES RELACIONADAS
</t>
  </si>
  <si>
    <t xml:space="preserve">SERVICIOS LEGALES, DE CONTABILIDAD, AUDITORIAS Y RELACIONADOS
</t>
  </si>
  <si>
    <t>SERVICIOS PROFESIONALES, CIENTIFICOS, TÉCNICOS Y OTROS SERVICIOS</t>
  </si>
  <si>
    <t>OTROS ARRENDAMIENTOS</t>
  </si>
  <si>
    <t>ARRENDAMIENTO DE MAQUINARIA, OTROS
EQUIPOS Y HERRAMIENTAS</t>
  </si>
  <si>
    <t xml:space="preserve">ARRENDAMIENTO DE MAQUINARIA, OTROS EQUIPOS Y HERRAMIENTAS
</t>
  </si>
  <si>
    <t>ARRENDAMIENTO DE EQUIPO DE TRANSPORTE
TERRESTRE</t>
  </si>
  <si>
    <t>ARRENDAMIENTO DE EQUIPO DE TRANSPORTE</t>
  </si>
  <si>
    <t xml:space="preserve">ARRENDAMIENTO DE EQUIPO Y BIENES INFORMATICOS
</t>
  </si>
  <si>
    <t>ARRENDAMIENTO DE MUEBLES, MAQUINARIA Y
EQUIPO</t>
  </si>
  <si>
    <t xml:space="preserve">ARRENDAMIENTO DE MOBILIARIO Y EQUIPO DE ADMINISTRACIÓN,EDUCACIONAL Y RECREATIVO
</t>
  </si>
  <si>
    <t>ARRENDAMIENTO DE EDIFICIOS</t>
  </si>
  <si>
    <t>ARRENDAMIENTO DE TERRENOS</t>
  </si>
  <si>
    <t>SERVICIO DE ARRENDAMIENTO</t>
  </si>
  <si>
    <t>SERVICIO POSTAL</t>
  </si>
  <si>
    <t>SERVICIOS POSTALES Y TELEGRÁFICOS</t>
  </si>
  <si>
    <t xml:space="preserve">SERVICIOS DE ACCESO DE INTERNET, REDES Y PROCESAMIENTO DE INFORMACIÓN
</t>
  </si>
  <si>
    <t>SERVICIOS DE TELECOMUNICACIONES Y SATÉLITES</t>
  </si>
  <si>
    <t>TELEFONÍA CELULAR</t>
  </si>
  <si>
    <t>TELEFONÍA TRADICIONAL</t>
  </si>
  <si>
    <t>AGUA POTABLE</t>
  </si>
  <si>
    <t>AGUA</t>
  </si>
  <si>
    <t>GAS</t>
  </si>
  <si>
    <t>ENERGÍA ELÉCTRICA</t>
  </si>
  <si>
    <t>SERVICIOS BÁSICOS</t>
  </si>
  <si>
    <t>SERVICIOS GENERALES</t>
  </si>
  <si>
    <t xml:space="preserve">REFACCIONES Y ACCESORIOS MENORES DE MAQUINARIA Y OTROS EQUIPOS
</t>
  </si>
  <si>
    <t>REFACCIONES Y ACCESORIOS MENORES DE EQUIPO DE TRANSPORTE</t>
  </si>
  <si>
    <t>REFACCIONES Y ACCESORIOS MENORES DE EQUIPO E INSTRUMENTAL MÉDICO Y DE LABORATORIO</t>
  </si>
  <si>
    <t xml:space="preserve">REFACCIONES Y ACCESORIOS MENORES DE EQUIPO E INSTRUMENTAL MÉDICO Y DE LABORATORIO
</t>
  </si>
  <si>
    <t>REFACCIONES Y ACCESORIOS MENORES DE EQUIPO DE COMPUTO Y TECNOLOGÍAS DE LA INFORMACIÓN</t>
  </si>
  <si>
    <t xml:space="preserve">REFACCIONES Y ACCESORIOS MENORES DE EQUIPO DE COMPUTO Y TECNOLOGÍAS DE LA INFORMACIÓN
</t>
  </si>
  <si>
    <t>REFACCIONES Y ACCESORIOS MENORES DE MOBILIARIO Y EQUIPO DE ADMINISTRACIÓN, EDUCACIONAL Y RECREATIVO</t>
  </si>
  <si>
    <t xml:space="preserve">REFACCIONES Y ACCESORIOS MENORES DE MOBILIARIO Y EQUIPO DE ADMINISTRACIÓN, EDUCACIONAL Y RECREATIVO
</t>
  </si>
  <si>
    <t>REFACCIONES Y ACCESORIOS MENORES DE EDIFICIOS</t>
  </si>
  <si>
    <t>HERRAMIENTAS MENORES</t>
  </si>
  <si>
    <t>HERRAMIENTAS, REFACCIONES Y ACCESORIOS MENORES</t>
  </si>
  <si>
    <t>PRENDAS DE SEGURIDAD Y PROTECCIÓN PERSONAL</t>
  </si>
  <si>
    <t>VESTUARIO Y UNIFORMES</t>
  </si>
  <si>
    <t>VESTUARIO, BLANCOS, PRENDAS DE PROTECCIÓN Y ARTÍCULOS DEPORTIVOS</t>
  </si>
  <si>
    <t>LUBRICANTES Y ADITIVOS</t>
  </si>
  <si>
    <t>COMBUSTIBLES</t>
  </si>
  <si>
    <t>COMBUSTIBLES, LUBRICANTES Y ADITIVOS</t>
  </si>
  <si>
    <t>OTROS PRODUCTOS QUÍMICOS</t>
  </si>
  <si>
    <t>MATERIALES, ACCESORIOS Y SUMINISTROS DE LABORATORIO</t>
  </si>
  <si>
    <t>MEDICINAS Y PRODUCTOS FARMACEUTICOS</t>
  </si>
  <si>
    <t>FERTILIZANTES, PESTICIDAS Y OTROS AGROQUÍMICOS</t>
  </si>
  <si>
    <t>PRODUCTOS QUÍMICOS BASICOS</t>
  </si>
  <si>
    <t>PRODUCTOS QUÍMICOS, FARMACEUTICOS Y DE LABORATORIO</t>
  </si>
  <si>
    <t>OTROS MATERIALES Y ARTÍCULOS DE CONSTRUCCIÓN Y REPARACIÓN</t>
  </si>
  <si>
    <t>MATERIALES COMPLEMENTARIOS</t>
  </si>
  <si>
    <t>MATERIAL ELÉCTRICO Y ELECTRÓNICO</t>
  </si>
  <si>
    <t>VIDRIO Y PRODUCTOS DE VIDRIO</t>
  </si>
  <si>
    <t>MADERA Y PRODUCTOS DE MADERA</t>
  </si>
  <si>
    <t>CAL, YESO Y PRODUCTOS DE YESO</t>
  </si>
  <si>
    <t>CEMENTO Y PRODUCTOS DE CONCRETO</t>
  </si>
  <si>
    <t>MATERIALES Y ARTÍCULOS DE CONSTRUCCIÓN Y DE REPARACIÓN</t>
  </si>
  <si>
    <t>OTROS PRODUCTOS ADQUIRIDOS COMO MATERIA
PRIMA</t>
  </si>
  <si>
    <t>OTROS PRODUCTOS ADQUIRIDOS COMO MATERIA PRIMA</t>
  </si>
  <si>
    <t>MATERIAS PRIMAS Y MATERIALES DE PRODUCCIÓN Y COMERCIALIZACIÓN</t>
  </si>
  <si>
    <t>UTENSILIOS PARA EL SERVICIO DE ALIMENTACIÓN</t>
  </si>
  <si>
    <t>ADQUISICIÓN DE AGUA POTABLE</t>
  </si>
  <si>
    <t>PRODUCTOS ALIMENTICIOS PARA EL PERSONAL EN
LAS INSTALACIONES</t>
  </si>
  <si>
    <t>PRODUCTOS ALIMENTICIOS PARA PERSONAS</t>
  </si>
  <si>
    <t>ALIMENTOS Y UTENSILIOS</t>
  </si>
  <si>
    <t>EMISIÓN DE LICENCIAS DE CONDUCIR</t>
  </si>
  <si>
    <t xml:space="preserve">PLACAS, ENGOMADOS, CALCOMANIAS Y HOLOGRAMAS
</t>
  </si>
  <si>
    <t xml:space="preserve">MATERIALES PARA EL REGISTRO E IDENTIFICACION DE BIENES Y PERSONAS
</t>
  </si>
  <si>
    <t>MATERIALES EDUCATIVOS</t>
  </si>
  <si>
    <t>MATERIALES Y ÚTILES DE ENSEÑANZA</t>
  </si>
  <si>
    <t>MATERIAL DE LIMPIEZA</t>
  </si>
  <si>
    <t>FORMATOS IMPRESOS</t>
  </si>
  <si>
    <t>MATERIAL PARA INFORMACIÓN</t>
  </si>
  <si>
    <t>MATERIAL IMPRESO E INFORMACIÓN DIGITAL</t>
  </si>
  <si>
    <t>MATERIALES Y ÚTILES PARA EL PROCESAMIENTO DE
EQUIPOS Y BIENES INFORMATICOS</t>
  </si>
  <si>
    <t xml:space="preserve">MATERIALES, UTILES Y EQUIPOS MENORES DE TECNOLOGIAS DE LA INFORMACIÓN Y COMUNICACIONES
</t>
  </si>
  <si>
    <t xml:space="preserve">MATERIALES Y UTILES DE IMPRESIÓN Y REPRODUCCIÓN
</t>
  </si>
  <si>
    <t>MATERIALES Y UTILES DE IMPRESIÓN Y REPRODUCCIÓN</t>
  </si>
  <si>
    <t>MATERIALES, ÚTILES Y EQUIPOS MENORES DE OFICINA</t>
  </si>
  <si>
    <t>Materiales, útiles y equipos menores de oficina</t>
  </si>
  <si>
    <t xml:space="preserve">MATERIALES DE ADMINISTRACIÓN, EMISIÓN DE DOCUMENTOS Y ARTÍCULOS OFICIALES
</t>
  </si>
  <si>
    <t>MATERIALES Y SUMINISTROS</t>
  </si>
  <si>
    <t>COMPENSACIÓN POR TITULACIÓN A NIVEL
LICENCIATURA</t>
  </si>
  <si>
    <t>BONO POR PUNTUALIDAD</t>
  </si>
  <si>
    <t>ESTÍMULOS AL PERSONAL</t>
  </si>
  <si>
    <t>ESTÍMULOS</t>
  </si>
  <si>
    <t>PAGOS DE ESTÍMULOS A SERVIDORES PÚBLICOS</t>
  </si>
  <si>
    <t>PREVISIÓN PARA INCREMENTO DE SUELDOS</t>
  </si>
  <si>
    <t xml:space="preserve">PREVISIONES DE CARÁCTER LABORAL, ECONÓMICA Y DE SEGURIDAD SOCIAL
</t>
  </si>
  <si>
    <t>PREVISIONES</t>
  </si>
  <si>
    <t>OTRAS PRESTACIONES</t>
  </si>
  <si>
    <t>OTRAS PRESTACIONES SOCIALES Y ECONÓMICAS</t>
  </si>
  <si>
    <t>BONO DE PRODUCTIVIDAD AL PERSONAL DE BASE</t>
  </si>
  <si>
    <t>APOYO PARA DESPENSA PARA LOS REPRESENTANTES
SINDICALES</t>
  </si>
  <si>
    <t>APOYO PARA COMPRA DE MATERIAL DE
CONSTRUCCION</t>
  </si>
  <si>
    <t>BONO DEL DÍA DEL PADRE</t>
  </si>
  <si>
    <t>BONO POR ANIVERSARIO SINDICAL</t>
  </si>
  <si>
    <t>BONO DE DIA DE MADRES</t>
  </si>
  <si>
    <t>COMPENSACIÓN EN APOYO A LA DISCAPACIDAD</t>
  </si>
  <si>
    <t>AYUDA PARA SERVICIO DE TRANSPORTE</t>
  </si>
  <si>
    <t>COMPENSACION ESPECIFICA A PERSONAL DE BASE</t>
  </si>
  <si>
    <t>APOYO PARA DESARROLLO Y CAPACITACIÓN</t>
  </si>
  <si>
    <t>APOYO PARA ÚTILES ESCOLARES</t>
  </si>
  <si>
    <t>AYUDA PARA GUARDERIA A MADRES TRABAJADORAS</t>
  </si>
  <si>
    <t>BONO PARA DESPENSA</t>
  </si>
  <si>
    <t>DIAS ECONOMICOS Y DE DESCANSO OBLIGATORIOS
NO DISFRUTADOS</t>
  </si>
  <si>
    <t>PRESTACIONES CONTRACTUALES</t>
  </si>
  <si>
    <t>SENTENCIAS LABORALES</t>
  </si>
  <si>
    <t>PAGO DE LIQUIDACIONES</t>
  </si>
  <si>
    <t>INDEMNIZACIONES AL PERSONAL</t>
  </si>
  <si>
    <t>INDEMNIZACIONES</t>
  </si>
  <si>
    <t>APORTACIONES AL FONDO DE AHORRO DE LOS
TRABAJADORES</t>
  </si>
  <si>
    <t>CUOTAS PARA EL FONDO DE AHORRO Y FONDO DE TRABAJO</t>
  </si>
  <si>
    <t>SEGUROS POR DEFUNCION FAMILIAR</t>
  </si>
  <si>
    <t>OTRAS APORTACIONES DE SEGUROS COLECTIVOS</t>
  </si>
  <si>
    <t>SEGURO POR RETIRO ESTATAL</t>
  </si>
  <si>
    <t>APORTACIONES PARA SEGUROS</t>
  </si>
  <si>
    <t>PAGAS POR DEFUNCION, PENSIONES Y JUBILACIONES</t>
  </si>
  <si>
    <t>APORTACIONES AL SISTEMA PARA EL RETIRO</t>
  </si>
  <si>
    <t>APORTACIONES POR SERVICIO MEDICO DEL
ISSSTESON</t>
  </si>
  <si>
    <t>OTRAS PRESTACIONES DE SEGURIDAD SOCIAL</t>
  </si>
  <si>
    <t>APORTACIONES DE SEGURIDAD SOCIAL</t>
  </si>
  <si>
    <t>SEGURIDAD SOCIAL</t>
  </si>
  <si>
    <t>ESTIMULOS AL PERSONAL DE CONFIANZA</t>
  </si>
  <si>
    <t>COMPENSACIONES</t>
  </si>
  <si>
    <t>REMUNERACIONES POR HORAS EXTRAORDINARIAS</t>
  </si>
  <si>
    <t>HORAS EXTRAORDINARIAS</t>
  </si>
  <si>
    <t>COMPENSACION POR BONO NAVIDEÑO</t>
  </si>
  <si>
    <t>COMPENSACION POR AJUSTE DE CALENDARIO</t>
  </si>
  <si>
    <t>AGUINALDO O GRATIFICACION DE FIN DE AÑO</t>
  </si>
  <si>
    <t>PRIMAS DE VACACIONES Y DOMINICAL</t>
  </si>
  <si>
    <t xml:space="preserve">PRIMAS DE VACACIONES, DOMINICAL Y GRATIFICACIÓN DE FIN DE AÑO
</t>
  </si>
  <si>
    <t>PRIMAS Y ACREDITACIONES POR AÑOS DE SERVICIOS
EFECTIVOS PRESTADOS</t>
  </si>
  <si>
    <t>PRIMAS POR AÑOS DE SERVICIOS EFECTIVOS PRESTADOS</t>
  </si>
  <si>
    <t>REMUNERACIONES ADICIONALES Y ESPECIALES</t>
  </si>
  <si>
    <t>SUELDOS BASE AL PERSONAL EVENTUAL</t>
  </si>
  <si>
    <t>HONORARIOS</t>
  </si>
  <si>
    <t>HONORARIOS ASIMILABLES A SALARIOS</t>
  </si>
  <si>
    <t>REMUNERACIONES AL PERSONAL DE CARÁCTER TRANSITORIO</t>
  </si>
  <si>
    <t>AYUDA PARA ENERGIA ELECTRICA</t>
  </si>
  <si>
    <t>AYUDA PARA DESPENSA</t>
  </si>
  <si>
    <t>AYUDA PARA HABITACIÓN</t>
  </si>
  <si>
    <t>RIESGO LABORAL</t>
  </si>
  <si>
    <t>REMUNERACIONES POR SUSTITUCION DE PERSONAL</t>
  </si>
  <si>
    <t>REMUNERACIONES DIVERSAS</t>
  </si>
  <si>
    <t>SUELDO DIFERENCIAL POR ZONA</t>
  </si>
  <si>
    <t>SUELDOS</t>
  </si>
  <si>
    <t>SUELDOS BASE AL PERSONAL PERMANENTE</t>
  </si>
  <si>
    <t>REMUNERACIONES AL PERSONAL DE CARÁCTER PERMANENTE</t>
  </si>
  <si>
    <t>SERVICIOS PERSONALES</t>
  </si>
  <si>
    <t>AVANCE ANUAL (7=4/3)</t>
  </si>
  <si>
    <t>SUBEJERCIDO     (6=3-4)</t>
  </si>
  <si>
    <t>EGRESOS PAGADO ACUMULADO             ( 5 )</t>
  </si>
  <si>
    <t>EGRESOS DEVENGADO ACUMULADO                            ( 4 )</t>
  </si>
  <si>
    <t>EGRESOS MODIFICADO ANUAL    ( 3 )</t>
  </si>
  <si>
    <t>AMPLIACIONES/REDUCCIONES     ( 2 )</t>
  </si>
  <si>
    <t>EGRESOS APROBADOS ( 1 )</t>
  </si>
  <si>
    <t>EJERCICIO DEL PRESUPUESTO POR                                    PARTIDA / DESCRIPCION</t>
  </si>
  <si>
    <t>CVE. PARTIDA PRESUPUESTAL</t>
  </si>
  <si>
    <t>Del 01 de enero al 31 de Diciembre del 2021</t>
  </si>
  <si>
    <t>Comision Estatal del Agua</t>
  </si>
  <si>
    <t>Por Partida del Gasto</t>
  </si>
  <si>
    <t>Sistema Estatal de Evaluacion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</si>
  <si>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</si>
  <si>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</si>
  <si>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</si>
  <si>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</si>
  <si>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</si>
  <si>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</si>
  <si>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</si>
  <si>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</si>
  <si>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</si>
  <si>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</si>
  <si>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</si>
  <si>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</si>
  <si>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</si>
  <si>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(Clasificación de Servicios Personales por Categoría)</t>
  </si>
  <si>
    <t>Estado Analítico del Ejercicio de Presupuesto de Egresos- Detallado – LDF</t>
  </si>
  <si>
    <t>4. Total de Gasto Contable  (4=  1  -  2  +  3 )</t>
  </si>
  <si>
    <t>Otros Gastos Contables No Presupuestales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</si>
  <si>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</si>
  <si>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</si>
  <si>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</si>
  <si>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</si>
  <si>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</si>
  <si>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</si>
  <si>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Más Gastos Contables No Presupuestarios</t>
  </si>
  <si>
    <t>Otros Egresos Presupuestales No Contables</t>
  </si>
  <si>
    <t>Adeudos de Ejercicios Fiscales Anteriores (ADEFAS)</t>
  </si>
  <si>
    <t>Armonización de la Deuda Pública</t>
  </si>
  <si>
    <t>Arctivos Biológicos</t>
  </si>
  <si>
    <t xml:space="preserve">Materiales y Suministros </t>
  </si>
  <si>
    <t xml:space="preserve">Materias Primas y Materiales de Producción y Comercializacíon </t>
  </si>
  <si>
    <t xml:space="preserve">2. Menos Egresos Presupuestarios No Contables </t>
  </si>
  <si>
    <t>1. Total de Egresos Presupuestarios</t>
  </si>
  <si>
    <t>Conciliacion entre los Egresos Presupuestarios y los Gastos Contables</t>
  </si>
  <si>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</si>
  <si>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</si>
  <si>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</si>
  <si>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</si>
  <si>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</si>
  <si>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BANCO BAJIO</t>
  </si>
  <si>
    <t>Créditos Bancarios</t>
  </si>
  <si>
    <t>C=A-B</t>
  </si>
  <si>
    <t>B</t>
  </si>
  <si>
    <t>A</t>
  </si>
  <si>
    <t>Endeudamiento Neto</t>
  </si>
  <si>
    <t>Amortización</t>
  </si>
  <si>
    <t>Contratacion / Colocación</t>
  </si>
  <si>
    <t>Identificacion del crédito o Instrumento</t>
  </si>
  <si>
    <t xml:space="preserve">                                                  (pesos)</t>
  </si>
  <si>
    <t>Total Intereses Otros Instrumentos de Deuda</t>
  </si>
  <si>
    <t>Total de Interéses Créditos Bancarios</t>
  </si>
  <si>
    <t xml:space="preserve">                                                                                          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</si>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</sst>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  <numFmt numFmtId="167" formatCode="0.00_ ;\-0.0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6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0" tint="-0.34998626667073579"/>
      <name val="Arial Narrow"/>
      <family val="2"/>
    </font>
    <font>
      <sz val="9"/>
      <color theme="0" tint="-0.34998626667073579"/>
      <name val="Arial Narrow"/>
      <family val="2"/>
    </font>
    <font>
      <b/>
      <vertAlign val="superscript"/>
      <sz val="9"/>
      <color theme="0" tint="-0.34998626667073579"/>
      <name val="Arial Narrow"/>
      <family val="2"/>
    </font>
    <font>
      <b/>
      <sz val="10"/>
      <color theme="0" tint="-0.34998626667073579"/>
      <name val="Arial Narrow"/>
      <family val="2"/>
    </font>
    <font>
      <vertAlign val="superscript"/>
      <sz val="9"/>
      <color theme="0" tint="-0.34998626667073579"/>
      <name val="Arial Narrow"/>
      <family val="2"/>
    </font>
    <font>
      <b/>
      <sz val="9"/>
      <color theme="0" tint="-0.34998626667073579"/>
      <name val="Arial Narrow"/>
      <family val="2"/>
    </font>
    <font>
      <b/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7.5"/>
      <color theme="1"/>
      <name val="Arial Narrow"/>
      <family val="2"/>
    </font>
    <font>
      <sz val="6"/>
      <color theme="1"/>
      <name val="Arial"/>
      <family val="2"/>
    </font>
    <font>
      <b/>
      <sz val="7.5"/>
      <color theme="1"/>
      <name val="Arial Narrow"/>
      <family val="2"/>
    </font>
    <font>
      <b/>
      <sz val="6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2"/>
      <color theme="0"/>
      <name val="Arial Narrow"/>
      <family val="2"/>
    </font>
    <font>
      <sz val="6.5"/>
      <color theme="1"/>
      <name val="Arial Narrow"/>
      <family val="2"/>
    </font>
    <font>
      <b/>
      <sz val="6.5"/>
      <color theme="1"/>
      <name val="Arial Narrow"/>
      <family val="2"/>
    </font>
    <font>
      <b/>
      <sz val="9"/>
      <color theme="0"/>
      <name val="Arial Narrow"/>
      <family val="2"/>
    </font>
    <font>
      <b/>
      <i/>
      <sz val="9"/>
      <color theme="3" tint="0.39997558519241921"/>
      <name val="Arial Narrow"/>
      <family val="2"/>
    </font>
    <font>
      <b/>
      <i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70C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2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top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0" xfId="0" applyNumberFormat="1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" fontId="13" fillId="0" borderId="0" xfId="0" applyNumberFormat="1" applyFont="1" applyAlignment="1" applyProtection="1">
      <alignment vertical="center"/>
      <protection locked="0"/>
    </xf>
    <xf numFmtId="4" fontId="13" fillId="0" borderId="0" xfId="0" applyNumberFormat="1" applyFont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4" fontId="9" fillId="0" borderId="2" xfId="0" applyNumberFormat="1" applyFont="1" applyBorder="1" applyAlignment="1" applyProtection="1">
      <alignment vertical="center"/>
      <protection locked="0"/>
    </xf>
    <xf numFmtId="4" fontId="8" fillId="0" borderId="3" xfId="0" applyNumberFormat="1" applyFont="1" applyBorder="1" applyAlignment="1" applyProtection="1">
      <alignment horizontal="right" vertical="center" wrapText="1"/>
      <protection locked="0"/>
    </xf>
    <xf numFmtId="4" fontId="10" fillId="0" borderId="4" xfId="0" applyNumberFormat="1" applyFont="1" applyBorder="1" applyAlignment="1" applyProtection="1">
      <alignment horizontal="right" vertical="center"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3" fontId="11" fillId="0" borderId="5" xfId="0" applyNumberFormat="1" applyFont="1" applyBorder="1" applyAlignment="1">
      <alignment horizontal="right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3" fontId="4" fillId="0" borderId="6" xfId="0" applyNumberFormat="1" applyFont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 applyProtection="1">
      <alignment horizontal="right" vertical="center"/>
      <protection locked="0"/>
    </xf>
    <xf numFmtId="3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3" fontId="19" fillId="0" borderId="9" xfId="0" applyNumberFormat="1" applyFont="1" applyBorder="1" applyAlignment="1">
      <alignment horizontal="right"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justify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3" fontId="4" fillId="0" borderId="9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3" fontId="8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3" fontId="8" fillId="0" borderId="4" xfId="0" applyNumberFormat="1" applyFont="1" applyBorder="1" applyAlignment="1" applyProtection="1">
      <alignment vertical="center" wrapText="1"/>
      <protection locked="0"/>
    </xf>
    <xf numFmtId="4" fontId="10" fillId="0" borderId="4" xfId="0" applyNumberFormat="1" applyFont="1" applyBorder="1" applyAlignment="1" applyProtection="1">
      <alignment horizontal="justify" vertical="center" wrapText="1"/>
      <protection locked="0"/>
    </xf>
    <xf numFmtId="0" fontId="10" fillId="0" borderId="4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vertical="center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17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3" fontId="4" fillId="0" borderId="8" xfId="0" applyNumberFormat="1" applyFont="1" applyBorder="1" applyAlignment="1" applyProtection="1">
      <alignment horizontal="right" vertical="center"/>
      <protection locked="0"/>
    </xf>
    <xf numFmtId="4" fontId="11" fillId="0" borderId="8" xfId="0" applyNumberFormat="1" applyFont="1" applyBorder="1" applyAlignment="1">
      <alignment horizontal="right" vertical="center" wrapText="1"/>
    </xf>
    <xf numFmtId="4" fontId="11" fillId="0" borderId="8" xfId="0" applyNumberFormat="1" applyFont="1" applyBorder="1" applyAlignment="1" applyProtection="1">
      <alignment horizontal="right" vertical="center" wrapText="1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top"/>
      <protection locked="0"/>
    </xf>
    <xf numFmtId="0" fontId="21" fillId="0" borderId="17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43" fontId="23" fillId="0" borderId="5" xfId="0" applyNumberFormat="1" applyFont="1" applyBorder="1" applyAlignment="1">
      <alignment horizontal="right" vertical="center"/>
    </xf>
    <xf numFmtId="0" fontId="24" fillId="0" borderId="24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43" fontId="25" fillId="0" borderId="9" xfId="0" applyNumberFormat="1" applyFont="1" applyBorder="1" applyAlignment="1">
      <alignment horizontal="right" vertical="center"/>
    </xf>
    <xf numFmtId="0" fontId="25" fillId="0" borderId="25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43" fontId="23" fillId="0" borderId="9" xfId="0" applyNumberFormat="1" applyFont="1" applyBorder="1" applyAlignment="1">
      <alignment horizontal="right" vertical="center"/>
    </xf>
    <xf numFmtId="43" fontId="23" fillId="0" borderId="9" xfId="0" applyNumberFormat="1" applyFont="1" applyBorder="1" applyAlignment="1" applyProtection="1">
      <alignment horizontal="right" vertical="center"/>
      <protection locked="0"/>
    </xf>
    <xf numFmtId="0" fontId="23" fillId="0" borderId="25" xfId="0" applyFont="1" applyBorder="1" applyAlignment="1">
      <alignment horizontal="left" vertical="justify"/>
    </xf>
    <xf numFmtId="0" fontId="23" fillId="0" borderId="0" xfId="0" applyFont="1" applyAlignment="1">
      <alignment horizontal="left" vertical="justify"/>
    </xf>
    <xf numFmtId="0" fontId="23" fillId="0" borderId="25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justify"/>
    </xf>
    <xf numFmtId="0" fontId="23" fillId="0" borderId="0" xfId="0" applyFont="1" applyAlignment="1">
      <alignment horizontal="left" vertical="center"/>
    </xf>
    <xf numFmtId="43" fontId="23" fillId="0" borderId="5" xfId="0" applyNumberFormat="1" applyFont="1" applyBorder="1" applyAlignment="1" applyProtection="1">
      <alignment horizontal="right" vertical="center"/>
      <protection locked="0"/>
    </xf>
    <xf numFmtId="0" fontId="23" fillId="0" borderId="24" xfId="0" applyFont="1" applyBorder="1" applyAlignment="1">
      <alignment horizontal="left" vertical="justify"/>
    </xf>
    <xf numFmtId="0" fontId="23" fillId="0" borderId="17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43" fontId="23" fillId="3" borderId="9" xfId="0" applyNumberFormat="1" applyFont="1" applyFill="1" applyBorder="1" applyAlignment="1">
      <alignment horizontal="right" vertical="center"/>
    </xf>
    <xf numFmtId="43" fontId="25" fillId="0" borderId="26" xfId="0" applyNumberFormat="1" applyFont="1" applyBorder="1" applyAlignment="1">
      <alignment horizontal="right" vertical="center"/>
    </xf>
    <xf numFmtId="0" fontId="23" fillId="0" borderId="25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vertical="center"/>
    </xf>
    <xf numFmtId="43" fontId="23" fillId="0" borderId="8" xfId="0" applyNumberFormat="1" applyFont="1" applyBorder="1" applyAlignment="1">
      <alignment horizontal="right" vertical="center"/>
    </xf>
    <xf numFmtId="43" fontId="23" fillId="0" borderId="8" xfId="0" applyNumberFormat="1" applyFont="1" applyBorder="1" applyAlignment="1" applyProtection="1">
      <alignment horizontal="right" vertical="center"/>
      <protection locked="0"/>
    </xf>
    <xf numFmtId="0" fontId="23" fillId="0" borderId="25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4" xfId="0" applyFont="1" applyBorder="1" applyAlignment="1">
      <alignment horizontal="left" vertical="center"/>
    </xf>
    <xf numFmtId="43" fontId="23" fillId="0" borderId="26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3" fillId="0" borderId="9" xfId="0" applyFont="1" applyBorder="1" applyAlignment="1">
      <alignment horizontal="right" vertical="center"/>
    </xf>
    <xf numFmtId="0" fontId="25" fillId="0" borderId="9" xfId="0" applyFont="1" applyBorder="1" applyAlignment="1">
      <alignment horizontal="left" vertical="center"/>
    </xf>
    <xf numFmtId="0" fontId="24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justify" vertical="center"/>
    </xf>
    <xf numFmtId="0" fontId="23" fillId="0" borderId="4" xfId="0" applyFont="1" applyBorder="1" applyAlignment="1">
      <alignment horizontal="justify" vertical="center"/>
    </xf>
    <xf numFmtId="0" fontId="23" fillId="0" borderId="11" xfId="0" applyFont="1" applyBorder="1" applyAlignment="1">
      <alignment horizontal="justify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justify"/>
    </xf>
    <xf numFmtId="0" fontId="25" fillId="2" borderId="5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justify"/>
    </xf>
    <xf numFmtId="0" fontId="25" fillId="2" borderId="9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 wrapText="1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4" fontId="21" fillId="4" borderId="27" xfId="0" applyNumberFormat="1" applyFont="1" applyFill="1" applyBorder="1" applyAlignment="1">
      <alignment horizontal="right" vertical="center" wrapText="1"/>
    </xf>
    <xf numFmtId="0" fontId="30" fillId="4" borderId="28" xfId="0" applyFont="1" applyFill="1" applyBorder="1" applyAlignment="1" applyProtection="1">
      <alignment horizontal="justify" vertical="center"/>
      <protection locked="0"/>
    </xf>
    <xf numFmtId="0" fontId="31" fillId="4" borderId="28" xfId="0" applyFont="1" applyFill="1" applyBorder="1" applyAlignment="1" applyProtection="1">
      <alignment vertical="center"/>
      <protection locked="0"/>
    </xf>
    <xf numFmtId="0" fontId="31" fillId="4" borderId="16" xfId="0" applyFont="1" applyFill="1" applyBorder="1" applyAlignment="1" applyProtection="1">
      <alignment vertical="center"/>
      <protection locked="0"/>
    </xf>
    <xf numFmtId="4" fontId="30" fillId="5" borderId="29" xfId="0" applyNumberFormat="1" applyFont="1" applyFill="1" applyBorder="1" applyAlignment="1">
      <alignment horizontal="right" vertical="center"/>
    </xf>
    <xf numFmtId="0" fontId="30" fillId="5" borderId="30" xfId="0" applyFont="1" applyFill="1" applyBorder="1" applyAlignment="1" applyProtection="1">
      <alignment horizontal="right" vertical="center"/>
      <protection locked="0"/>
    </xf>
    <xf numFmtId="0" fontId="32" fillId="5" borderId="31" xfId="0" applyFont="1" applyFill="1" applyBorder="1" applyAlignment="1" applyProtection="1">
      <alignment horizontal="justify" vertical="center"/>
      <protection locked="0"/>
    </xf>
    <xf numFmtId="0" fontId="30" fillId="5" borderId="10" xfId="0" applyFont="1" applyFill="1" applyBorder="1" applyAlignment="1" applyProtection="1">
      <alignment horizontal="justify" vertical="center"/>
      <protection locked="0"/>
    </xf>
    <xf numFmtId="0" fontId="21" fillId="0" borderId="30" xfId="0" applyFont="1" applyBorder="1" applyAlignment="1" applyProtection="1">
      <alignment horizontal="right" vertical="center" wrapText="1"/>
      <protection locked="0"/>
    </xf>
    <xf numFmtId="0" fontId="33" fillId="5" borderId="32" xfId="0" applyFont="1" applyFill="1" applyBorder="1" applyAlignment="1" applyProtection="1">
      <alignment horizontal="justify" vertical="center"/>
      <protection locked="0"/>
    </xf>
    <xf numFmtId="0" fontId="30" fillId="5" borderId="10" xfId="0" applyFont="1" applyFill="1" applyBorder="1" applyAlignment="1" applyProtection="1">
      <alignment vertical="center"/>
      <protection locked="0"/>
    </xf>
    <xf numFmtId="0" fontId="32" fillId="5" borderId="32" xfId="0" applyFont="1" applyFill="1" applyBorder="1" applyAlignment="1" applyProtection="1">
      <alignment horizontal="justify" vertical="center"/>
      <protection locked="0"/>
    </xf>
    <xf numFmtId="0" fontId="32" fillId="5" borderId="33" xfId="0" applyFont="1" applyFill="1" applyBorder="1" applyAlignment="1" applyProtection="1">
      <alignment horizontal="justify" vertical="center"/>
      <protection locked="0"/>
    </xf>
    <xf numFmtId="4" fontId="21" fillId="0" borderId="27" xfId="0" applyNumberFormat="1" applyFont="1" applyBorder="1" applyAlignment="1">
      <alignment horizontal="right" vertical="center" wrapText="1"/>
    </xf>
    <xf numFmtId="0" fontId="30" fillId="5" borderId="28" xfId="0" applyFont="1" applyFill="1" applyBorder="1" applyAlignment="1" applyProtection="1">
      <alignment horizontal="justify" vertical="center"/>
      <protection locked="0"/>
    </xf>
    <xf numFmtId="0" fontId="31" fillId="5" borderId="28" xfId="0" applyFont="1" applyFill="1" applyBorder="1" applyAlignment="1" applyProtection="1">
      <alignment vertical="center"/>
      <protection locked="0"/>
    </xf>
    <xf numFmtId="0" fontId="31" fillId="5" borderId="16" xfId="0" applyFont="1" applyFill="1" applyBorder="1" applyAlignment="1" applyProtection="1">
      <alignment vertical="center"/>
      <protection locked="0"/>
    </xf>
    <xf numFmtId="4" fontId="30" fillId="5" borderId="5" xfId="0" applyNumberFormat="1" applyFont="1" applyFill="1" applyBorder="1" applyAlignment="1" applyProtection="1">
      <alignment horizontal="right" vertical="center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34" fillId="5" borderId="17" xfId="0" applyFont="1" applyFill="1" applyBorder="1" applyAlignment="1" applyProtection="1">
      <alignment horizontal="justify" vertical="center"/>
      <protection locked="0"/>
    </xf>
    <xf numFmtId="0" fontId="31" fillId="5" borderId="7" xfId="0" applyFont="1" applyFill="1" applyBorder="1" applyAlignment="1" applyProtection="1">
      <alignment horizontal="left" vertical="center"/>
      <protection locked="0"/>
    </xf>
    <xf numFmtId="4" fontId="30" fillId="5" borderId="3" xfId="0" applyNumberFormat="1" applyFont="1" applyFill="1" applyBorder="1" applyAlignment="1" applyProtection="1">
      <alignment horizontal="right" vertical="center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32" fillId="5" borderId="4" xfId="0" applyFont="1" applyFill="1" applyBorder="1" applyAlignment="1" applyProtection="1">
      <alignment horizontal="justify" vertical="center"/>
      <protection locked="0"/>
    </xf>
    <xf numFmtId="0" fontId="30" fillId="5" borderId="11" xfId="0" applyFont="1" applyFill="1" applyBorder="1" applyAlignment="1" applyProtection="1">
      <alignment horizontal="justify" vertical="center"/>
      <protection locked="0"/>
    </xf>
    <xf numFmtId="4" fontId="30" fillId="5" borderId="34" xfId="0" applyNumberFormat="1" applyFont="1" applyFill="1" applyBorder="1" applyAlignment="1">
      <alignment horizontal="right" vertical="center"/>
    </xf>
    <xf numFmtId="43" fontId="21" fillId="0" borderId="35" xfId="0" applyNumberFormat="1" applyFont="1" applyBorder="1" applyAlignment="1" applyProtection="1">
      <alignment horizontal="right" vertical="center" wrapText="1"/>
      <protection locked="0"/>
    </xf>
    <xf numFmtId="0" fontId="33" fillId="5" borderId="31" xfId="0" applyFont="1" applyFill="1" applyBorder="1" applyAlignment="1" applyProtection="1">
      <alignment horizontal="justify" vertical="center"/>
      <protection locked="0"/>
    </xf>
    <xf numFmtId="0" fontId="30" fillId="5" borderId="7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43" fontId="21" fillId="0" borderId="30" xfId="0" applyNumberFormat="1" applyFont="1" applyBorder="1" applyAlignment="1" applyProtection="1">
      <alignment horizontal="right" vertical="center" wrapText="1"/>
      <protection locked="0"/>
    </xf>
    <xf numFmtId="0" fontId="31" fillId="5" borderId="10" xfId="0" applyFont="1" applyFill="1" applyBorder="1" applyAlignment="1" applyProtection="1">
      <alignment horizontal="justify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" fontId="21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 applyProtection="1">
      <alignment horizontal="left" vertical="center"/>
      <protection locked="0"/>
    </xf>
    <xf numFmtId="0" fontId="21" fillId="2" borderId="7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vertical="center" wrapText="1"/>
    </xf>
    <xf numFmtId="4" fontId="21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left" vertical="center"/>
      <protection locked="0"/>
    </xf>
    <xf numFmtId="0" fontId="21" fillId="2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1" fillId="4" borderId="28" xfId="0" applyFont="1" applyFill="1" applyBorder="1" applyAlignment="1" applyProtection="1">
      <alignment horizontal="center" vertical="center" wrapText="1"/>
      <protection locked="0"/>
    </xf>
    <xf numFmtId="0" fontId="21" fillId="4" borderId="28" xfId="0" applyFont="1" applyFill="1" applyBorder="1" applyAlignment="1" applyProtection="1">
      <alignment horizontal="left" vertical="center"/>
      <protection locked="0"/>
    </xf>
    <xf numFmtId="0" fontId="21" fillId="4" borderId="16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1" fillId="0" borderId="27" xfId="0" applyNumberFormat="1" applyFont="1" applyBorder="1" applyAlignment="1">
      <alignment horizontal="right" vertical="center" wrapText="1"/>
    </xf>
    <xf numFmtId="3" fontId="11" fillId="0" borderId="28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vertical="center" wrapText="1"/>
    </xf>
    <xf numFmtId="3" fontId="4" fillId="0" borderId="34" xfId="0" applyNumberFormat="1" applyFont="1" applyBorder="1" applyAlignment="1">
      <alignment horizontal="right" vertical="center" wrapText="1"/>
    </xf>
    <xf numFmtId="3" fontId="4" fillId="0" borderId="35" xfId="0" applyNumberFormat="1" applyFont="1" applyBorder="1" applyAlignment="1" applyProtection="1">
      <alignment horizontal="right" vertical="center" wrapText="1"/>
      <protection locked="0"/>
    </xf>
    <xf numFmtId="3" fontId="4" fillId="0" borderId="35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 indent="3"/>
    </xf>
    <xf numFmtId="3" fontId="4" fillId="0" borderId="29" xfId="0" applyNumberFormat="1" applyFont="1" applyBorder="1" applyAlignment="1">
      <alignment horizontal="right" vertical="center" wrapText="1"/>
    </xf>
    <xf numFmtId="3" fontId="4" fillId="0" borderId="30" xfId="0" applyNumberFormat="1" applyFont="1" applyBorder="1" applyAlignment="1" applyProtection="1">
      <alignment horizontal="right" vertical="center" wrapText="1"/>
      <protection locked="0"/>
    </xf>
    <xf numFmtId="3" fontId="4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left" vertical="center" wrapText="1" indent="3"/>
    </xf>
    <xf numFmtId="0" fontId="4" fillId="0" borderId="2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49" fontId="11" fillId="0" borderId="34" xfId="0" applyNumberFormat="1" applyFont="1" applyBorder="1" applyAlignment="1">
      <alignment horizontal="center" vertical="center" wrapText="1"/>
    </xf>
    <xf numFmtId="49" fontId="11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5" xfId="0" applyNumberFormat="1" applyFont="1" applyBorder="1" applyAlignment="1">
      <alignment horizontal="center" vertical="center" wrapText="1"/>
    </xf>
    <xf numFmtId="49" fontId="11" fillId="0" borderId="35" xfId="0" applyNumberFormat="1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left" vertical="center"/>
      <protection locked="0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17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43" fontId="37" fillId="0" borderId="8" xfId="0" applyNumberFormat="1" applyFont="1" applyBorder="1" applyAlignment="1">
      <alignment vertical="center"/>
    </xf>
    <xf numFmtId="0" fontId="37" fillId="0" borderId="9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43" fontId="36" fillId="0" borderId="9" xfId="0" applyNumberFormat="1" applyFont="1" applyBorder="1" applyAlignment="1">
      <alignment vertical="center"/>
    </xf>
    <xf numFmtId="43" fontId="36" fillId="0" borderId="8" xfId="0" applyNumberFormat="1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43" fontId="36" fillId="0" borderId="8" xfId="0" applyNumberFormat="1" applyFont="1" applyBorder="1" applyAlignment="1" applyProtection="1">
      <alignment vertical="center"/>
      <protection locked="0"/>
    </xf>
    <xf numFmtId="0" fontId="36" fillId="0" borderId="9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43" fontId="36" fillId="0" borderId="5" xfId="0" applyNumberFormat="1" applyFont="1" applyBorder="1" applyAlignment="1">
      <alignment vertical="center"/>
    </xf>
    <xf numFmtId="43" fontId="36" fillId="0" borderId="6" xfId="0" applyNumberFormat="1" applyFont="1" applyBorder="1" applyAlignment="1" applyProtection="1">
      <alignment vertical="center"/>
      <protection locked="0"/>
    </xf>
    <xf numFmtId="43" fontId="36" fillId="0" borderId="6" xfId="0" applyNumberFormat="1" applyFont="1" applyBorder="1" applyAlignment="1">
      <alignment vertical="center"/>
    </xf>
    <xf numFmtId="0" fontId="37" fillId="0" borderId="8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8" fillId="0" borderId="0" xfId="0" applyFont="1" applyAlignment="1" applyProtection="1">
      <alignment vertical="center"/>
      <protection locked="0"/>
    </xf>
    <xf numFmtId="0" fontId="39" fillId="0" borderId="0" xfId="0" applyFont="1" applyAlignment="1" applyProtection="1">
      <alignment horizontal="right"/>
      <protection locked="0"/>
    </xf>
    <xf numFmtId="0" fontId="38" fillId="0" borderId="0" xfId="0" applyFont="1" applyAlignment="1" applyProtection="1">
      <alignment horizontal="left" vertical="justify" indent="3"/>
      <protection locked="0"/>
    </xf>
    <xf numFmtId="0" fontId="38" fillId="0" borderId="0" xfId="0" applyFont="1" applyAlignment="1" applyProtection="1">
      <alignment horizontal="justify"/>
      <protection locked="0"/>
    </xf>
    <xf numFmtId="0" fontId="38" fillId="0" borderId="0" xfId="0" applyFont="1" applyAlignment="1" applyProtection="1">
      <alignment horizontal="left"/>
      <protection locked="0"/>
    </xf>
    <xf numFmtId="0" fontId="35" fillId="0" borderId="0" xfId="0" applyFont="1" applyAlignment="1" applyProtection="1">
      <alignment horizontal="left"/>
      <protection locked="0"/>
    </xf>
    <xf numFmtId="3" fontId="9" fillId="0" borderId="0" xfId="0" applyNumberFormat="1" applyFont="1" applyAlignment="1">
      <alignment horizontal="right" vertical="center" wrapText="1"/>
    </xf>
    <xf numFmtId="3" fontId="40" fillId="0" borderId="0" xfId="0" applyNumberFormat="1" applyFont="1" applyAlignment="1">
      <alignment horizontal="righ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3" fontId="9" fillId="0" borderId="34" xfId="0" applyNumberFormat="1" applyFont="1" applyBorder="1" applyAlignment="1">
      <alignment horizontal="right" vertical="center" wrapText="1"/>
    </xf>
    <xf numFmtId="3" fontId="9" fillId="0" borderId="35" xfId="0" applyNumberFormat="1" applyFont="1" applyBorder="1" applyAlignment="1">
      <alignment horizontal="right" vertical="center" wrapText="1"/>
    </xf>
    <xf numFmtId="3" fontId="40" fillId="0" borderId="35" xfId="0" applyNumberFormat="1" applyFont="1" applyBorder="1" applyAlignment="1">
      <alignment horizontal="right" vertical="center" wrapText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3" fontId="29" fillId="0" borderId="34" xfId="0" applyNumberFormat="1" applyFont="1" applyBorder="1" applyAlignment="1">
      <alignment horizontal="right" vertical="center" wrapText="1"/>
    </xf>
    <xf numFmtId="3" fontId="29" fillId="0" borderId="35" xfId="0" applyNumberFormat="1" applyFont="1" applyBorder="1" applyAlignment="1" applyProtection="1">
      <alignment horizontal="right" vertical="center" wrapText="1"/>
      <protection locked="0"/>
    </xf>
    <xf numFmtId="3" fontId="29" fillId="0" borderId="35" xfId="0" applyNumberFormat="1" applyFont="1" applyBorder="1" applyAlignment="1">
      <alignment horizontal="right" vertical="center" wrapText="1"/>
    </xf>
    <xf numFmtId="0" fontId="4" fillId="0" borderId="19" xfId="0" applyFont="1" applyBorder="1" applyAlignment="1" applyProtection="1">
      <alignment horizontal="justify" vertical="center" wrapText="1"/>
      <protection locked="0"/>
    </xf>
    <xf numFmtId="3" fontId="29" fillId="0" borderId="29" xfId="0" applyNumberFormat="1" applyFont="1" applyBorder="1" applyAlignment="1">
      <alignment horizontal="right" vertical="center" wrapText="1"/>
    </xf>
    <xf numFmtId="3" fontId="29" fillId="0" borderId="30" xfId="0" applyNumberFormat="1" applyFont="1" applyBorder="1" applyAlignment="1" applyProtection="1">
      <alignment horizontal="right" vertical="center" wrapText="1"/>
      <protection locked="0"/>
    </xf>
    <xf numFmtId="3" fontId="29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left" vertical="center" wrapText="1" indent="2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top"/>
      <protection locked="0"/>
    </xf>
    <xf numFmtId="43" fontId="41" fillId="0" borderId="0" xfId="1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justify" vertical="center" wrapText="1"/>
      <protection locked="0"/>
    </xf>
    <xf numFmtId="3" fontId="29" fillId="0" borderId="29" xfId="0" applyNumberFormat="1" applyFont="1" applyBorder="1" applyAlignment="1" applyProtection="1">
      <alignment horizontal="right" vertical="center" wrapText="1"/>
      <protection locked="0"/>
    </xf>
    <xf numFmtId="0" fontId="29" fillId="0" borderId="21" xfId="0" applyFont="1" applyBorder="1" applyAlignment="1" applyProtection="1">
      <alignment horizontal="justify" vertical="center" wrapText="1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9" fillId="2" borderId="30" xfId="0" applyNumberFormat="1" applyFont="1" applyFill="1" applyBorder="1" applyAlignment="1" applyProtection="1">
      <alignment horizontal="right" vertical="center" wrapText="1"/>
      <protection locked="0"/>
    </xf>
    <xf numFmtId="43" fontId="29" fillId="0" borderId="0" xfId="1" applyFont="1" applyFill="1" applyAlignment="1" applyProtection="1">
      <alignment vertical="center"/>
      <protection locked="0"/>
    </xf>
    <xf numFmtId="43" fontId="4" fillId="0" borderId="0" xfId="1" applyFont="1" applyFill="1" applyAlignment="1" applyProtection="1">
      <alignment vertical="center"/>
      <protection locked="0"/>
    </xf>
    <xf numFmtId="3" fontId="42" fillId="2" borderId="30" xfId="0" applyNumberFormat="1" applyFont="1" applyFill="1" applyBorder="1" applyAlignment="1" applyProtection="1">
      <alignment horizontal="right" vertical="center" wrapText="1"/>
      <protection locked="0"/>
    </xf>
    <xf numFmtId="43" fontId="41" fillId="0" borderId="0" xfId="0" applyNumberFormat="1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43" fontId="3" fillId="0" borderId="0" xfId="1" applyFont="1" applyFill="1" applyAlignment="1" applyProtection="1">
      <alignment vertical="center"/>
      <protection locked="0"/>
    </xf>
    <xf numFmtId="3" fontId="41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3" fontId="18" fillId="0" borderId="0" xfId="1" applyFont="1" applyFill="1" applyAlignment="1" applyProtection="1">
      <alignment vertical="center"/>
      <protection locked="0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49" fontId="18" fillId="0" borderId="35" xfId="0" applyNumberFormat="1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43" fontId="41" fillId="0" borderId="0" xfId="1" applyFont="1" applyFill="1" applyBorder="1" applyAlignment="1" applyProtection="1">
      <alignment horizontal="left" vertical="center"/>
      <protection locked="0"/>
    </xf>
    <xf numFmtId="43" fontId="43" fillId="0" borderId="0" xfId="0" applyNumberFormat="1" applyFont="1"/>
    <xf numFmtId="0" fontId="44" fillId="0" borderId="0" xfId="0" applyFont="1"/>
    <xf numFmtId="43" fontId="10" fillId="0" borderId="5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justify" vertical="center" wrapText="1"/>
    </xf>
    <xf numFmtId="0" fontId="43" fillId="0" borderId="0" xfId="0" applyFont="1"/>
    <xf numFmtId="43" fontId="41" fillId="0" borderId="9" xfId="0" applyNumberFormat="1" applyFont="1" applyBorder="1" applyAlignment="1">
      <alignment horizontal="right" vertical="center" wrapText="1"/>
    </xf>
    <xf numFmtId="0" fontId="18" fillId="0" borderId="8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left" vertical="center" wrapText="1"/>
    </xf>
    <xf numFmtId="43" fontId="41" fillId="2" borderId="9" xfId="0" applyNumberFormat="1" applyFont="1" applyFill="1" applyBorder="1" applyAlignment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3" fontId="43" fillId="0" borderId="0" xfId="1" applyFont="1"/>
    <xf numFmtId="0" fontId="41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11" fillId="0" borderId="34" xfId="0" applyNumberFormat="1" applyFont="1" applyBorder="1" applyAlignment="1">
      <alignment horizontal="right" vertical="center" wrapText="1"/>
    </xf>
    <xf numFmtId="3" fontId="11" fillId="0" borderId="35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justify" vertical="center" wrapText="1"/>
    </xf>
    <xf numFmtId="4" fontId="4" fillId="0" borderId="29" xfId="0" applyNumberFormat="1" applyFont="1" applyBorder="1" applyAlignment="1">
      <alignment horizontal="justify" vertical="center" wrapText="1"/>
    </xf>
    <xf numFmtId="4" fontId="4" fillId="0" borderId="30" xfId="0" applyNumberFormat="1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49" fontId="18" fillId="0" borderId="0" xfId="0" applyNumberFormat="1" applyFont="1" applyAlignment="1" applyProtection="1">
      <alignment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 applyProtection="1">
      <alignment horizontal="right" vertical="center" wrapText="1"/>
      <protection locked="0"/>
    </xf>
    <xf numFmtId="3" fontId="11" fillId="0" borderId="4" xfId="0" applyNumberFormat="1" applyFont="1" applyBorder="1" applyAlignment="1">
      <alignment horizontal="right" vertical="center" wrapText="1"/>
    </xf>
    <xf numFmtId="0" fontId="11" fillId="0" borderId="4" xfId="0" applyFont="1" applyBorder="1" applyAlignment="1" applyProtection="1">
      <alignment horizontal="justify" vertical="center" wrapText="1"/>
      <protection locked="0"/>
    </xf>
    <xf numFmtId="0" fontId="4" fillId="0" borderId="21" xfId="0" applyFont="1" applyBorder="1" applyAlignment="1" applyProtection="1">
      <alignment horizontal="left" vertical="center" wrapText="1" indent="1"/>
      <protection locked="0"/>
    </xf>
    <xf numFmtId="4" fontId="4" fillId="0" borderId="29" xfId="0" applyNumberFormat="1" applyFont="1" applyBorder="1" applyAlignment="1">
      <alignment horizontal="right" vertical="center" wrapText="1"/>
    </xf>
    <xf numFmtId="4" fontId="4" fillId="0" borderId="30" xfId="0" applyNumberFormat="1" applyFont="1" applyBorder="1" applyAlignment="1" applyProtection="1">
      <alignment horizontal="right" vertical="center" wrapText="1"/>
      <protection locked="0"/>
    </xf>
    <xf numFmtId="4" fontId="4" fillId="0" borderId="30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justify" vertical="center" wrapText="1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 indent="2"/>
      <protection locked="0"/>
    </xf>
    <xf numFmtId="3" fontId="4" fillId="0" borderId="27" xfId="0" applyNumberFormat="1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0" fontId="4" fillId="0" borderId="21" xfId="0" applyFont="1" applyBorder="1" applyAlignment="1" applyProtection="1">
      <alignment horizontal="left" vertical="top" wrapText="1" indent="2"/>
      <protection locked="0"/>
    </xf>
    <xf numFmtId="3" fontId="11" fillId="0" borderId="29" xfId="0" applyNumberFormat="1" applyFont="1" applyBorder="1" applyAlignment="1">
      <alignment horizontal="right" vertical="center" wrapText="1"/>
    </xf>
    <xf numFmtId="3" fontId="11" fillId="0" borderId="30" xfId="0" applyNumberFormat="1" applyFont="1" applyBorder="1" applyAlignment="1">
      <alignment horizontal="right" vertical="center" wrapText="1"/>
    </xf>
    <xf numFmtId="0" fontId="11" fillId="0" borderId="21" xfId="0" applyFont="1" applyBorder="1" applyAlignment="1" applyProtection="1">
      <alignment vertical="center" wrapText="1"/>
      <protection locked="0"/>
    </xf>
    <xf numFmtId="4" fontId="3" fillId="0" borderId="29" xfId="0" applyNumberFormat="1" applyFont="1" applyBorder="1" applyAlignment="1" applyProtection="1">
      <alignment horizontal="justify" vertical="center" wrapText="1"/>
      <protection locked="0"/>
    </xf>
    <xf numFmtId="4" fontId="3" fillId="0" borderId="30" xfId="0" applyNumberFormat="1" applyFont="1" applyBorder="1" applyAlignment="1" applyProtection="1">
      <alignment horizontal="justify" vertical="center" wrapText="1"/>
      <protection locked="0"/>
    </xf>
    <xf numFmtId="0" fontId="3" fillId="0" borderId="21" xfId="0" applyFont="1" applyBorder="1" applyAlignment="1" applyProtection="1">
      <alignment horizontal="justify" vertical="center" wrapText="1"/>
      <protection locked="0"/>
    </xf>
    <xf numFmtId="4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35" xfId="0" applyNumberFormat="1" applyFont="1" applyBorder="1" applyAlignment="1" applyProtection="1">
      <alignment horizontal="center" vertical="center" wrapText="1"/>
      <protection locked="0"/>
    </xf>
    <xf numFmtId="4" fontId="9" fillId="0" borderId="36" xfId="0" applyNumberFormat="1" applyFont="1" applyBorder="1" applyAlignment="1" applyProtection="1">
      <alignment horizontal="center" vertical="center" wrapText="1"/>
      <protection locked="0"/>
    </xf>
    <xf numFmtId="4" fontId="9" fillId="0" borderId="37" xfId="0" applyNumberFormat="1" applyFont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4" fontId="21" fillId="0" borderId="0" xfId="0" applyNumberFormat="1" applyFont="1" applyAlignment="1" applyProtection="1">
      <alignment horizontal="right" vertical="top"/>
      <protection locked="0"/>
    </xf>
    <xf numFmtId="4" fontId="9" fillId="0" borderId="17" xfId="0" applyNumberFormat="1" applyFont="1" applyBorder="1" applyAlignment="1" applyProtection="1">
      <alignment horizontal="left" vertical="center"/>
      <protection locked="0"/>
    </xf>
    <xf numFmtId="43" fontId="41" fillId="0" borderId="0" xfId="0" applyNumberFormat="1" applyFont="1" applyAlignment="1">
      <alignment vertical="center"/>
    </xf>
    <xf numFmtId="0" fontId="41" fillId="0" borderId="0" xfId="0" applyFont="1" applyAlignment="1">
      <alignment horizontal="left" vertical="center"/>
    </xf>
    <xf numFmtId="43" fontId="41" fillId="0" borderId="5" xfId="0" applyNumberFormat="1" applyFont="1" applyBorder="1" applyAlignment="1">
      <alignment vertical="center"/>
    </xf>
    <xf numFmtId="0" fontId="41" fillId="0" borderId="5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43" fontId="41" fillId="0" borderId="9" xfId="0" applyNumberFormat="1" applyFont="1" applyBorder="1" applyAlignment="1">
      <alignment vertical="center"/>
    </xf>
    <xf numFmtId="43" fontId="41" fillId="0" borderId="9" xfId="0" applyNumberFormat="1" applyFont="1" applyBorder="1" applyAlignment="1" applyProtection="1">
      <alignment vertical="center"/>
      <protection locked="0"/>
    </xf>
    <xf numFmtId="0" fontId="41" fillId="0" borderId="9" xfId="0" applyFont="1" applyBorder="1" applyAlignment="1">
      <alignment horizontal="left" vertical="center"/>
    </xf>
    <xf numFmtId="0" fontId="41" fillId="0" borderId="10" xfId="0" applyFont="1" applyBorder="1" applyAlignment="1">
      <alignment horizontal="left" vertical="center"/>
    </xf>
    <xf numFmtId="43" fontId="41" fillId="0" borderId="5" xfId="0" applyNumberFormat="1" applyFont="1" applyBorder="1" applyAlignment="1" applyProtection="1">
      <alignment vertical="center"/>
      <protection locked="0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43" fontId="18" fillId="0" borderId="9" xfId="0" applyNumberFormat="1" applyFont="1" applyBorder="1" applyAlignment="1" applyProtection="1">
      <alignment vertical="center"/>
      <protection locked="0"/>
    </xf>
    <xf numFmtId="0" fontId="18" fillId="0" borderId="9" xfId="0" applyFont="1" applyBorder="1" applyAlignment="1">
      <alignment horizontal="justify" vertical="center"/>
    </xf>
    <xf numFmtId="0" fontId="18" fillId="0" borderId="10" xfId="0" applyFont="1" applyBorder="1" applyAlignment="1">
      <alignment horizontal="justify" vertical="center"/>
    </xf>
    <xf numFmtId="43" fontId="18" fillId="0" borderId="9" xfId="0" applyNumberFormat="1" applyFont="1" applyBorder="1" applyAlignment="1">
      <alignment vertical="center"/>
    </xf>
    <xf numFmtId="0" fontId="18" fillId="0" borderId="2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41" fillId="0" borderId="3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45" fillId="0" borderId="0" xfId="0" applyFont="1"/>
    <xf numFmtId="0" fontId="0" fillId="2" borderId="0" xfId="0" applyFill="1"/>
    <xf numFmtId="43" fontId="0" fillId="2" borderId="0" xfId="0" applyNumberFormat="1" applyFill="1"/>
    <xf numFmtId="164" fontId="0" fillId="2" borderId="0" xfId="0" applyNumberFormat="1" applyFill="1"/>
    <xf numFmtId="9" fontId="0" fillId="2" borderId="0" xfId="2" applyFont="1" applyFill="1"/>
    <xf numFmtId="0" fontId="4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45" fillId="2" borderId="0" xfId="0" applyFont="1" applyFill="1"/>
    <xf numFmtId="43" fontId="43" fillId="2" borderId="0" xfId="0" applyNumberFormat="1" applyFont="1" applyFill="1"/>
    <xf numFmtId="164" fontId="46" fillId="2" borderId="0" xfId="0" applyNumberFormat="1" applyFont="1" applyFill="1"/>
    <xf numFmtId="2" fontId="0" fillId="2" borderId="0" xfId="0" applyNumberFormat="1" applyFill="1"/>
    <xf numFmtId="43" fontId="41" fillId="2" borderId="39" xfId="0" applyNumberFormat="1" applyFont="1" applyFill="1" applyBorder="1" applyAlignment="1">
      <alignment vertical="center"/>
    </xf>
    <xf numFmtId="164" fontId="27" fillId="2" borderId="39" xfId="0" applyNumberFormat="1" applyFont="1" applyFill="1" applyBorder="1"/>
    <xf numFmtId="0" fontId="43" fillId="0" borderId="39" xfId="0" applyFont="1" applyBorder="1"/>
    <xf numFmtId="165" fontId="47" fillId="2" borderId="39" xfId="1" applyNumberFormat="1" applyFont="1" applyFill="1" applyBorder="1" applyAlignment="1">
      <alignment horizontal="right" vertical="center" indent="1"/>
    </xf>
    <xf numFmtId="165" fontId="48" fillId="2" borderId="39" xfId="1" applyNumberFormat="1" applyFont="1" applyFill="1" applyBorder="1" applyAlignment="1">
      <alignment horizontal="right" vertical="center" indent="1"/>
    </xf>
    <xf numFmtId="0" fontId="45" fillId="0" borderId="39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right" vertical="center"/>
    </xf>
    <xf numFmtId="0" fontId="27" fillId="0" borderId="39" xfId="0" applyFont="1" applyBorder="1" applyAlignment="1">
      <alignment horizontal="left" vertical="center" wrapText="1"/>
    </xf>
    <xf numFmtId="0" fontId="47" fillId="0" borderId="39" xfId="0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8" fillId="0" borderId="39" xfId="0" applyFont="1" applyBorder="1" applyAlignment="1">
      <alignment horizontal="right" vertical="center"/>
    </xf>
    <xf numFmtId="165" fontId="49" fillId="2" borderId="39" xfId="1" applyNumberFormat="1" applyFont="1" applyFill="1" applyBorder="1" applyAlignment="1">
      <alignment horizontal="right" vertical="center" indent="1"/>
    </xf>
    <xf numFmtId="0" fontId="47" fillId="0" borderId="39" xfId="0" applyFont="1" applyBorder="1" applyAlignment="1">
      <alignment horizontal="center" vertical="center"/>
    </xf>
    <xf numFmtId="0" fontId="48" fillId="0" borderId="39" xfId="0" applyFont="1" applyBorder="1" applyAlignment="1">
      <alignment horizontal="left" vertical="center" wrapText="1"/>
    </xf>
    <xf numFmtId="0" fontId="47" fillId="0" borderId="39" xfId="0" applyFont="1" applyBorder="1" applyAlignment="1">
      <alignment horizontal="left" vertical="center" wrapText="1"/>
    </xf>
    <xf numFmtId="165" fontId="47" fillId="0" borderId="39" xfId="1" applyNumberFormat="1" applyFont="1" applyFill="1" applyBorder="1" applyAlignment="1">
      <alignment horizontal="right" vertical="center" indent="1"/>
    </xf>
    <xf numFmtId="0" fontId="27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horizontal="left" vertical="center"/>
    </xf>
    <xf numFmtId="0" fontId="48" fillId="2" borderId="39" xfId="0" applyFont="1" applyFill="1" applyBorder="1" applyAlignment="1">
      <alignment horizontal="left" vertical="center" wrapText="1"/>
    </xf>
    <xf numFmtId="165" fontId="0" fillId="0" borderId="0" xfId="0" applyNumberFormat="1"/>
    <xf numFmtId="166" fontId="47" fillId="2" borderId="39" xfId="1" applyNumberFormat="1" applyFont="1" applyFill="1" applyBorder="1" applyAlignment="1">
      <alignment horizontal="right" vertical="center" indent="1"/>
    </xf>
    <xf numFmtId="4" fontId="48" fillId="0" borderId="39" xfId="0" applyNumberFormat="1" applyFont="1" applyBorder="1" applyAlignment="1">
      <alignment horizontal="left" vertical="center" wrapText="1"/>
    </xf>
    <xf numFmtId="0" fontId="48" fillId="0" borderId="39" xfId="0" applyFont="1" applyBorder="1" applyAlignment="1">
      <alignment vertical="center" wrapText="1"/>
    </xf>
    <xf numFmtId="4" fontId="45" fillId="0" borderId="39" xfId="0" applyNumberFormat="1" applyFont="1" applyBorder="1" applyAlignment="1">
      <alignment horizontal="left" vertical="center" wrapText="1"/>
    </xf>
    <xf numFmtId="4" fontId="27" fillId="0" borderId="39" xfId="0" applyNumberFormat="1" applyFont="1" applyBorder="1" applyAlignment="1">
      <alignment horizontal="left" vertical="center" wrapText="1"/>
    </xf>
    <xf numFmtId="0" fontId="47" fillId="0" borderId="39" xfId="0" applyFont="1" applyBorder="1" applyAlignment="1">
      <alignment horizontal="left" vertical="center" wrapText="1" indent="4"/>
    </xf>
    <xf numFmtId="0" fontId="47" fillId="0" borderId="39" xfId="0" applyFont="1" applyBorder="1" applyAlignment="1">
      <alignment horizontal="left" vertical="center" wrapText="1" indent="2"/>
    </xf>
    <xf numFmtId="0" fontId="45" fillId="0" borderId="39" xfId="0" applyFont="1" applyBorder="1" applyAlignment="1">
      <alignment vertical="center" wrapText="1"/>
    </xf>
    <xf numFmtId="0" fontId="47" fillId="0" borderId="39" xfId="0" applyFont="1" applyBorder="1" applyAlignment="1">
      <alignment horizontal="center" vertical="center" wrapText="1"/>
    </xf>
    <xf numFmtId="4" fontId="47" fillId="0" borderId="39" xfId="0" applyNumberFormat="1" applyFont="1" applyBorder="1" applyAlignment="1">
      <alignment horizontal="left" vertical="center" wrapText="1"/>
    </xf>
    <xf numFmtId="4" fontId="48" fillId="2" borderId="39" xfId="0" applyNumberFormat="1" applyFont="1" applyFill="1" applyBorder="1" applyAlignment="1">
      <alignment horizontal="left" vertical="center" wrapText="1"/>
    </xf>
    <xf numFmtId="4" fontId="47" fillId="2" borderId="39" xfId="0" applyNumberFormat="1" applyFont="1" applyFill="1" applyBorder="1" applyAlignment="1">
      <alignment horizontal="left" vertical="center" wrapText="1"/>
    </xf>
    <xf numFmtId="0" fontId="47" fillId="2" borderId="39" xfId="0" applyFont="1" applyFill="1" applyBorder="1" applyAlignment="1">
      <alignment horizontal="left" vertical="center" wrapText="1" indent="4"/>
    </xf>
    <xf numFmtId="0" fontId="47" fillId="2" borderId="39" xfId="0" applyFont="1" applyFill="1" applyBorder="1" applyAlignment="1">
      <alignment horizontal="left" vertical="center" wrapText="1" indent="2"/>
    </xf>
    <xf numFmtId="0" fontId="48" fillId="2" borderId="39" xfId="0" applyFont="1" applyFill="1" applyBorder="1" applyAlignment="1">
      <alignment vertical="center" wrapText="1"/>
    </xf>
    <xf numFmtId="0" fontId="47" fillId="2" borderId="39" xfId="0" applyFont="1" applyFill="1" applyBorder="1" applyAlignment="1">
      <alignment horizontal="left" vertical="center" wrapText="1"/>
    </xf>
    <xf numFmtId="43" fontId="0" fillId="0" borderId="0" xfId="0" applyNumberFormat="1"/>
    <xf numFmtId="43" fontId="47" fillId="2" borderId="39" xfId="1" applyFont="1" applyFill="1" applyBorder="1" applyAlignment="1">
      <alignment horizontal="right" vertical="center" indent="1"/>
    </xf>
    <xf numFmtId="0" fontId="45" fillId="2" borderId="39" xfId="0" applyFont="1" applyFill="1" applyBorder="1"/>
    <xf numFmtId="0" fontId="47" fillId="2" borderId="39" xfId="0" applyFont="1" applyFill="1" applyBorder="1" applyAlignment="1">
      <alignment horizontal="center" vertical="center" wrapText="1"/>
    </xf>
    <xf numFmtId="43" fontId="45" fillId="0" borderId="0" xfId="0" applyNumberFormat="1" applyFont="1"/>
    <xf numFmtId="43" fontId="45" fillId="0" borderId="0" xfId="1" applyFont="1"/>
    <xf numFmtId="9" fontId="50" fillId="2" borderId="40" xfId="2" applyFont="1" applyFill="1" applyBorder="1" applyAlignment="1">
      <alignment horizontal="center" vertical="center" wrapText="1"/>
    </xf>
    <xf numFmtId="43" fontId="50" fillId="2" borderId="41" xfId="0" applyNumberFormat="1" applyFont="1" applyFill="1" applyBorder="1" applyAlignment="1">
      <alignment horizontal="center" vertical="center" wrapText="1"/>
    </xf>
    <xf numFmtId="164" fontId="50" fillId="2" borderId="41" xfId="0" applyNumberFormat="1" applyFont="1" applyFill="1" applyBorder="1" applyAlignment="1">
      <alignment horizontal="center" vertical="center" wrapText="1"/>
    </xf>
    <xf numFmtId="164" fontId="50" fillId="2" borderId="41" xfId="0" applyNumberFormat="1" applyFont="1" applyFill="1" applyBorder="1" applyAlignment="1">
      <alignment horizontal="center" vertical="center"/>
    </xf>
    <xf numFmtId="164" fontId="50" fillId="2" borderId="41" xfId="1" applyNumberFormat="1" applyFont="1" applyFill="1" applyBorder="1" applyAlignment="1">
      <alignment horizontal="center" vertical="center"/>
    </xf>
    <xf numFmtId="0" fontId="50" fillId="0" borderId="41" xfId="0" applyFont="1" applyBorder="1" applyAlignment="1">
      <alignment horizontal="center" vertical="center" wrapText="1"/>
    </xf>
    <xf numFmtId="0" fontId="50" fillId="0" borderId="42" xfId="0" applyFont="1" applyBorder="1" applyAlignment="1">
      <alignment horizontal="center" vertical="center"/>
    </xf>
    <xf numFmtId="9" fontId="50" fillId="2" borderId="43" xfId="2" applyFont="1" applyFill="1" applyBorder="1" applyAlignment="1">
      <alignment horizontal="center" vertical="center" wrapText="1"/>
    </xf>
    <xf numFmtId="43" fontId="50" fillId="2" borderId="44" xfId="0" applyNumberFormat="1" applyFont="1" applyFill="1" applyBorder="1" applyAlignment="1">
      <alignment horizontal="center" vertical="center" wrapText="1"/>
    </xf>
    <xf numFmtId="164" fontId="50" fillId="2" borderId="44" xfId="0" applyNumberFormat="1" applyFont="1" applyFill="1" applyBorder="1" applyAlignment="1">
      <alignment horizontal="center" vertical="center" wrapText="1"/>
    </xf>
    <xf numFmtId="164" fontId="50" fillId="2" borderId="44" xfId="1" applyNumberFormat="1" applyFont="1" applyFill="1" applyBorder="1" applyAlignment="1">
      <alignment horizontal="center" vertical="center" wrapText="1"/>
    </xf>
    <xf numFmtId="0" fontId="50" fillId="0" borderId="44" xfId="0" applyFont="1" applyBorder="1" applyAlignment="1">
      <alignment horizontal="center" vertical="center" wrapText="1"/>
    </xf>
    <xf numFmtId="0" fontId="50" fillId="0" borderId="45" xfId="0" applyFont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top"/>
    </xf>
    <xf numFmtId="167" fontId="51" fillId="0" borderId="0" xfId="0" applyNumberFormat="1" applyFont="1" applyAlignment="1">
      <alignment horizontal="center"/>
    </xf>
    <xf numFmtId="167" fontId="52" fillId="0" borderId="0" xfId="0" applyNumberFormat="1" applyFont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43" fontId="25" fillId="0" borderId="8" xfId="0" applyNumberFormat="1" applyFont="1" applyBorder="1" applyAlignment="1">
      <alignment horizontal="right" wrapText="1"/>
    </xf>
    <xf numFmtId="0" fontId="25" fillId="0" borderId="10" xfId="0" applyFont="1" applyBorder="1" applyAlignment="1">
      <alignment horizontal="left" vertical="center" wrapText="1"/>
    </xf>
    <xf numFmtId="43" fontId="25" fillId="0" borderId="9" xfId="0" applyNumberFormat="1" applyFont="1" applyBorder="1" applyAlignment="1">
      <alignment horizontal="right" wrapText="1"/>
    </xf>
    <xf numFmtId="43" fontId="25" fillId="0" borderId="9" xfId="0" applyNumberFormat="1" applyFont="1" applyBorder="1" applyAlignment="1" applyProtection="1">
      <alignment horizontal="right" wrapText="1"/>
      <protection locked="0"/>
    </xf>
    <xf numFmtId="43" fontId="25" fillId="0" borderId="8" xfId="0" applyNumberFormat="1" applyFont="1" applyBorder="1" applyAlignment="1" applyProtection="1">
      <alignment horizontal="right" wrapText="1"/>
      <protection locked="0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 inden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/>
    </xf>
    <xf numFmtId="0" fontId="27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8" fillId="0" borderId="0" xfId="0" applyFont="1" applyProtection="1"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0" fillId="0" borderId="0" xfId="0" applyNumberFormat="1" applyFont="1" applyAlignment="1">
      <alignment horizontal="right" vertical="center"/>
    </xf>
    <xf numFmtId="0" fontId="30" fillId="0" borderId="0" xfId="0" applyFont="1" applyAlignment="1" applyProtection="1">
      <alignment horizontal="justify"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horizontal="justify" vertical="center"/>
      <protection locked="0"/>
    </xf>
    <xf numFmtId="43" fontId="30" fillId="0" borderId="28" xfId="1" applyFont="1" applyFill="1" applyBorder="1" applyAlignment="1" applyProtection="1">
      <alignment horizontal="justify" vertical="center"/>
      <protection locked="0"/>
    </xf>
    <xf numFmtId="0" fontId="31" fillId="0" borderId="16" xfId="0" applyFont="1" applyBorder="1" applyAlignment="1" applyProtection="1">
      <alignment vertical="center"/>
      <protection locked="0"/>
    </xf>
    <xf numFmtId="4" fontId="30" fillId="0" borderId="34" xfId="0" applyNumberFormat="1" applyFont="1" applyBorder="1" applyAlignment="1">
      <alignment horizontal="right" vertical="center"/>
    </xf>
    <xf numFmtId="43" fontId="30" fillId="0" borderId="35" xfId="1" applyFont="1" applyFill="1" applyBorder="1" applyAlignment="1" applyProtection="1">
      <alignment horizontal="justify" vertical="center"/>
      <protection locked="0"/>
    </xf>
    <xf numFmtId="0" fontId="32" fillId="0" borderId="19" xfId="0" applyFont="1" applyBorder="1" applyAlignment="1" applyProtection="1">
      <alignment horizontal="justify" vertical="center"/>
      <protection locked="0"/>
    </xf>
    <xf numFmtId="4" fontId="30" fillId="0" borderId="29" xfId="0" applyNumberFormat="1" applyFont="1" applyBorder="1" applyAlignment="1">
      <alignment horizontal="right" vertical="center"/>
    </xf>
    <xf numFmtId="43" fontId="3" fillId="0" borderId="30" xfId="1" applyFont="1" applyFill="1" applyBorder="1" applyAlignment="1" applyProtection="1">
      <alignment horizontal="right" vertical="center"/>
      <protection locked="0"/>
    </xf>
    <xf numFmtId="0" fontId="32" fillId="0" borderId="21" xfId="0" applyFont="1" applyBorder="1" applyAlignment="1" applyProtection="1">
      <alignment horizontal="left" vertical="center" indent="3"/>
      <protection locked="0"/>
    </xf>
    <xf numFmtId="4" fontId="21" fillId="4" borderId="36" xfId="0" applyNumberFormat="1" applyFont="1" applyFill="1" applyBorder="1" applyAlignment="1">
      <alignment horizontal="right" vertical="center" wrapText="1"/>
    </xf>
    <xf numFmtId="43" fontId="30" fillId="0" borderId="37" xfId="1" applyFont="1" applyFill="1" applyBorder="1" applyAlignment="1" applyProtection="1">
      <alignment horizontal="justify" vertical="center"/>
      <protection locked="0"/>
    </xf>
    <xf numFmtId="0" fontId="31" fillId="0" borderId="23" xfId="0" applyFont="1" applyBorder="1" applyAlignment="1" applyProtection="1">
      <alignment vertical="center"/>
      <protection locked="0"/>
    </xf>
    <xf numFmtId="4" fontId="30" fillId="0" borderId="17" xfId="0" applyNumberFormat="1" applyFont="1" applyBorder="1" applyAlignment="1">
      <alignment horizontal="right" vertical="center"/>
    </xf>
    <xf numFmtId="0" fontId="31" fillId="0" borderId="17" xfId="0" applyFont="1" applyBorder="1" applyAlignment="1" applyProtection="1">
      <alignment horizontal="left" vertical="center"/>
      <protection locked="0"/>
    </xf>
    <xf numFmtId="4" fontId="30" fillId="0" borderId="4" xfId="0" applyNumberFormat="1" applyFont="1" applyBorder="1" applyAlignment="1">
      <alignment horizontal="right" vertical="center"/>
    </xf>
    <xf numFmtId="0" fontId="32" fillId="0" borderId="4" xfId="0" applyFont="1" applyBorder="1" applyAlignment="1" applyProtection="1">
      <alignment horizontal="justify" vertical="center"/>
      <protection locked="0"/>
    </xf>
    <xf numFmtId="43" fontId="3" fillId="0" borderId="35" xfId="1" applyFont="1" applyFill="1" applyBorder="1" applyAlignment="1" applyProtection="1">
      <alignment horizontal="right" vertical="center"/>
      <protection locked="0"/>
    </xf>
    <xf numFmtId="0" fontId="30" fillId="0" borderId="37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4" fontId="21" fillId="0" borderId="17" xfId="0" applyNumberFormat="1" applyFont="1" applyBorder="1" applyAlignment="1">
      <alignment horizontal="right" vertical="center" wrapText="1"/>
    </xf>
    <xf numFmtId="0" fontId="21" fillId="0" borderId="17" xfId="0" applyFont="1" applyBorder="1" applyAlignment="1" applyProtection="1">
      <alignment horizontal="left" vertical="center"/>
      <protection locked="0"/>
    </xf>
    <xf numFmtId="4" fontId="21" fillId="0" borderId="4" xfId="0" applyNumberFormat="1" applyFont="1" applyBorder="1" applyAlignment="1">
      <alignment horizontal="right" vertical="center" wrapText="1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vertical="center"/>
      <protection locked="0"/>
    </xf>
    <xf numFmtId="4" fontId="21" fillId="0" borderId="17" xfId="0" applyNumberFormat="1" applyFont="1" applyBorder="1" applyAlignment="1" applyProtection="1">
      <alignment horizontal="left" vertical="top"/>
      <protection locked="0"/>
    </xf>
    <xf numFmtId="4" fontId="21" fillId="0" borderId="17" xfId="0" applyNumberFormat="1" applyFont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5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4" fillId="0" borderId="0" xfId="0" applyFont="1" applyProtection="1">
      <protection locked="0"/>
    </xf>
    <xf numFmtId="4" fontId="55" fillId="0" borderId="0" xfId="0" applyNumberFormat="1" applyFont="1" applyAlignment="1">
      <alignment horizontal="right" vertical="center"/>
    </xf>
    <xf numFmtId="0" fontId="55" fillId="0" borderId="0" xfId="0" applyFont="1" applyAlignment="1" applyProtection="1">
      <alignment vertical="center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29" fillId="0" borderId="0" xfId="0" applyFont="1" applyProtection="1">
      <protection locked="0"/>
    </xf>
    <xf numFmtId="4" fontId="55" fillId="0" borderId="27" xfId="0" applyNumberFormat="1" applyFont="1" applyBorder="1" applyAlignment="1">
      <alignment horizontal="right" vertical="center"/>
    </xf>
    <xf numFmtId="4" fontId="55" fillId="0" borderId="28" xfId="0" applyNumberFormat="1" applyFont="1" applyBorder="1" applyAlignment="1">
      <alignment horizontal="right" vertical="center"/>
    </xf>
    <xf numFmtId="0" fontId="55" fillId="0" borderId="47" xfId="0" applyFont="1" applyBorder="1" applyAlignment="1" applyProtection="1">
      <alignment vertical="center"/>
      <protection locked="0"/>
    </xf>
    <xf numFmtId="0" fontId="55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4" fontId="55" fillId="0" borderId="9" xfId="0" applyNumberFormat="1" applyFont="1" applyBorder="1" applyAlignment="1">
      <alignment horizontal="right" vertical="center"/>
    </xf>
    <xf numFmtId="4" fontId="55" fillId="0" borderId="32" xfId="0" applyNumberFormat="1" applyFont="1" applyBorder="1" applyAlignment="1">
      <alignment horizontal="right" vertical="center"/>
    </xf>
    <xf numFmtId="4" fontId="55" fillId="0" borderId="30" xfId="0" applyNumberFormat="1" applyFont="1" applyBorder="1" applyAlignment="1">
      <alignment horizontal="right" vertical="center"/>
    </xf>
    <xf numFmtId="0" fontId="55" fillId="0" borderId="32" xfId="0" applyFont="1" applyBorder="1" applyAlignment="1" applyProtection="1">
      <alignment horizontal="left" vertical="center" wrapText="1"/>
      <protection locked="0"/>
    </xf>
    <xf numFmtId="0" fontId="55" fillId="0" borderId="10" xfId="0" applyFont="1" applyBorder="1" applyAlignment="1" applyProtection="1">
      <alignment horizontal="center" vertical="center"/>
      <protection locked="0"/>
    </xf>
    <xf numFmtId="4" fontId="55" fillId="0" borderId="32" xfId="0" applyNumberFormat="1" applyFont="1" applyBorder="1" applyAlignment="1" applyProtection="1">
      <alignment horizontal="right" vertical="center"/>
      <protection locked="0"/>
    </xf>
    <xf numFmtId="4" fontId="55" fillId="0" borderId="30" xfId="0" applyNumberFormat="1" applyFont="1" applyBorder="1" applyAlignment="1" applyProtection="1">
      <alignment horizontal="right" vertical="center"/>
      <protection locked="0"/>
    </xf>
    <xf numFmtId="0" fontId="55" fillId="0" borderId="32" xfId="0" applyFont="1" applyBorder="1" applyAlignment="1" applyProtection="1">
      <alignment horizontal="center" vertical="center"/>
      <protection locked="0"/>
    </xf>
    <xf numFmtId="0" fontId="55" fillId="4" borderId="48" xfId="0" applyFont="1" applyFill="1" applyBorder="1" applyAlignment="1" applyProtection="1">
      <alignment horizontal="center" vertical="center"/>
      <protection locked="0"/>
    </xf>
    <xf numFmtId="0" fontId="55" fillId="4" borderId="49" xfId="0" applyFont="1" applyFill="1" applyBorder="1" applyAlignment="1" applyProtection="1">
      <alignment horizontal="center" vertical="center"/>
      <protection locked="0"/>
    </xf>
    <xf numFmtId="0" fontId="55" fillId="4" borderId="50" xfId="0" applyFont="1" applyFill="1" applyBorder="1" applyAlignment="1" applyProtection="1">
      <alignment horizontal="center" vertical="center"/>
      <protection locked="0"/>
    </xf>
    <xf numFmtId="0" fontId="55" fillId="0" borderId="32" xfId="0" applyFont="1" applyBorder="1" applyAlignment="1" applyProtection="1">
      <alignment horizontal="left" vertical="center"/>
      <protection locked="0"/>
    </xf>
    <xf numFmtId="0" fontId="55" fillId="4" borderId="51" xfId="0" applyFont="1" applyFill="1" applyBorder="1" applyAlignment="1" applyProtection="1">
      <alignment horizontal="center" vertical="center"/>
      <protection locked="0"/>
    </xf>
    <xf numFmtId="0" fontId="55" fillId="4" borderId="52" xfId="0" applyFont="1" applyFill="1" applyBorder="1" applyAlignment="1" applyProtection="1">
      <alignment horizontal="center" vertical="center"/>
      <protection locked="0"/>
    </xf>
    <xf numFmtId="0" fontId="55" fillId="4" borderId="53" xfId="0" applyFont="1" applyFill="1" applyBorder="1" applyAlignment="1" applyProtection="1">
      <alignment horizontal="center" vertical="center"/>
      <protection locked="0"/>
    </xf>
    <xf numFmtId="0" fontId="55" fillId="0" borderId="54" xfId="0" applyFont="1" applyBorder="1" applyAlignment="1" applyProtection="1">
      <alignment horizontal="center" vertical="center"/>
      <protection locked="0"/>
    </xf>
    <xf numFmtId="0" fontId="55" fillId="0" borderId="55" xfId="0" applyFont="1" applyBorder="1" applyAlignment="1" applyProtection="1">
      <alignment horizontal="center" vertical="center"/>
      <protection locked="0"/>
    </xf>
    <xf numFmtId="0" fontId="55" fillId="0" borderId="31" xfId="0" applyFont="1" applyBorder="1" applyAlignment="1" applyProtection="1">
      <alignment horizontal="center" vertical="center"/>
      <protection locked="0"/>
    </xf>
    <xf numFmtId="0" fontId="55" fillId="0" borderId="7" xfId="0" applyFont="1" applyBorder="1" applyAlignment="1" applyProtection="1">
      <alignment horizontal="center" vertical="center"/>
      <protection locked="0"/>
    </xf>
    <xf numFmtId="0" fontId="55" fillId="0" borderId="36" xfId="0" applyFont="1" applyBorder="1" applyAlignment="1" applyProtection="1">
      <alignment horizontal="center" vertical="center" wrapText="1"/>
      <protection locked="0"/>
    </xf>
    <xf numFmtId="0" fontId="55" fillId="0" borderId="37" xfId="0" applyFont="1" applyBorder="1" applyAlignment="1" applyProtection="1">
      <alignment horizontal="center" vertical="center" wrapText="1"/>
      <protection locked="0"/>
    </xf>
    <xf numFmtId="0" fontId="55" fillId="0" borderId="22" xfId="0" applyFont="1" applyBorder="1" applyAlignment="1" applyProtection="1">
      <alignment horizontal="center" vertical="center" wrapText="1"/>
      <protection locked="0"/>
    </xf>
    <xf numFmtId="0" fontId="55" fillId="0" borderId="33" xfId="0" applyFont="1" applyBorder="1" applyAlignment="1" applyProtection="1">
      <alignment horizontal="center" vertical="center"/>
      <protection locked="0"/>
    </xf>
    <xf numFmtId="0" fontId="55" fillId="0" borderId="11" xfId="0" applyFont="1" applyBorder="1" applyAlignment="1" applyProtection="1">
      <alignment horizontal="center" vertical="center"/>
      <protection locked="0"/>
    </xf>
    <xf numFmtId="0" fontId="56" fillId="0" borderId="0" xfId="0" applyFont="1" applyProtection="1">
      <protection locked="0"/>
    </xf>
    <xf numFmtId="0" fontId="56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center" vertical="top"/>
    </xf>
    <xf numFmtId="4" fontId="55" fillId="0" borderId="1" xfId="0" applyNumberFormat="1" applyFont="1" applyBorder="1" applyAlignment="1">
      <alignment horizontal="right" vertical="center"/>
    </xf>
    <xf numFmtId="0" fontId="55" fillId="0" borderId="9" xfId="0" applyFont="1" applyBorder="1" applyAlignment="1" applyProtection="1">
      <alignment horizontal="center" vertical="center"/>
      <protection locked="0"/>
    </xf>
    <xf numFmtId="0" fontId="55" fillId="0" borderId="30" xfId="0" applyFont="1" applyBorder="1" applyAlignment="1" applyProtection="1">
      <alignment horizontal="center" vertical="center"/>
      <protection locked="0"/>
    </xf>
    <xf numFmtId="0" fontId="55" fillId="0" borderId="34" xfId="0" applyFont="1" applyBorder="1" applyAlignment="1" applyProtection="1">
      <alignment horizontal="center" vertical="center"/>
      <protection locked="0"/>
    </xf>
    <xf numFmtId="0" fontId="55" fillId="0" borderId="35" xfId="0" applyFont="1" applyBorder="1" applyAlignment="1" applyProtection="1">
      <alignment horizontal="center" vertical="center"/>
      <protection locked="0"/>
    </xf>
    <xf numFmtId="0" fontId="55" fillId="0" borderId="36" xfId="0" applyFont="1" applyBorder="1" applyAlignment="1" applyProtection="1">
      <alignment horizontal="center" vertical="center"/>
      <protection locked="0"/>
    </xf>
    <xf numFmtId="0" fontId="55" fillId="0" borderId="37" xfId="0" applyFont="1" applyBorder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22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001DFF0-0E9D-445A-9EC1-CD37FD7804CB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B4C654AD-A0BB-4491-88F7-1189784AD9B9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987259</xdr:colOff>
      <xdr:row>0</xdr:row>
      <xdr:rowOff>0</xdr:rowOff>
    </xdr:from>
    <xdr:ext cx="898003" cy="254557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59D74C13-8BDC-4071-8CE7-578ABA5A742C}"/>
            </a:ext>
          </a:extLst>
        </xdr:cNvPr>
        <xdr:cNvSpPr txBox="1"/>
      </xdr:nvSpPr>
      <xdr:spPr>
        <a:xfrm>
          <a:off x="5263984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ETCA-II-01</a:t>
          </a:r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4605868A-6B3C-4CDC-B306-C60EF3DFB869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619D2818-8A90-46C0-AC7A-568BFAD52D79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6A100AA7-B2F3-4EAA-8613-68E25CC21791}"/>
            </a:ext>
          </a:extLst>
        </xdr:cNvPr>
        <xdr:cNvSpPr txBox="1"/>
      </xdr:nvSpPr>
      <xdr:spPr>
        <a:xfrm>
          <a:off x="52673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45</xdr:row>
      <xdr:rowOff>9524</xdr:rowOff>
    </xdr:from>
    <xdr:ext cx="3019425" cy="695325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598D948F-85C8-4A34-96ED-A6606341DA53}"/>
            </a:ext>
          </a:extLst>
        </xdr:cNvPr>
        <xdr:cNvSpPr txBox="1"/>
      </xdr:nvSpPr>
      <xdr:spPr>
        <a:xfrm>
          <a:off x="752475" y="8582024"/>
          <a:ext cx="3019425" cy="695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4</xdr:col>
      <xdr:colOff>0</xdr:colOff>
      <xdr:row>45</xdr:row>
      <xdr:rowOff>19049</xdr:rowOff>
    </xdr:from>
    <xdr:ext cx="3457575" cy="61912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1D1AABBD-7618-4FF1-8C33-5EA9F01543BD}"/>
            </a:ext>
          </a:extLst>
        </xdr:cNvPr>
        <xdr:cNvSpPr txBox="1"/>
      </xdr:nvSpPr>
      <xdr:spPr>
        <a:xfrm>
          <a:off x="3009900" y="8591549"/>
          <a:ext cx="34575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5</xdr:col>
      <xdr:colOff>47625</xdr:colOff>
      <xdr:row>2</xdr:row>
      <xdr:rowOff>133350</xdr:rowOff>
    </xdr:from>
    <xdr:ext cx="2790824" cy="254557"/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B553DB85-68F2-4BDE-BDC4-CF2E2B7A9214}"/>
            </a:ext>
          </a:extLst>
        </xdr:cNvPr>
        <xdr:cNvSpPr txBox="1"/>
      </xdr:nvSpPr>
      <xdr:spPr>
        <a:xfrm>
          <a:off x="3810000" y="51435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:CUARTO </a:t>
          </a:r>
          <a:r>
            <a:rPr lang="es-MX" sz="1100" b="1" u="sng" baseline="0">
              <a:latin typeface="Arial" pitchFamily="34" charset="0"/>
              <a:cs typeface="Arial" pitchFamily="34" charset="0"/>
            </a:rPr>
            <a:t> 2021</a:t>
          </a:r>
          <a:endParaRPr lang="es-MX" sz="1100" b="1" u="sng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37548F9-EE19-4576-B22F-3064C68845DD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D18CE2E-4CD1-47DA-94EF-6585A709A806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89AF9D4-4DA6-4DF6-AF48-A432F1C38B43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8FD132A0-59C7-4B54-ADC8-B32A58427652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25C1D209-EA72-46EB-8450-28F0450F6084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CC000F84-C6DB-434C-97DB-324CD80D69F6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8FAB70A2-52ED-432C-B540-C01AEC46EA7E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C9F6F5A9-D189-4E34-9A5B-893383CB8B0D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48B11601-415A-4C40-A417-E5E5A52E66AE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E6067F39-2AAE-487B-8BA6-ECF3E1ED8DB3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14D6E3E2-4EEE-498B-B6B2-6FC295ED92F9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924D8A2A-2A4D-41C3-8022-19434C0F4AB8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7D2643A-B4C2-4F26-9903-1A7C2BF630A6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B05FEF63-2027-4DFE-96A7-A4B5D111DC39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324A2E46-3A32-487D-B387-4E1E2C85AA43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ACDEA9E9-37F3-4BC8-9F88-1CA9ECB85A43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18" name="4 CuadroTexto">
          <a:extLst>
            <a:ext uri="{FF2B5EF4-FFF2-40B4-BE49-F238E27FC236}">
              <a16:creationId xmlns:a16="http://schemas.microsoft.com/office/drawing/2014/main" id="{0A8F2FAE-D204-4A76-B8EE-E779F8486D45}"/>
            </a:ext>
          </a:extLst>
        </xdr:cNvPr>
        <xdr:cNvSpPr txBox="1"/>
      </xdr:nvSpPr>
      <xdr:spPr>
        <a:xfrm>
          <a:off x="37623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355738</xdr:colOff>
      <xdr:row>0</xdr:row>
      <xdr:rowOff>49695</xdr:rowOff>
    </xdr:from>
    <xdr:ext cx="1478446" cy="254557"/>
    <xdr:sp macro="" textlink="">
      <xdr:nvSpPr>
        <xdr:cNvPr id="19" name="11 CuadroTexto">
          <a:extLst>
            <a:ext uri="{FF2B5EF4-FFF2-40B4-BE49-F238E27FC236}">
              <a16:creationId xmlns:a16="http://schemas.microsoft.com/office/drawing/2014/main" id="{AD774AA6-E1B9-44EC-B1AD-7A1136A7B130}"/>
            </a:ext>
          </a:extLst>
        </xdr:cNvPr>
        <xdr:cNvSpPr txBox="1"/>
      </xdr:nvSpPr>
      <xdr:spPr>
        <a:xfrm>
          <a:off x="411811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ETCA-II-10</a:t>
          </a:r>
        </a:p>
      </xdr:txBody>
    </xdr:sp>
    <xdr:clientData/>
  </xdr:oneCellAnchor>
  <xdr:oneCellAnchor>
    <xdr:from>
      <xdr:col>0</xdr:col>
      <xdr:colOff>533400</xdr:colOff>
      <xdr:row>23</xdr:row>
      <xdr:rowOff>0</xdr:rowOff>
    </xdr:from>
    <xdr:ext cx="3038475" cy="662517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9D2BF55C-F856-4D3E-BBEB-259E68FE6C0D}"/>
            </a:ext>
          </a:extLst>
        </xdr:cNvPr>
        <xdr:cNvSpPr txBox="1"/>
      </xdr:nvSpPr>
      <xdr:spPr>
        <a:xfrm>
          <a:off x="533400" y="4381500"/>
          <a:ext cx="30384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3371850" cy="662517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0239EE21-26BC-4457-B1D5-FD1300A93652}"/>
            </a:ext>
          </a:extLst>
        </xdr:cNvPr>
        <xdr:cNvSpPr txBox="1"/>
      </xdr:nvSpPr>
      <xdr:spPr>
        <a:xfrm>
          <a:off x="2257425" y="4381500"/>
          <a:ext cx="337185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3</xdr:col>
      <xdr:colOff>676275</xdr:colOff>
      <xdr:row>3</xdr:row>
      <xdr:rowOff>123825</xdr:rowOff>
    </xdr:from>
    <xdr:ext cx="2790824" cy="254557"/>
    <xdr:sp macro="" textlink="">
      <xdr:nvSpPr>
        <xdr:cNvPr id="22" name="6 CuadroTexto">
          <a:extLst>
            <a:ext uri="{FF2B5EF4-FFF2-40B4-BE49-F238E27FC236}">
              <a16:creationId xmlns:a16="http://schemas.microsoft.com/office/drawing/2014/main" id="{D7553326-86D0-4A84-8700-A0C518116A35}"/>
            </a:ext>
          </a:extLst>
        </xdr:cNvPr>
        <xdr:cNvSpPr txBox="1"/>
      </xdr:nvSpPr>
      <xdr:spPr>
        <a:xfrm>
          <a:off x="2933700" y="695325"/>
          <a:ext cx="2790824" cy="25455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TRIMESTRE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:CUARTO 2021 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733425</xdr:colOff>
      <xdr:row>3</xdr:row>
      <xdr:rowOff>142875</xdr:rowOff>
    </xdr:from>
    <xdr:ext cx="838200" cy="264560"/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7D198C9E-CFEA-40F0-888A-AE0C518C0EE4}"/>
            </a:ext>
          </a:extLst>
        </xdr:cNvPr>
        <xdr:cNvSpPr txBox="1"/>
      </xdr:nvSpPr>
      <xdr:spPr>
        <a:xfrm>
          <a:off x="1495425" y="714375"/>
          <a:ext cx="838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BF4D0928-C7F3-4B3E-A6C2-F263CA153BDE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007B282-461E-4ADE-8912-57F8F40E758F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57BC94E3-CA09-4FF8-B5E4-D8A0F392AEE5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7D617D21-F9DB-47E7-9ECD-BFDF4A46B2C8}"/>
            </a:ext>
          </a:extLst>
        </xdr:cNvPr>
        <xdr:cNvSpPr txBox="1"/>
      </xdr:nvSpPr>
      <xdr:spPr>
        <a:xfrm>
          <a:off x="762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BA2B3FB5-CAC2-44C3-B427-D1B56984AAC6}"/>
            </a:ext>
          </a:extLst>
        </xdr:cNvPr>
        <xdr:cNvSpPr txBox="1"/>
      </xdr:nvSpPr>
      <xdr:spPr>
        <a:xfrm>
          <a:off x="381000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22363</xdr:colOff>
      <xdr:row>0</xdr:row>
      <xdr:rowOff>49695</xdr:rowOff>
    </xdr:from>
    <xdr:ext cx="1478446" cy="254557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A8E5A5CF-638A-4A56-82F5-3FD828398B44}"/>
            </a:ext>
          </a:extLst>
        </xdr:cNvPr>
        <xdr:cNvSpPr txBox="1"/>
      </xdr:nvSpPr>
      <xdr:spPr>
        <a:xfrm>
          <a:off x="3832363" y="49695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ETCA-II-11</a:t>
          </a:r>
        </a:p>
      </xdr:txBody>
    </xdr:sp>
    <xdr:clientData/>
  </xdr:oneCellAnchor>
  <xdr:oneCellAnchor>
    <xdr:from>
      <xdr:col>0</xdr:col>
      <xdr:colOff>485775</xdr:colOff>
      <xdr:row>45</xdr:row>
      <xdr:rowOff>0</xdr:rowOff>
    </xdr:from>
    <xdr:ext cx="2733674" cy="638175"/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96EEF46E-A1AB-4F45-BB18-44A64ADC8331}"/>
            </a:ext>
          </a:extLst>
        </xdr:cNvPr>
        <xdr:cNvSpPr txBox="1"/>
      </xdr:nvSpPr>
      <xdr:spPr>
        <a:xfrm>
          <a:off x="485775" y="8572500"/>
          <a:ext cx="2733674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381000</xdr:colOff>
      <xdr:row>45</xdr:row>
      <xdr:rowOff>0</xdr:rowOff>
    </xdr:from>
    <xdr:ext cx="3312583" cy="662517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913886DB-7C38-48CD-8702-4307451B7414}"/>
            </a:ext>
          </a:extLst>
        </xdr:cNvPr>
        <xdr:cNvSpPr txBox="1"/>
      </xdr:nvSpPr>
      <xdr:spPr>
        <a:xfrm>
          <a:off x="1905000" y="8572500"/>
          <a:ext cx="3312583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3</xdr:col>
      <xdr:colOff>275167</xdr:colOff>
      <xdr:row>3</xdr:row>
      <xdr:rowOff>158750</xdr:rowOff>
    </xdr:from>
    <xdr:ext cx="2790824" cy="254557"/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FEDC2882-4478-4362-8D59-D3FA4F2BACB7}"/>
            </a:ext>
          </a:extLst>
        </xdr:cNvPr>
        <xdr:cNvSpPr txBox="1"/>
      </xdr:nvSpPr>
      <xdr:spPr>
        <a:xfrm>
          <a:off x="2561167" y="730250"/>
          <a:ext cx="2790824" cy="25455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TRIMESTRE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:CUARTO 2021 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561975</xdr:colOff>
      <xdr:row>1</xdr:row>
      <xdr:rowOff>0</xdr:rowOff>
    </xdr:from>
    <xdr:ext cx="923924" cy="306917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1D35094-BFD3-4946-A4B4-C9920C9A4438}"/>
            </a:ext>
          </a:extLst>
        </xdr:cNvPr>
        <xdr:cNvSpPr txBox="1"/>
      </xdr:nvSpPr>
      <xdr:spPr>
        <a:xfrm>
          <a:off x="5133975" y="190500"/>
          <a:ext cx="923924" cy="3069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ETCA-II-12</a:t>
          </a: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5D2333B9-B21A-4D20-AEA8-85DA17660F84}"/>
            </a:ext>
          </a:extLst>
        </xdr:cNvPr>
        <xdr:cNvSpPr txBox="1"/>
      </xdr:nvSpPr>
      <xdr:spPr>
        <a:xfrm>
          <a:off x="762000" y="156210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2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 sz="1200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 sz="1200">
            <a:effectLst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3</xdr:col>
      <xdr:colOff>910167</xdr:colOff>
      <xdr:row>82</xdr:row>
      <xdr:rowOff>21166</xdr:rowOff>
    </xdr:from>
    <xdr:ext cx="3757083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18E07875-4D60-41F6-9C2D-DAFD881412E3}"/>
            </a:ext>
          </a:extLst>
        </xdr:cNvPr>
        <xdr:cNvSpPr txBox="1"/>
      </xdr:nvSpPr>
      <xdr:spPr>
        <a:xfrm>
          <a:off x="3043767" y="15642166"/>
          <a:ext cx="3757083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2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 sz="1200">
            <a:effectLst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5</xdr:col>
      <xdr:colOff>158751</xdr:colOff>
      <xdr:row>3</xdr:row>
      <xdr:rowOff>10584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DE67DC47-D998-4E53-8152-B4082EAE0BEB}"/>
            </a:ext>
          </a:extLst>
        </xdr:cNvPr>
        <xdr:cNvSpPr txBox="1"/>
      </xdr:nvSpPr>
      <xdr:spPr>
        <a:xfrm>
          <a:off x="3968751" y="582084"/>
          <a:ext cx="2790824" cy="25455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TRIMESTRE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:CUARTO 2021 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266700</xdr:colOff>
      <xdr:row>0</xdr:row>
      <xdr:rowOff>133350</xdr:rowOff>
    </xdr:from>
    <xdr:ext cx="1226791" cy="255134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777213C-0939-4F4A-BFD8-B0AAD14DB5E8}"/>
            </a:ext>
          </a:extLst>
        </xdr:cNvPr>
        <xdr:cNvSpPr txBox="1"/>
      </xdr:nvSpPr>
      <xdr:spPr>
        <a:xfrm>
          <a:off x="5600700" y="133350"/>
          <a:ext cx="1226791" cy="25513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ETCA-II-13</a:t>
          </a:r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B53F06B4-0916-49B5-B446-449F1EDAC039}"/>
            </a:ext>
          </a:extLst>
        </xdr:cNvPr>
        <xdr:cNvSpPr txBox="1"/>
      </xdr:nvSpPr>
      <xdr:spPr>
        <a:xfrm>
          <a:off x="5334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266700</xdr:colOff>
      <xdr:row>0</xdr:row>
      <xdr:rowOff>133350</xdr:rowOff>
    </xdr:from>
    <xdr:ext cx="1226791" cy="255134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E4903313-DD62-4345-B674-A3BDD4237404}"/>
            </a:ext>
          </a:extLst>
        </xdr:cNvPr>
        <xdr:cNvSpPr txBox="1"/>
      </xdr:nvSpPr>
      <xdr:spPr>
        <a:xfrm>
          <a:off x="5600700" y="133350"/>
          <a:ext cx="1226791" cy="25513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ETCA-II-13</a:t>
          </a:r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119C1E6A-84D3-4C9C-80AD-0F383E7F6324}"/>
            </a:ext>
          </a:extLst>
        </xdr:cNvPr>
        <xdr:cNvSpPr txBox="1"/>
      </xdr:nvSpPr>
      <xdr:spPr>
        <a:xfrm>
          <a:off x="5334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390525</xdr:colOff>
      <xdr:row>4</xdr:row>
      <xdr:rowOff>85725</xdr:rowOff>
    </xdr:from>
    <xdr:ext cx="2790824" cy="254557"/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EE617FF9-0ADD-4278-8761-DACE88327635}"/>
            </a:ext>
          </a:extLst>
        </xdr:cNvPr>
        <xdr:cNvSpPr txBox="1"/>
      </xdr:nvSpPr>
      <xdr:spPr>
        <a:xfrm>
          <a:off x="4200525" y="847725"/>
          <a:ext cx="2790824" cy="25455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TRIMESTRE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:CUARTO 2021 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457201</xdr:colOff>
      <xdr:row>0</xdr:row>
      <xdr:rowOff>21668</xdr:rowOff>
    </xdr:from>
    <xdr:ext cx="1087426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F6D1E99-9ACA-4909-810E-4C4D50ABC423}"/>
            </a:ext>
          </a:extLst>
        </xdr:cNvPr>
        <xdr:cNvSpPr txBox="1"/>
      </xdr:nvSpPr>
      <xdr:spPr>
        <a:xfrm>
          <a:off x="4267201" y="21668"/>
          <a:ext cx="108742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ETCA-II-14</a:t>
          </a: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101182BC-AFA1-48F7-81D0-79140C98FA4A}"/>
            </a:ext>
          </a:extLst>
        </xdr:cNvPr>
        <xdr:cNvSpPr txBox="1"/>
      </xdr:nvSpPr>
      <xdr:spPr>
        <a:xfrm>
          <a:off x="0" y="64770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2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 sz="1200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 sz="1200">
            <a:effectLst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2</xdr:col>
      <xdr:colOff>438150</xdr:colOff>
      <xdr:row>34</xdr:row>
      <xdr:rowOff>20783</xdr:rowOff>
    </xdr:from>
    <xdr:ext cx="3757083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C892694F-3717-4ED2-B0BB-3C24978995AD}"/>
            </a:ext>
          </a:extLst>
        </xdr:cNvPr>
        <xdr:cNvSpPr txBox="1"/>
      </xdr:nvSpPr>
      <xdr:spPr>
        <a:xfrm>
          <a:off x="1962150" y="6497783"/>
          <a:ext cx="3757083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2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 sz="1200">
            <a:effectLst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3</xdr:col>
      <xdr:colOff>251113</xdr:colOff>
      <xdr:row>3</xdr:row>
      <xdr:rowOff>112569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1DCF26B3-D7C0-44F3-A365-54013B52BD7B}"/>
            </a:ext>
          </a:extLst>
        </xdr:cNvPr>
        <xdr:cNvSpPr txBox="1"/>
      </xdr:nvSpPr>
      <xdr:spPr>
        <a:xfrm>
          <a:off x="2537113" y="684069"/>
          <a:ext cx="2790824" cy="25455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TRIMESTRE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:CUARTO 2021 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9F4BAF1-8D48-4B05-8733-D8BEB96C0C6F}"/>
            </a:ext>
          </a:extLst>
        </xdr:cNvPr>
        <xdr:cNvSpPr txBox="1"/>
      </xdr:nvSpPr>
      <xdr:spPr>
        <a:xfrm>
          <a:off x="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776459</xdr:colOff>
      <xdr:row>0</xdr:row>
      <xdr:rowOff>0</xdr:rowOff>
    </xdr:from>
    <xdr:ext cx="898003" cy="2545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64DF5A70-9F6A-4390-B255-947A69B2D903}"/>
            </a:ext>
          </a:extLst>
        </xdr:cNvPr>
        <xdr:cNvSpPr txBox="1"/>
      </xdr:nvSpPr>
      <xdr:spPr>
        <a:xfrm>
          <a:off x="2252834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ETCA-II-15</a:t>
          </a:r>
        </a:p>
      </xdr:txBody>
    </xdr:sp>
    <xdr:clientData/>
  </xdr:oneCellAnchor>
  <xdr:oneCellAnchor>
    <xdr:from>
      <xdr:col>1</xdr:col>
      <xdr:colOff>0</xdr:colOff>
      <xdr:row>3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A0AC9152-0807-4F7B-9D23-2AF7E5DCAA03}"/>
            </a:ext>
          </a:extLst>
        </xdr:cNvPr>
        <xdr:cNvSpPr txBox="1"/>
      </xdr:nvSpPr>
      <xdr:spPr>
        <a:xfrm>
          <a:off x="7524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3426892</xdr:colOff>
      <xdr:row>2</xdr:row>
      <xdr:rowOff>195723</xdr:rowOff>
    </xdr:from>
    <xdr:ext cx="647870" cy="239809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607C349D-7187-4347-BD09-E2B98341A047}"/>
            </a:ext>
          </a:extLst>
        </xdr:cNvPr>
        <xdr:cNvSpPr txBox="1"/>
      </xdr:nvSpPr>
      <xdr:spPr>
        <a:xfrm>
          <a:off x="750367" y="567198"/>
          <a:ext cx="64787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000" b="1">
              <a:latin typeface="Arial" pitchFamily="34" charset="0"/>
              <a:cs typeface="Arial" pitchFamily="34" charset="0"/>
            </a:rPr>
            <a:t>(Pesos)</a:t>
          </a:r>
        </a:p>
      </xdr:txBody>
    </xdr:sp>
    <xdr:clientData/>
  </xdr:oneCellAnchor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3718126E-E41D-4093-A15A-EDBD99D663F0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709083</xdr:colOff>
      <xdr:row>43</xdr:row>
      <xdr:rowOff>0</xdr:rowOff>
    </xdr:from>
    <xdr:ext cx="3143250" cy="662517"/>
    <xdr:sp macro="" textlink="">
      <xdr:nvSpPr>
        <xdr:cNvPr id="7" name="CuadroTexto 5">
          <a:extLst>
            <a:ext uri="{FF2B5EF4-FFF2-40B4-BE49-F238E27FC236}">
              <a16:creationId xmlns:a16="http://schemas.microsoft.com/office/drawing/2014/main" id="{CFF20A62-2401-4CEB-BBE5-28526801A703}"/>
            </a:ext>
          </a:extLst>
        </xdr:cNvPr>
        <xdr:cNvSpPr txBox="1"/>
      </xdr:nvSpPr>
      <xdr:spPr>
        <a:xfrm>
          <a:off x="709083" y="8191500"/>
          <a:ext cx="314325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3368387" cy="662517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85EC5F22-B742-4ED7-933D-F8DBB37DB2CE}"/>
            </a:ext>
          </a:extLst>
        </xdr:cNvPr>
        <xdr:cNvSpPr txBox="1"/>
      </xdr:nvSpPr>
      <xdr:spPr>
        <a:xfrm>
          <a:off x="752475" y="8191500"/>
          <a:ext cx="3368387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1</xdr:col>
      <xdr:colOff>666750</xdr:colOff>
      <xdr:row>2</xdr:row>
      <xdr:rowOff>123825</xdr:rowOff>
    </xdr:from>
    <xdr:ext cx="2790824" cy="254557"/>
    <xdr:sp macro="" textlink="">
      <xdr:nvSpPr>
        <xdr:cNvPr id="9" name="6 CuadroTexto">
          <a:extLst>
            <a:ext uri="{FF2B5EF4-FFF2-40B4-BE49-F238E27FC236}">
              <a16:creationId xmlns:a16="http://schemas.microsoft.com/office/drawing/2014/main" id="{01CE4C6B-50B4-4376-BF85-C128F8F6AC46}"/>
            </a:ext>
          </a:extLst>
        </xdr:cNvPr>
        <xdr:cNvSpPr txBox="1"/>
      </xdr:nvSpPr>
      <xdr:spPr>
        <a:xfrm>
          <a:off x="1419225" y="504825"/>
          <a:ext cx="2790824" cy="25455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TRIMESTRE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:CUARTO 2021 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131706</xdr:colOff>
      <xdr:row>0</xdr:row>
      <xdr:rowOff>0</xdr:rowOff>
    </xdr:from>
    <xdr:ext cx="898003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F652B1CB-6330-49AE-829B-97B90E04A34A}"/>
            </a:ext>
          </a:extLst>
        </xdr:cNvPr>
        <xdr:cNvSpPr txBox="1"/>
      </xdr:nvSpPr>
      <xdr:spPr>
        <a:xfrm>
          <a:off x="3141606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ETCA-II-16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222E6239-8EFD-4F5A-947B-4E40A5FE0655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85725</xdr:colOff>
      <xdr:row>33</xdr:row>
      <xdr:rowOff>0</xdr:rowOff>
    </xdr:from>
    <xdr:ext cx="301942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8A5F208E-3450-4E48-8384-C2A133A2CFE0}"/>
            </a:ext>
          </a:extLst>
        </xdr:cNvPr>
        <xdr:cNvSpPr txBox="1"/>
      </xdr:nvSpPr>
      <xdr:spPr>
        <a:xfrm>
          <a:off x="85725" y="62865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47625</xdr:colOff>
      <xdr:row>33</xdr:row>
      <xdr:rowOff>0</xdr:rowOff>
    </xdr:from>
    <xdr:ext cx="3248026" cy="662517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1117037D-A1B9-4EA1-8553-4E2F0B97E501}"/>
            </a:ext>
          </a:extLst>
        </xdr:cNvPr>
        <xdr:cNvSpPr txBox="1"/>
      </xdr:nvSpPr>
      <xdr:spPr>
        <a:xfrm>
          <a:off x="1552575" y="6286500"/>
          <a:ext cx="3248026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514350</xdr:colOff>
      <xdr:row>2</xdr:row>
      <xdr:rowOff>152400</xdr:rowOff>
    </xdr:from>
    <xdr:ext cx="2790824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79AC16F6-6D29-4CF5-8FE0-2FD8C95A7889}"/>
            </a:ext>
          </a:extLst>
        </xdr:cNvPr>
        <xdr:cNvSpPr txBox="1"/>
      </xdr:nvSpPr>
      <xdr:spPr>
        <a:xfrm>
          <a:off x="2019300" y="5334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TRIMESTRE: CUARTO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2021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767764</xdr:colOff>
      <xdr:row>0</xdr:row>
      <xdr:rowOff>0</xdr:rowOff>
    </xdr:from>
    <xdr:ext cx="898003" cy="25455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8B29F7A6-113A-4417-8773-BA3059E7DA7B}"/>
            </a:ext>
          </a:extLst>
        </xdr:cNvPr>
        <xdr:cNvSpPr txBox="1"/>
      </xdr:nvSpPr>
      <xdr:spPr>
        <a:xfrm>
          <a:off x="3006139" y="0"/>
          <a:ext cx="898003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ETCA-II-17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2063CA43-E875-4888-A09E-28394FC36A17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37042</xdr:colOff>
      <xdr:row>34</xdr:row>
      <xdr:rowOff>42334</xdr:rowOff>
    </xdr:from>
    <xdr:ext cx="2970621" cy="78124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B192B4F-3E0B-4624-8318-65AD110FA35A}"/>
            </a:ext>
          </a:extLst>
        </xdr:cNvPr>
        <xdr:cNvSpPr txBox="1"/>
      </xdr:nvSpPr>
      <xdr:spPr>
        <a:xfrm>
          <a:off x="37042" y="6519334"/>
          <a:ext cx="2970621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78318</xdr:colOff>
      <xdr:row>34</xdr:row>
      <xdr:rowOff>46565</xdr:rowOff>
    </xdr:from>
    <xdr:ext cx="3340099" cy="662517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E5969E6-192C-4D7D-9379-95F87B474D6F}"/>
            </a:ext>
          </a:extLst>
        </xdr:cNvPr>
        <xdr:cNvSpPr txBox="1"/>
      </xdr:nvSpPr>
      <xdr:spPr>
        <a:xfrm>
          <a:off x="1583268" y="6523565"/>
          <a:ext cx="3340099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 sz="1100"/>
        </a:p>
      </xdr:txBody>
    </xdr:sp>
    <xdr:clientData/>
  </xdr:oneCellAnchor>
  <xdr:oneCellAnchor>
    <xdr:from>
      <xdr:col>2</xdr:col>
      <xdr:colOff>582083</xdr:colOff>
      <xdr:row>2</xdr:row>
      <xdr:rowOff>201084</xdr:rowOff>
    </xdr:from>
    <xdr:ext cx="2790824" cy="254557"/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B137EB76-93CD-4183-B2F0-FE2B71835C04}"/>
            </a:ext>
          </a:extLst>
        </xdr:cNvPr>
        <xdr:cNvSpPr txBox="1"/>
      </xdr:nvSpPr>
      <xdr:spPr>
        <a:xfrm>
          <a:off x="2087033" y="572559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CUARTO 2021       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0</xdr:row>
      <xdr:rowOff>0</xdr:rowOff>
    </xdr:from>
    <xdr:ext cx="1325551" cy="254557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9E76537-4509-4A45-B407-B0AC36C454F9}"/>
            </a:ext>
          </a:extLst>
        </xdr:cNvPr>
        <xdr:cNvSpPr txBox="1"/>
      </xdr:nvSpPr>
      <xdr:spPr>
        <a:xfrm>
          <a:off x="5524500" y="0"/>
          <a:ext cx="132555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ETCA-II-02</a:t>
          </a:r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B57FD0E7-6961-42A1-97B2-E2CFEBDB2D3F}"/>
            </a:ext>
          </a:extLst>
        </xdr:cNvPr>
        <xdr:cNvSpPr txBox="1"/>
      </xdr:nvSpPr>
      <xdr:spPr>
        <a:xfrm>
          <a:off x="1524000" y="156210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2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 sz="1200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 sz="1200">
            <a:effectLst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4</xdr:col>
      <xdr:colOff>0</xdr:colOff>
      <xdr:row>82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314E41EB-0C29-48ED-9039-F2943D5C5D86}"/>
            </a:ext>
          </a:extLst>
        </xdr:cNvPr>
        <xdr:cNvSpPr txBox="1"/>
      </xdr:nvSpPr>
      <xdr:spPr>
        <a:xfrm>
          <a:off x="3048000" y="156210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2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 sz="1200">
            <a:effectLst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5</xdr:col>
      <xdr:colOff>190499</xdr:colOff>
      <xdr:row>2</xdr:row>
      <xdr:rowOff>103188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775F3D6B-0507-4F9C-9442-EC2F5691DF7F}"/>
            </a:ext>
          </a:extLst>
        </xdr:cNvPr>
        <xdr:cNvSpPr txBox="1"/>
      </xdr:nvSpPr>
      <xdr:spPr>
        <a:xfrm>
          <a:off x="4000499" y="484188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CUARTO 2021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D523DCD-7E16-4D08-BEA6-0155F4AC47D1}"/>
            </a:ext>
          </a:extLst>
        </xdr:cNvPr>
        <xdr:cNvSpPr txBox="1"/>
      </xdr:nvSpPr>
      <xdr:spPr>
        <a:xfrm>
          <a:off x="75247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542925</xdr:colOff>
      <xdr:row>0</xdr:row>
      <xdr:rowOff>0</xdr:rowOff>
    </xdr:from>
    <xdr:ext cx="1141062" cy="292657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ECB333BF-626B-4358-ABD7-BC8FD6670B2A}"/>
            </a:ext>
          </a:extLst>
        </xdr:cNvPr>
        <xdr:cNvSpPr txBox="1"/>
      </xdr:nvSpPr>
      <xdr:spPr>
        <a:xfrm>
          <a:off x="2800350" y="0"/>
          <a:ext cx="1141062" cy="2926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ETCA-II-03</a:t>
          </a:r>
        </a:p>
      </xdr:txBody>
    </xdr:sp>
    <xdr:clientData/>
  </xdr:oneCellAnchor>
  <xdr:oneCellAnchor>
    <xdr:from>
      <xdr:col>3</xdr:col>
      <xdr:colOff>0</xdr:colOff>
      <xdr:row>2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53C8C5C8-AD2D-41F5-A710-C67D3412640A}"/>
            </a:ext>
          </a:extLst>
        </xdr:cNvPr>
        <xdr:cNvSpPr txBox="1"/>
      </xdr:nvSpPr>
      <xdr:spPr>
        <a:xfrm>
          <a:off x="2257425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30</xdr:row>
      <xdr:rowOff>152400</xdr:rowOff>
    </xdr:from>
    <xdr:ext cx="3019425" cy="714375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7FDD2730-39C2-4C78-80D0-48EA275FF327}"/>
            </a:ext>
          </a:extLst>
        </xdr:cNvPr>
        <xdr:cNvSpPr txBox="1"/>
      </xdr:nvSpPr>
      <xdr:spPr>
        <a:xfrm>
          <a:off x="752475" y="5867400"/>
          <a:ext cx="3019425" cy="714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 sz="1100"/>
        </a:p>
      </xdr:txBody>
    </xdr:sp>
    <xdr:clientData/>
  </xdr:oneCellAnchor>
  <xdr:oneCellAnchor>
    <xdr:from>
      <xdr:col>2</xdr:col>
      <xdr:colOff>123824</xdr:colOff>
      <xdr:row>30</xdr:row>
      <xdr:rowOff>142876</xdr:rowOff>
    </xdr:from>
    <xdr:ext cx="3241675" cy="68579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B76CCEB-D088-4316-9AAF-A634AFFA0A20}"/>
            </a:ext>
          </a:extLst>
        </xdr:cNvPr>
        <xdr:cNvSpPr txBox="1"/>
      </xdr:nvSpPr>
      <xdr:spPr>
        <a:xfrm>
          <a:off x="1628774" y="5857876"/>
          <a:ext cx="3241675" cy="685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609600</xdr:colOff>
      <xdr:row>2</xdr:row>
      <xdr:rowOff>104775</xdr:rowOff>
    </xdr:from>
    <xdr:ext cx="2790824" cy="254557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DB8BBF13-68C9-44E5-9A93-477F45334208}"/>
            </a:ext>
          </a:extLst>
        </xdr:cNvPr>
        <xdr:cNvSpPr txBox="1"/>
      </xdr:nvSpPr>
      <xdr:spPr>
        <a:xfrm>
          <a:off x="2114550" y="485775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 CUARTO  2021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21 CuadroTexto">
          <a:extLst>
            <a:ext uri="{FF2B5EF4-FFF2-40B4-BE49-F238E27FC236}">
              <a16:creationId xmlns:a16="http://schemas.microsoft.com/office/drawing/2014/main" id="{82B0D25F-CD92-4D0A-B5B1-D0A385B1A5A4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853910</xdr:colOff>
      <xdr:row>0</xdr:row>
      <xdr:rowOff>38100</xdr:rowOff>
    </xdr:from>
    <xdr:ext cx="898002" cy="247649"/>
    <xdr:sp macro="" textlink="">
      <xdr:nvSpPr>
        <xdr:cNvPr id="3" name="22 CuadroTexto">
          <a:extLst>
            <a:ext uri="{FF2B5EF4-FFF2-40B4-BE49-F238E27FC236}">
              <a16:creationId xmlns:a16="http://schemas.microsoft.com/office/drawing/2014/main" id="{C0B8E847-8A98-4786-A965-F7D2722BE71E}"/>
            </a:ext>
          </a:extLst>
        </xdr:cNvPr>
        <xdr:cNvSpPr txBox="1"/>
      </xdr:nvSpPr>
      <xdr:spPr>
        <a:xfrm>
          <a:off x="4568660" y="38100"/>
          <a:ext cx="898002" cy="24764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ETCA-II-04</a:t>
          </a:r>
        </a:p>
      </xdr:txBody>
    </xdr:sp>
    <xdr:clientData/>
  </xdr:oneCellAnchor>
  <xdr:oneCellAnchor>
    <xdr:from>
      <xdr:col>0</xdr:col>
      <xdr:colOff>295275</xdr:colOff>
      <xdr:row>86</xdr:row>
      <xdr:rowOff>161926</xdr:rowOff>
    </xdr:from>
    <xdr:ext cx="3429000" cy="666749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C8C58A43-9C12-4994-BCF1-561CD0085DB8}"/>
            </a:ext>
          </a:extLst>
        </xdr:cNvPr>
        <xdr:cNvSpPr txBox="1"/>
      </xdr:nvSpPr>
      <xdr:spPr>
        <a:xfrm>
          <a:off x="295275" y="16544926"/>
          <a:ext cx="3429000" cy="666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771525</xdr:colOff>
      <xdr:row>86</xdr:row>
      <xdr:rowOff>171451</xdr:rowOff>
    </xdr:from>
    <xdr:ext cx="3368934" cy="628650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70E10DE6-CC56-4DC3-B944-BB7C19844C27}"/>
            </a:ext>
          </a:extLst>
        </xdr:cNvPr>
        <xdr:cNvSpPr txBox="1"/>
      </xdr:nvSpPr>
      <xdr:spPr>
        <a:xfrm>
          <a:off x="2286000" y="16554451"/>
          <a:ext cx="3368934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3</xdr:col>
      <xdr:colOff>758112</xdr:colOff>
      <xdr:row>3</xdr:row>
      <xdr:rowOff>165230</xdr:rowOff>
    </xdr:from>
    <xdr:ext cx="2790824" cy="254557"/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4DA8A8A8-3200-46F9-A784-E9FD9CF9BA07}"/>
            </a:ext>
          </a:extLst>
        </xdr:cNvPr>
        <xdr:cNvSpPr txBox="1"/>
      </xdr:nvSpPr>
      <xdr:spPr>
        <a:xfrm>
          <a:off x="3044112" y="73673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:CUARTO 2021 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0</xdr:row>
      <xdr:rowOff>19051</xdr:rowOff>
    </xdr:from>
    <xdr:ext cx="1019173" cy="2667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779C784-FBF5-42AA-83A6-CF29712D57E1}"/>
            </a:ext>
          </a:extLst>
        </xdr:cNvPr>
        <xdr:cNvSpPr txBox="1"/>
      </xdr:nvSpPr>
      <xdr:spPr>
        <a:xfrm>
          <a:off x="5067300" y="19051"/>
          <a:ext cx="1019173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ETCA-II-05</a:t>
          </a:r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4113CD81-1822-4C08-BE96-C7C398E52A5F}"/>
            </a:ext>
          </a:extLst>
        </xdr:cNvPr>
        <xdr:cNvSpPr txBox="1"/>
      </xdr:nvSpPr>
      <xdr:spPr>
        <a:xfrm>
          <a:off x="762000" y="304800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2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 sz="1200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 sz="1200">
            <a:effectLst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3305175" cy="662517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050F3214-F441-4695-BAA0-F81B227583D6}"/>
            </a:ext>
          </a:extLst>
        </xdr:cNvPr>
        <xdr:cNvSpPr txBox="1"/>
      </xdr:nvSpPr>
      <xdr:spPr>
        <a:xfrm>
          <a:off x="2286000" y="304800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2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 sz="1200">
            <a:effectLst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4</xdr:col>
      <xdr:colOff>561975</xdr:colOff>
      <xdr:row>3</xdr:row>
      <xdr:rowOff>133350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15B0779-29B1-4D13-B139-63B34F37D861}"/>
            </a:ext>
          </a:extLst>
        </xdr:cNvPr>
        <xdr:cNvSpPr txBox="1"/>
      </xdr:nvSpPr>
      <xdr:spPr>
        <a:xfrm>
          <a:off x="3609975" y="704850"/>
          <a:ext cx="2790824" cy="25455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TRIMESTRE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:CUARTO 2021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94F48D6-7AC0-4723-8DD3-47AD25F4E3AB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371475</xdr:colOff>
      <xdr:row>0</xdr:row>
      <xdr:rowOff>85725</xdr:rowOff>
    </xdr:from>
    <xdr:ext cx="1447112" cy="254557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4915C06-8B0F-4334-A9D0-7D4D2B61F498}"/>
            </a:ext>
          </a:extLst>
        </xdr:cNvPr>
        <xdr:cNvSpPr txBox="1"/>
      </xdr:nvSpPr>
      <xdr:spPr>
        <a:xfrm>
          <a:off x="4133850" y="85725"/>
          <a:ext cx="1447112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ETCA-II-06</a:t>
          </a:r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3DA995FB-5961-4D70-8817-DAF5E5D934C1}"/>
            </a:ext>
          </a:extLst>
        </xdr:cNvPr>
        <xdr:cNvSpPr txBox="1"/>
      </xdr:nvSpPr>
      <xdr:spPr>
        <a:xfrm>
          <a:off x="752475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21DFC51D-C929-450B-BDEF-4230DBAD6058}"/>
            </a:ext>
          </a:extLst>
        </xdr:cNvPr>
        <xdr:cNvSpPr txBox="1"/>
      </xdr:nvSpPr>
      <xdr:spPr>
        <a:xfrm>
          <a:off x="752475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596830</xdr:colOff>
      <xdr:row>28</xdr:row>
      <xdr:rowOff>0</xdr:rowOff>
    </xdr:from>
    <xdr:ext cx="184731" cy="254557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id="{D18EAB53-E6B7-440A-B04D-0688DA5F4826}"/>
            </a:ext>
          </a:extLst>
        </xdr:cNvPr>
        <xdr:cNvSpPr txBox="1"/>
      </xdr:nvSpPr>
      <xdr:spPr>
        <a:xfrm>
          <a:off x="5111680" y="5334000"/>
          <a:ext cx="184731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8BF2A172-AC1E-4260-846A-15A21D977D5F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FD56A737-4A85-4103-AE2F-86460A7FE57C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826A7F1A-4569-469A-8AD3-A3F54F38813B}"/>
            </a:ext>
          </a:extLst>
        </xdr:cNvPr>
        <xdr:cNvSpPr txBox="1"/>
      </xdr:nvSpPr>
      <xdr:spPr>
        <a:xfrm>
          <a:off x="451485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600075</xdr:colOff>
      <xdr:row>19</xdr:row>
      <xdr:rowOff>19050</xdr:rowOff>
    </xdr:from>
    <xdr:ext cx="3009900" cy="647700"/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DC63DC6B-17CF-4FF5-A6E9-ED560C8FC3F4}"/>
            </a:ext>
          </a:extLst>
        </xdr:cNvPr>
        <xdr:cNvSpPr txBox="1"/>
      </xdr:nvSpPr>
      <xdr:spPr>
        <a:xfrm>
          <a:off x="600075" y="3638550"/>
          <a:ext cx="300990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3</xdr:col>
      <xdr:colOff>180976</xdr:colOff>
      <xdr:row>19</xdr:row>
      <xdr:rowOff>9524</xdr:rowOff>
    </xdr:from>
    <xdr:ext cx="3400424" cy="657226"/>
    <xdr:sp macro="" textlink="">
      <xdr:nvSpPr>
        <xdr:cNvPr id="11" name="CuadroTexto 5">
          <a:extLst>
            <a:ext uri="{FF2B5EF4-FFF2-40B4-BE49-F238E27FC236}">
              <a16:creationId xmlns:a16="http://schemas.microsoft.com/office/drawing/2014/main" id="{FB43C21A-169E-40A1-9294-3D52B6E11DC6}"/>
            </a:ext>
          </a:extLst>
        </xdr:cNvPr>
        <xdr:cNvSpPr txBox="1"/>
      </xdr:nvSpPr>
      <xdr:spPr>
        <a:xfrm>
          <a:off x="2438401" y="3629024"/>
          <a:ext cx="3400424" cy="657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3</xdr:col>
      <xdr:colOff>771525</xdr:colOff>
      <xdr:row>3</xdr:row>
      <xdr:rowOff>152400</xdr:rowOff>
    </xdr:from>
    <xdr:ext cx="2790824" cy="254557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A4C7805-C858-4564-A698-A24B0D4CCF17}"/>
            </a:ext>
          </a:extLst>
        </xdr:cNvPr>
        <xdr:cNvSpPr txBox="1"/>
      </xdr:nvSpPr>
      <xdr:spPr>
        <a:xfrm>
          <a:off x="3009900" y="7239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:CUARTO 2021 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62A8F6A-0629-4794-89FF-01E5570457A0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D6965AE-15AD-4059-89A1-927A4D577D22}"/>
            </a:ext>
          </a:extLst>
        </xdr:cNvPr>
        <xdr:cNvSpPr txBox="1"/>
      </xdr:nvSpPr>
      <xdr:spPr>
        <a:xfrm>
          <a:off x="752475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5EEA9ED-5123-43BC-92A2-3A08A2158E08}"/>
            </a:ext>
          </a:extLst>
        </xdr:cNvPr>
        <xdr:cNvSpPr txBox="1"/>
      </xdr:nvSpPr>
      <xdr:spPr>
        <a:xfrm>
          <a:off x="752475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911054</xdr:colOff>
      <xdr:row>0</xdr:row>
      <xdr:rowOff>0</xdr:rowOff>
    </xdr:from>
    <xdr:ext cx="1478446" cy="254557"/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0E507106-21E8-4850-988C-E23C2BFA9DED}"/>
            </a:ext>
          </a:extLst>
        </xdr:cNvPr>
        <xdr:cNvSpPr txBox="1"/>
      </xdr:nvSpPr>
      <xdr:spPr>
        <a:xfrm>
          <a:off x="3759029" y="0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ETCA-II-07</a:t>
          </a: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8B5A29E9-3C45-495B-8E4C-7DF2839A88DE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DF60BE41-18DC-4217-A51B-2DD8B807F0F4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954F2E8C-6633-418C-AF2B-ECD6F72C024A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</xdr:row>
      <xdr:rowOff>142875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EC27F722-7BE5-40B5-89E2-E3C868A1EBC8}"/>
            </a:ext>
          </a:extLst>
        </xdr:cNvPr>
        <xdr:cNvSpPr txBox="1"/>
      </xdr:nvSpPr>
      <xdr:spPr>
        <a:xfrm>
          <a:off x="451485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67F40ED9-2738-4C59-8D5E-53CB3D572738}"/>
            </a:ext>
          </a:extLst>
        </xdr:cNvPr>
        <xdr:cNvSpPr txBox="1"/>
      </xdr:nvSpPr>
      <xdr:spPr>
        <a:xfrm>
          <a:off x="752475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51A5E7EB-BDE7-40D8-87E4-A985E1348629}"/>
            </a:ext>
          </a:extLst>
        </xdr:cNvPr>
        <xdr:cNvSpPr txBox="1"/>
      </xdr:nvSpPr>
      <xdr:spPr>
        <a:xfrm>
          <a:off x="752475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108DB180-A745-48F6-8290-3F060FE60955}"/>
            </a:ext>
          </a:extLst>
        </xdr:cNvPr>
        <xdr:cNvSpPr txBox="1"/>
      </xdr:nvSpPr>
      <xdr:spPr>
        <a:xfrm>
          <a:off x="752475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5174788E-4F07-45A3-A8C3-4CEAB35D82B9}"/>
            </a:ext>
          </a:extLst>
        </xdr:cNvPr>
        <xdr:cNvSpPr txBox="1"/>
      </xdr:nvSpPr>
      <xdr:spPr>
        <a:xfrm>
          <a:off x="752475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36</xdr:row>
      <xdr:rowOff>0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5E738B83-7D11-4953-B785-47A8C96124A3}"/>
            </a:ext>
          </a:extLst>
        </xdr:cNvPr>
        <xdr:cNvSpPr txBox="1"/>
      </xdr:nvSpPr>
      <xdr:spPr>
        <a:xfrm>
          <a:off x="451485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989E5B16-BE22-4D28-81C8-7475A6DDBAA8}"/>
            </a:ext>
          </a:extLst>
        </xdr:cNvPr>
        <xdr:cNvSpPr txBox="1"/>
      </xdr:nvSpPr>
      <xdr:spPr>
        <a:xfrm>
          <a:off x="752475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7CEAA42B-3DD0-412A-8204-98B151D501B2}"/>
            </a:ext>
          </a:extLst>
        </xdr:cNvPr>
        <xdr:cNvSpPr txBox="1"/>
      </xdr:nvSpPr>
      <xdr:spPr>
        <a:xfrm>
          <a:off x="752475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BEE3AFE1-0E16-4ECE-A2F5-875E138B954E}"/>
            </a:ext>
          </a:extLst>
        </xdr:cNvPr>
        <xdr:cNvSpPr txBox="1"/>
      </xdr:nvSpPr>
      <xdr:spPr>
        <a:xfrm>
          <a:off x="752475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537262A2-35A7-4778-94EF-BC081EDF9EA3}"/>
            </a:ext>
          </a:extLst>
        </xdr:cNvPr>
        <xdr:cNvSpPr txBox="1"/>
      </xdr:nvSpPr>
      <xdr:spPr>
        <a:xfrm>
          <a:off x="752475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36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4D292F66-1BA7-4431-BF05-5786AA2FEDC3}"/>
            </a:ext>
          </a:extLst>
        </xdr:cNvPr>
        <xdr:cNvSpPr txBox="1"/>
      </xdr:nvSpPr>
      <xdr:spPr>
        <a:xfrm>
          <a:off x="451485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505239</xdr:colOff>
      <xdr:row>29</xdr:row>
      <xdr:rowOff>57978</xdr:rowOff>
    </xdr:from>
    <xdr:ext cx="3009900" cy="708164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A85EBFC3-BE41-4594-A7C9-8A782278136E}"/>
            </a:ext>
          </a:extLst>
        </xdr:cNvPr>
        <xdr:cNvSpPr txBox="1"/>
      </xdr:nvSpPr>
      <xdr:spPr>
        <a:xfrm>
          <a:off x="505239" y="5582478"/>
          <a:ext cx="3009900" cy="708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2</xdr:col>
      <xdr:colOff>848139</xdr:colOff>
      <xdr:row>29</xdr:row>
      <xdr:rowOff>66261</xdr:rowOff>
    </xdr:from>
    <xdr:ext cx="3359426" cy="770283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B7F4B946-D89B-4E8C-A629-28732B6C87B7}"/>
            </a:ext>
          </a:extLst>
        </xdr:cNvPr>
        <xdr:cNvSpPr txBox="1"/>
      </xdr:nvSpPr>
      <xdr:spPr>
        <a:xfrm>
          <a:off x="2257839" y="5590761"/>
          <a:ext cx="3359426" cy="7702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3</xdr:col>
      <xdr:colOff>869673</xdr:colOff>
      <xdr:row>3</xdr:row>
      <xdr:rowOff>99391</xdr:rowOff>
    </xdr:from>
    <xdr:ext cx="2310849" cy="254557"/>
    <xdr:sp macro="" textlink="">
      <xdr:nvSpPr>
        <xdr:cNvPr id="22" name="6 CuadroTexto">
          <a:extLst>
            <a:ext uri="{FF2B5EF4-FFF2-40B4-BE49-F238E27FC236}">
              <a16:creationId xmlns:a16="http://schemas.microsoft.com/office/drawing/2014/main" id="{23B92240-2B3D-4A04-A00B-AD76D80C60CC}"/>
            </a:ext>
          </a:extLst>
        </xdr:cNvPr>
        <xdr:cNvSpPr txBox="1"/>
      </xdr:nvSpPr>
      <xdr:spPr>
        <a:xfrm>
          <a:off x="3012798" y="670891"/>
          <a:ext cx="2310849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:CUARTO 2021 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685801</xdr:colOff>
      <xdr:row>0</xdr:row>
      <xdr:rowOff>19050</xdr:rowOff>
    </xdr:from>
    <xdr:ext cx="1228724" cy="26670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44421866-B3A4-4D07-BB06-DADF896684B0}"/>
            </a:ext>
          </a:extLst>
        </xdr:cNvPr>
        <xdr:cNvSpPr txBox="1"/>
      </xdr:nvSpPr>
      <xdr:spPr>
        <a:xfrm>
          <a:off x="4495801" y="19050"/>
          <a:ext cx="1228724" cy="266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ETCA-II-08</a:t>
          </a:r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3200400" cy="662517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7F187E48-719E-4F60-9E9B-2024322C246D}"/>
            </a:ext>
          </a:extLst>
        </xdr:cNvPr>
        <xdr:cNvSpPr txBox="1"/>
      </xdr:nvSpPr>
      <xdr:spPr>
        <a:xfrm>
          <a:off x="0" y="6858000"/>
          <a:ext cx="32004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2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 sz="1200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 sz="1200">
            <a:effectLst/>
          </a:endParaRPr>
        </a:p>
        <a:p>
          <a:pPr algn="ctr"/>
          <a:endParaRPr lang="es-MX" sz="1200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3305175" cy="66251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D4A8165-2E71-4F7B-9109-85CDA78A09A3}"/>
            </a:ext>
          </a:extLst>
        </xdr:cNvPr>
        <xdr:cNvSpPr txBox="1"/>
      </xdr:nvSpPr>
      <xdr:spPr>
        <a:xfrm>
          <a:off x="2286000" y="6858000"/>
          <a:ext cx="330517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2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 sz="1200"/>
        </a:p>
      </xdr:txBody>
    </xdr:sp>
    <xdr:clientData/>
  </xdr:oneCellAnchor>
  <xdr:oneCellAnchor>
    <xdr:from>
      <xdr:col>3</xdr:col>
      <xdr:colOff>819150</xdr:colOff>
      <xdr:row>3</xdr:row>
      <xdr:rowOff>76200</xdr:rowOff>
    </xdr:from>
    <xdr:ext cx="2790824" cy="254557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A77FD877-DE0D-4025-BB33-53860E29B8B4}"/>
            </a:ext>
          </a:extLst>
        </xdr:cNvPr>
        <xdr:cNvSpPr txBox="1"/>
      </xdr:nvSpPr>
      <xdr:spPr>
        <a:xfrm>
          <a:off x="3048000" y="647700"/>
          <a:ext cx="2790824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TRIMESTRE</a:t>
          </a:r>
          <a:r>
            <a:rPr lang="es-MX" sz="1100" b="1" u="sng">
              <a:latin typeface="Arial" pitchFamily="34" charset="0"/>
              <a:cs typeface="Arial" pitchFamily="34" charset="0"/>
            </a:rPr>
            <a:t>:CUARTO 2021 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5BDDA8D-A624-48C7-B4CB-BD1573507242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DF91558-2E72-4A46-A9ED-6F00F1C487E2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F8DD75B-EA22-49DA-98CC-1014D7E1ACFF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E9848CC1-94A6-4648-A67D-8E017A55894F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315A526-6F66-4FEB-8614-9DFB01ABE486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849C5009-13EC-49DF-A24F-987A8CDFDD2F}"/>
            </a:ext>
          </a:extLst>
        </xdr:cNvPr>
        <xdr:cNvSpPr txBox="1"/>
      </xdr:nvSpPr>
      <xdr:spPr>
        <a:xfrm>
          <a:off x="752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184731" cy="264560"/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id="{0E0407F1-09B1-4BAA-B153-0C49620D748F}"/>
            </a:ext>
          </a:extLst>
        </xdr:cNvPr>
        <xdr:cNvSpPr txBox="1"/>
      </xdr:nvSpPr>
      <xdr:spPr>
        <a:xfrm>
          <a:off x="4514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301073</xdr:colOff>
      <xdr:row>0</xdr:row>
      <xdr:rowOff>16566</xdr:rowOff>
    </xdr:from>
    <xdr:ext cx="1478446" cy="254557"/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id="{908A29D3-9BCF-41ED-A55C-82ACB803BC6D}"/>
            </a:ext>
          </a:extLst>
        </xdr:cNvPr>
        <xdr:cNvSpPr txBox="1"/>
      </xdr:nvSpPr>
      <xdr:spPr>
        <a:xfrm>
          <a:off x="4063448" y="16566"/>
          <a:ext cx="1478446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ETCA-II-09</a:t>
          </a:r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D0C7641D-F8F9-4F5A-A62A-F7AB6737844E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BA0AD32E-9F20-4AE3-839C-7D7A079BC0F7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BBCE38E8-15F9-48C2-BC2B-3D326A04BC03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3</xdr:row>
      <xdr:rowOff>142875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D681ABF-450D-490F-A64E-1A7A4822E274}"/>
            </a:ext>
          </a:extLst>
        </xdr:cNvPr>
        <xdr:cNvSpPr txBox="1"/>
      </xdr:nvSpPr>
      <xdr:spPr>
        <a:xfrm>
          <a:off x="0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0</xdr:colOff>
      <xdr:row>3</xdr:row>
      <xdr:rowOff>142875</xdr:rowOff>
    </xdr:from>
    <xdr:ext cx="184731" cy="264560"/>
    <xdr:sp macro="" textlink="">
      <xdr:nvSpPr>
        <xdr:cNvPr id="14" name="4 CuadroTexto">
          <a:extLst>
            <a:ext uri="{FF2B5EF4-FFF2-40B4-BE49-F238E27FC236}">
              <a16:creationId xmlns:a16="http://schemas.microsoft.com/office/drawing/2014/main" id="{043A1BDE-017E-4C98-969A-CF37C27A5899}"/>
            </a:ext>
          </a:extLst>
        </xdr:cNvPr>
        <xdr:cNvSpPr txBox="1"/>
      </xdr:nvSpPr>
      <xdr:spPr>
        <a:xfrm>
          <a:off x="376237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CE29478B-924B-4CA0-8B01-20F8BD516D98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1AF9A8FD-2041-4618-9DC7-0CC75442FAE7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40C22090-08CA-42AF-975E-3150E2E48E91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54C41113-4B2A-4DB7-9094-602CF4165139}"/>
            </a:ext>
          </a:extLst>
        </xdr:cNvPr>
        <xdr:cNvSpPr txBox="1"/>
      </xdr:nvSpPr>
      <xdr:spPr>
        <a:xfrm>
          <a:off x="752475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28C2639E-0111-45D3-B1B0-A1D6C62DDD98}"/>
            </a:ext>
          </a:extLst>
        </xdr:cNvPr>
        <xdr:cNvSpPr txBox="1"/>
      </xdr:nvSpPr>
      <xdr:spPr>
        <a:xfrm>
          <a:off x="4514850" y="361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019425" cy="662517"/>
    <xdr:sp macro="" textlink="">
      <xdr:nvSpPr>
        <xdr:cNvPr id="20" name="CuadroTexto 5">
          <a:extLst>
            <a:ext uri="{FF2B5EF4-FFF2-40B4-BE49-F238E27FC236}">
              <a16:creationId xmlns:a16="http://schemas.microsoft.com/office/drawing/2014/main" id="{F9C9F670-FA6D-4592-BFC4-A9447CB42F06}"/>
            </a:ext>
          </a:extLst>
        </xdr:cNvPr>
        <xdr:cNvSpPr txBox="1"/>
      </xdr:nvSpPr>
      <xdr:spPr>
        <a:xfrm>
          <a:off x="0" y="3238500"/>
          <a:ext cx="3019425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LEONOR AMPARO LANDAVAZO GUTIERREZ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ADMINISTRATIVO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3390900" cy="662517"/>
    <xdr:sp macro="" textlink="">
      <xdr:nvSpPr>
        <xdr:cNvPr id="21" name="CuadroTexto 5">
          <a:extLst>
            <a:ext uri="{FF2B5EF4-FFF2-40B4-BE49-F238E27FC236}">
              <a16:creationId xmlns:a16="http://schemas.microsoft.com/office/drawing/2014/main" id="{68B6D7D9-66A6-4737-ADFD-BDCC9A92CFB7}"/>
            </a:ext>
          </a:extLst>
        </xdr:cNvPr>
        <xdr:cNvSpPr txBox="1"/>
      </xdr:nvSpPr>
      <xdr:spPr>
        <a:xfrm>
          <a:off x="2257425" y="3238500"/>
          <a:ext cx="3390900" cy="6625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REBECA IMELDA LAGUNA FIGUEROA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GENERAL DE ADMINISTRACION Y FINANZAS</a:t>
          </a:r>
          <a:endParaRPr lang="es-MX" sz="1100"/>
        </a:p>
      </xdr:txBody>
    </xdr:sp>
    <xdr:clientData/>
  </xdr:oneCellAnchor>
  <xdr:oneCellAnchor>
    <xdr:from>
      <xdr:col>3</xdr:col>
      <xdr:colOff>704850</xdr:colOff>
      <xdr:row>3</xdr:row>
      <xdr:rowOff>133350</xdr:rowOff>
    </xdr:from>
    <xdr:ext cx="2790824" cy="254557"/>
    <xdr:sp macro="" textlink="">
      <xdr:nvSpPr>
        <xdr:cNvPr id="22" name="6 CuadroTexto">
          <a:extLst>
            <a:ext uri="{FF2B5EF4-FFF2-40B4-BE49-F238E27FC236}">
              <a16:creationId xmlns:a16="http://schemas.microsoft.com/office/drawing/2014/main" id="{A8C77FFC-CBAB-4C13-9FFA-31EEE8F2844C}"/>
            </a:ext>
          </a:extLst>
        </xdr:cNvPr>
        <xdr:cNvSpPr txBox="1"/>
      </xdr:nvSpPr>
      <xdr:spPr>
        <a:xfrm>
          <a:off x="2962275" y="704850"/>
          <a:ext cx="2790824" cy="25455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TRIMESTRE</a:t>
          </a: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: CUARTO 2021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21\4TO.%20TRIMESTRE%20DEL%202021%20CEA\CTA%20CONTABLE%204T21.xlsx" TargetMode="External"/><Relationship Id="rId1" Type="http://schemas.openxmlformats.org/officeDocument/2006/relationships/externalLinkPath" Target="CTA%20CONTABLE%204T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a.lugo\Desktop\Cuenta%20publica\CEA\2021\4TO.%20TRIMESTRE%20DEL%202021%20CEA\CEA%204TO%20TRIMESTRE%202021\CEA%204TO%20TRIMESTRE%202021\FORMATOS%20ETCAS%204to-TRIM-2021%20CEA%20-y-anexos_etca-iii04-y-iii05.xlsx" TargetMode="External"/><Relationship Id="rId1" Type="http://schemas.openxmlformats.org/officeDocument/2006/relationships/externalLinkPath" Target="CEA%204TO%20TRIMESTRE%202021/CEA%204TO%20TRIMESTRE%202021/FORMATOS%20ETCAS%204to-TRIM-2021%20CEA%20-y-anexos_etca-iii04-y-iii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lberto.salazar/Desktop/Cuenta%202021/CEA%20-%20CUENTA%20PUBLICA%204TO%20TRIMESTRE%20DIC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asonora-my.sharepoint.com/Users/America%20Encinas/AppData/Roaming/Microsoft/Excel/PT%20Gastos%20x%20partida%20pp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TCA-I-01"/>
      <sheetName val="ETCA-I-02"/>
      <sheetName val="ETCA-I-03"/>
      <sheetName val="ETCA-I-04"/>
      <sheetName val="ETCA-I-05"/>
      <sheetName val="ETCA-I-06"/>
      <sheetName val="ETCA-I-07"/>
      <sheetName val="ETCA-I-08"/>
      <sheetName val="ETCA-I-09"/>
      <sheetName val="ETCA-I-10"/>
      <sheetName val="ETCA-I-11"/>
      <sheetName val="ETCA-I-12 (NOTAS)"/>
    </sheetNames>
    <sheetDataSet>
      <sheetData sheetId="0">
        <row r="1">
          <cell r="A1" t="str">
            <v xml:space="preserve">Comision Estatal del Agua </v>
          </cell>
        </row>
        <row r="3">
          <cell r="A3" t="str">
            <v>Al 31 de Diciembre de 2021</v>
          </cell>
        </row>
      </sheetData>
      <sheetData sheetId="1">
        <row r="9">
          <cell r="B9">
            <v>180700</v>
          </cell>
        </row>
      </sheetData>
      <sheetData sheetId="2">
        <row r="3">
          <cell r="A3" t="str">
            <v>Del 01 de Enero  al 31 de Diciembre de 2021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4">
          <cell r="C24">
            <v>672014669.48000002</v>
          </cell>
        </row>
        <row r="52">
          <cell r="C52">
            <v>15634332.239999998</v>
          </cell>
        </row>
        <row r="61">
          <cell r="C61">
            <v>594161886.63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>
        <row r="3">
          <cell r="A3" t="str">
            <v>Del 01 de Enero  al 31 de Diciembre de 2021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 FORMATOS  "/>
      <sheetName val="ETCA-III-01"/>
      <sheetName val="ETCA-III-03"/>
      <sheetName val="ETCA-III-04"/>
      <sheetName val="ETCA-III-05"/>
      <sheetName val="ETCA-IV-01"/>
      <sheetName val="ETCA-IV-02"/>
      <sheetName val="ETCA-IV-03"/>
      <sheetName val="CPCA-IV-04"/>
      <sheetName val="ETCA-IV-06 "/>
      <sheetName val="ANEXO A"/>
      <sheetName val="ANEXO B"/>
      <sheetName val="ANEXO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Por organismos"/>
      <sheetName val="ETCA-II-13"/>
      <sheetName val="ETCA-II-04"/>
      <sheetName val="Hoja1"/>
    </sheetNames>
    <sheetDataSet>
      <sheetData sheetId="0"/>
      <sheetData sheetId="1">
        <row r="16">
          <cell r="I16">
            <v>67478133.162843138</v>
          </cell>
          <cell r="P16">
            <v>14928001.720000001</v>
          </cell>
          <cell r="X16">
            <v>82405632.829999998</v>
          </cell>
          <cell r="AE16">
            <v>79862447.25</v>
          </cell>
        </row>
        <row r="17">
          <cell r="I17">
            <v>735002.72</v>
          </cell>
          <cell r="P17">
            <v>0</v>
          </cell>
          <cell r="X17">
            <v>657757.73</v>
          </cell>
          <cell r="AE17">
            <v>657757.73</v>
          </cell>
        </row>
        <row r="18">
          <cell r="I18">
            <v>1366024.8619637503</v>
          </cell>
          <cell r="P18">
            <v>242545.33</v>
          </cell>
          <cell r="X18">
            <v>1341191.6500000001</v>
          </cell>
          <cell r="AE18">
            <v>1341188.6500000001</v>
          </cell>
        </row>
        <row r="19">
          <cell r="I19">
            <v>0</v>
          </cell>
          <cell r="P19">
            <v>0</v>
          </cell>
          <cell r="X19">
            <v>0</v>
          </cell>
          <cell r="AE19">
            <v>0</v>
          </cell>
        </row>
        <row r="20">
          <cell r="I20">
            <v>41093921.389243282</v>
          </cell>
          <cell r="P20">
            <v>-5550624.3500000006</v>
          </cell>
          <cell r="X20">
            <v>31788094.350000001</v>
          </cell>
          <cell r="AE20">
            <v>30169437.43</v>
          </cell>
        </row>
        <row r="21">
          <cell r="I21">
            <v>10643911.045503145</v>
          </cell>
          <cell r="P21">
            <v>-1171844.5</v>
          </cell>
          <cell r="X21">
            <v>7526789.8499999996</v>
          </cell>
          <cell r="AE21">
            <v>7526789.8499999996</v>
          </cell>
        </row>
        <row r="22">
          <cell r="I22">
            <v>453876.75201704889</v>
          </cell>
          <cell r="P22">
            <v>-398326.75</v>
          </cell>
          <cell r="X22">
            <v>23550</v>
          </cell>
          <cell r="AE22">
            <v>23550</v>
          </cell>
        </row>
        <row r="23">
          <cell r="I23">
            <v>6944306.6060835188</v>
          </cell>
          <cell r="P23">
            <v>-762158.17</v>
          </cell>
          <cell r="X23">
            <v>5017855.3</v>
          </cell>
          <cell r="AE23">
            <v>5017855.3</v>
          </cell>
        </row>
        <row r="26">
          <cell r="I26">
            <v>2136256.5064250561</v>
          </cell>
          <cell r="P26">
            <v>19192.5</v>
          </cell>
          <cell r="X26">
            <v>1918065.65</v>
          </cell>
          <cell r="AE26">
            <v>1852438.71</v>
          </cell>
        </row>
        <row r="28">
          <cell r="I28">
            <v>362774.13</v>
          </cell>
          <cell r="P28">
            <v>4477</v>
          </cell>
          <cell r="X28">
            <v>367250.43</v>
          </cell>
          <cell r="AE28">
            <v>367250.43</v>
          </cell>
        </row>
        <row r="31">
          <cell r="I31">
            <v>4387742.1979614338</v>
          </cell>
          <cell r="P31">
            <v>847567.76</v>
          </cell>
          <cell r="X31">
            <v>5235280.1499999994</v>
          </cell>
          <cell r="AE31">
            <v>5235280.1499999994</v>
          </cell>
        </row>
        <row r="33">
          <cell r="I33">
            <v>5163059.1898913616</v>
          </cell>
          <cell r="P33">
            <v>-1937425.61</v>
          </cell>
          <cell r="X33">
            <v>2120609.5300000003</v>
          </cell>
          <cell r="AE33">
            <v>2111588.9000000004</v>
          </cell>
        </row>
        <row r="34">
          <cell r="I34">
            <v>1697508.1529088211</v>
          </cell>
          <cell r="P34">
            <v>1727974.7299999997</v>
          </cell>
          <cell r="X34">
            <v>3368321.21</v>
          </cell>
          <cell r="AE34">
            <v>3223542.3499999996</v>
          </cell>
        </row>
        <row r="35">
          <cell r="I35">
            <v>90430.26</v>
          </cell>
          <cell r="P35">
            <v>0</v>
          </cell>
          <cell r="X35">
            <v>76838.78</v>
          </cell>
          <cell r="AE35">
            <v>76838.78</v>
          </cell>
        </row>
        <row r="36">
          <cell r="I36">
            <v>85460.75</v>
          </cell>
          <cell r="P36">
            <v>0</v>
          </cell>
          <cell r="X36">
            <v>70349.88</v>
          </cell>
          <cell r="AE36">
            <v>70349.88</v>
          </cell>
        </row>
        <row r="38">
          <cell r="I38">
            <v>1950288.586785926</v>
          </cell>
          <cell r="P38">
            <v>6713809.2400000002</v>
          </cell>
          <cell r="X38">
            <v>8606151.0899999999</v>
          </cell>
          <cell r="AE38">
            <v>8606151.0899999999</v>
          </cell>
        </row>
        <row r="40">
          <cell r="I40">
            <v>117600</v>
          </cell>
          <cell r="P40">
            <v>60.1</v>
          </cell>
          <cell r="X40">
            <v>117660.1</v>
          </cell>
          <cell r="AE40">
            <v>117660.1</v>
          </cell>
        </row>
        <row r="43">
          <cell r="I43">
            <v>25066365.075066939</v>
          </cell>
          <cell r="P43">
            <v>301793.46000000002</v>
          </cell>
          <cell r="X43">
            <v>25172555.82</v>
          </cell>
          <cell r="AE43">
            <v>22428012.529999997</v>
          </cell>
        </row>
        <row r="44">
          <cell r="I44">
            <v>14093170.881044935</v>
          </cell>
          <cell r="P44">
            <v>344932.33</v>
          </cell>
          <cell r="X44">
            <v>14437690.1</v>
          </cell>
          <cell r="AE44">
            <v>12766510.919999998</v>
          </cell>
        </row>
        <row r="46">
          <cell r="I46">
            <v>482133.89999999991</v>
          </cell>
          <cell r="P46">
            <v>0</v>
          </cell>
          <cell r="X46">
            <v>481580.34</v>
          </cell>
          <cell r="AE46">
            <v>481580.34</v>
          </cell>
        </row>
        <row r="48">
          <cell r="I48">
            <v>20889</v>
          </cell>
          <cell r="P48">
            <v>0</v>
          </cell>
          <cell r="X48">
            <v>20669</v>
          </cell>
          <cell r="AE48">
            <v>20669</v>
          </cell>
        </row>
        <row r="49">
          <cell r="I49">
            <v>3457577.8646938652</v>
          </cell>
          <cell r="P49">
            <v>-619262.74</v>
          </cell>
          <cell r="X49">
            <v>2378567.0699999998</v>
          </cell>
          <cell r="AE49">
            <v>2132015.17</v>
          </cell>
        </row>
        <row r="50">
          <cell r="I50">
            <v>4212</v>
          </cell>
          <cell r="P50">
            <v>0</v>
          </cell>
          <cell r="X50">
            <v>4104</v>
          </cell>
          <cell r="AE50">
            <v>4104</v>
          </cell>
        </row>
        <row r="53">
          <cell r="I53">
            <v>6635165.8167810841</v>
          </cell>
          <cell r="P53">
            <v>697101.18</v>
          </cell>
          <cell r="X53">
            <v>6873592.0199999996</v>
          </cell>
          <cell r="AE53">
            <v>6404824.2700000005</v>
          </cell>
        </row>
        <row r="55">
          <cell r="I55">
            <v>0</v>
          </cell>
          <cell r="P55">
            <v>777914.08000000007</v>
          </cell>
          <cell r="X55">
            <v>777824.42</v>
          </cell>
          <cell r="AE55">
            <v>374950.38</v>
          </cell>
        </row>
        <row r="56">
          <cell r="I56">
            <v>4349.7511029997568</v>
          </cell>
          <cell r="P56">
            <v>-4349.75</v>
          </cell>
          <cell r="X56">
            <v>0</v>
          </cell>
          <cell r="AE56">
            <v>0</v>
          </cell>
        </row>
        <row r="57">
          <cell r="I57">
            <v>0</v>
          </cell>
          <cell r="P57">
            <v>0</v>
          </cell>
          <cell r="X57">
            <v>0</v>
          </cell>
          <cell r="AE57">
            <v>0</v>
          </cell>
        </row>
        <row r="59">
          <cell r="I59">
            <v>989346.29999999993</v>
          </cell>
          <cell r="P59">
            <v>178880.76</v>
          </cell>
          <cell r="X59">
            <v>1108224.81</v>
          </cell>
          <cell r="AE59">
            <v>1108224.81</v>
          </cell>
        </row>
        <row r="60">
          <cell r="I60">
            <v>3114203.6430924898</v>
          </cell>
          <cell r="P60">
            <v>1871144.9</v>
          </cell>
          <cell r="X60">
            <v>4984595.2699999996</v>
          </cell>
          <cell r="AE60">
            <v>4984595.2699999996</v>
          </cell>
        </row>
        <row r="61">
          <cell r="I61">
            <v>19560</v>
          </cell>
          <cell r="P61">
            <v>0</v>
          </cell>
          <cell r="X61">
            <v>16800</v>
          </cell>
          <cell r="AE61">
            <v>16800</v>
          </cell>
        </row>
        <row r="62">
          <cell r="I62">
            <v>32640</v>
          </cell>
          <cell r="P62">
            <v>0</v>
          </cell>
          <cell r="X62">
            <v>30910</v>
          </cell>
          <cell r="AE62">
            <v>30910</v>
          </cell>
        </row>
        <row r="63">
          <cell r="I63">
            <v>246064</v>
          </cell>
          <cell r="P63">
            <v>132704</v>
          </cell>
          <cell r="X63">
            <v>378624</v>
          </cell>
          <cell r="AE63">
            <v>378624</v>
          </cell>
        </row>
        <row r="64">
          <cell r="I64">
            <v>0</v>
          </cell>
          <cell r="P64">
            <v>185511.97</v>
          </cell>
          <cell r="X64">
            <v>185511.97</v>
          </cell>
          <cell r="AE64">
            <v>185511.97</v>
          </cell>
        </row>
        <row r="65">
          <cell r="I65">
            <v>735240.13323704898</v>
          </cell>
          <cell r="P65">
            <v>1122884.49</v>
          </cell>
          <cell r="X65">
            <v>1858102.62</v>
          </cell>
          <cell r="AE65">
            <v>1858102.62</v>
          </cell>
        </row>
        <row r="66">
          <cell r="I66">
            <v>12352.5</v>
          </cell>
          <cell r="P66">
            <v>10047.5</v>
          </cell>
          <cell r="X66">
            <v>22360</v>
          </cell>
          <cell r="AE66">
            <v>20640</v>
          </cell>
        </row>
        <row r="67">
          <cell r="I67">
            <v>0</v>
          </cell>
          <cell r="P67">
            <v>19520</v>
          </cell>
          <cell r="X67">
            <v>19520</v>
          </cell>
          <cell r="AE67">
            <v>19520</v>
          </cell>
        </row>
        <row r="68">
          <cell r="I68">
            <v>24190</v>
          </cell>
          <cell r="P68">
            <v>2270</v>
          </cell>
          <cell r="X68">
            <v>26460</v>
          </cell>
          <cell r="AE68">
            <v>26460</v>
          </cell>
        </row>
        <row r="69">
          <cell r="I69">
            <v>16085</v>
          </cell>
          <cell r="P69">
            <v>0</v>
          </cell>
          <cell r="X69">
            <v>15770</v>
          </cell>
          <cell r="AE69">
            <v>15770</v>
          </cell>
        </row>
        <row r="70">
          <cell r="I70">
            <v>133588</v>
          </cell>
          <cell r="P70">
            <v>77299</v>
          </cell>
          <cell r="X70">
            <v>210528</v>
          </cell>
          <cell r="AE70">
            <v>210528</v>
          </cell>
        </row>
        <row r="71">
          <cell r="I71">
            <v>7760</v>
          </cell>
          <cell r="P71">
            <v>4620</v>
          </cell>
          <cell r="X71">
            <v>12360</v>
          </cell>
          <cell r="AE71">
            <v>12360</v>
          </cell>
        </row>
        <row r="72">
          <cell r="I72">
            <v>38940</v>
          </cell>
          <cell r="P72">
            <v>38730</v>
          </cell>
          <cell r="X72">
            <v>76770</v>
          </cell>
          <cell r="AE72">
            <v>75870</v>
          </cell>
        </row>
        <row r="74">
          <cell r="I74">
            <v>25139400.038658705</v>
          </cell>
          <cell r="P74">
            <v>-4934565.4400000004</v>
          </cell>
          <cell r="X74">
            <v>19043545.259999998</v>
          </cell>
          <cell r="AE74">
            <v>18303499.270000003</v>
          </cell>
        </row>
        <row r="77">
          <cell r="I77">
            <v>2239027.0000000005</v>
          </cell>
        </row>
        <row r="80">
          <cell r="I80">
            <v>495137.48999999993</v>
          </cell>
          <cell r="P80">
            <v>376000</v>
          </cell>
          <cell r="X80">
            <v>870774.11</v>
          </cell>
          <cell r="AE80">
            <v>870774.11</v>
          </cell>
        </row>
        <row r="81">
          <cell r="I81">
            <v>506485.20521232736</v>
          </cell>
          <cell r="P81">
            <v>210704.79</v>
          </cell>
          <cell r="X81">
            <v>717190</v>
          </cell>
          <cell r="AE81">
            <v>525953</v>
          </cell>
        </row>
        <row r="82">
          <cell r="I82">
            <v>160951.36000000002</v>
          </cell>
          <cell r="P82">
            <v>94922.8</v>
          </cell>
          <cell r="X82">
            <v>255529.16</v>
          </cell>
          <cell r="AE82">
            <v>255529.16</v>
          </cell>
        </row>
        <row r="87">
          <cell r="I87">
            <v>1353734.8075796175</v>
          </cell>
          <cell r="P87">
            <v>-111612</v>
          </cell>
          <cell r="X87">
            <v>425300.65000000008</v>
          </cell>
          <cell r="AE87">
            <v>411556.16</v>
          </cell>
        </row>
        <row r="89">
          <cell r="I89">
            <v>195867.23748493221</v>
          </cell>
          <cell r="P89">
            <v>-27860.720000000001</v>
          </cell>
          <cell r="X89">
            <v>20133.61</v>
          </cell>
          <cell r="AE89">
            <v>20133.61</v>
          </cell>
        </row>
        <row r="91">
          <cell r="I91">
            <v>480876.85696951556</v>
          </cell>
          <cell r="P91">
            <v>-98187</v>
          </cell>
          <cell r="X91">
            <v>212769.92000000004</v>
          </cell>
          <cell r="AE91">
            <v>201927.01</v>
          </cell>
        </row>
        <row r="93">
          <cell r="I93">
            <v>1500</v>
          </cell>
          <cell r="P93">
            <v>0</v>
          </cell>
          <cell r="X93">
            <v>480</v>
          </cell>
          <cell r="AE93">
            <v>480</v>
          </cell>
        </row>
        <row r="94">
          <cell r="I94">
            <v>32890.999994999998</v>
          </cell>
          <cell r="X94">
            <v>9613.1200000000008</v>
          </cell>
          <cell r="AE94">
            <v>7913.51</v>
          </cell>
        </row>
        <row r="96">
          <cell r="I96">
            <v>219162.45134055649</v>
          </cell>
          <cell r="P96">
            <v>4022</v>
          </cell>
          <cell r="X96">
            <v>104487.72999999998</v>
          </cell>
          <cell r="AE96">
            <v>101857.98999999999</v>
          </cell>
        </row>
        <row r="98">
          <cell r="I98">
            <v>0</v>
          </cell>
          <cell r="P98">
            <v>0</v>
          </cell>
          <cell r="X98">
            <v>0</v>
          </cell>
          <cell r="AE98">
            <v>0</v>
          </cell>
        </row>
        <row r="100">
          <cell r="I100">
            <v>248077.73921926777</v>
          </cell>
          <cell r="P100">
            <v>-6866.71</v>
          </cell>
          <cell r="X100">
            <v>211310</v>
          </cell>
          <cell r="AE100">
            <v>211310</v>
          </cell>
        </row>
        <row r="101">
          <cell r="I101">
            <v>0</v>
          </cell>
          <cell r="P101">
            <v>0</v>
          </cell>
          <cell r="X101">
            <v>0</v>
          </cell>
          <cell r="AE101">
            <v>0</v>
          </cell>
        </row>
        <row r="104">
          <cell r="I104">
            <v>317292.95548414555</v>
          </cell>
          <cell r="P104">
            <v>174235.16</v>
          </cell>
          <cell r="X104">
            <v>453795.75</v>
          </cell>
          <cell r="AE104">
            <v>442781.55000000005</v>
          </cell>
        </row>
        <row r="105">
          <cell r="I105">
            <v>196193.57651650545</v>
          </cell>
          <cell r="P105">
            <v>11264.79</v>
          </cell>
          <cell r="X105">
            <v>157354.5</v>
          </cell>
          <cell r="AE105">
            <v>114133.5</v>
          </cell>
        </row>
        <row r="107">
          <cell r="I107">
            <v>2069.4719999999998</v>
          </cell>
          <cell r="P107">
            <v>24673.26</v>
          </cell>
          <cell r="X107">
            <v>5272.35</v>
          </cell>
          <cell r="AE107">
            <v>5272.35</v>
          </cell>
        </row>
        <row r="110">
          <cell r="I110">
            <v>7291594.7244469412</v>
          </cell>
          <cell r="P110">
            <v>-858199.75999999989</v>
          </cell>
          <cell r="X110">
            <v>2206068.25</v>
          </cell>
          <cell r="AE110">
            <v>1967890.6100000003</v>
          </cell>
        </row>
        <row r="113">
          <cell r="I113">
            <v>144727.14518984672</v>
          </cell>
          <cell r="P113">
            <v>175000</v>
          </cell>
          <cell r="X113">
            <v>47641.04</v>
          </cell>
          <cell r="AE113">
            <v>46855.049999999996</v>
          </cell>
        </row>
        <row r="115">
          <cell r="I115">
            <v>0</v>
          </cell>
          <cell r="P115">
            <v>0</v>
          </cell>
          <cell r="X115">
            <v>0</v>
          </cell>
          <cell r="AE115">
            <v>0</v>
          </cell>
        </row>
        <row r="117">
          <cell r="I117">
            <v>0</v>
          </cell>
          <cell r="P117">
            <v>0</v>
          </cell>
          <cell r="X117">
            <v>0</v>
          </cell>
          <cell r="AE117">
            <v>0</v>
          </cell>
        </row>
        <row r="119">
          <cell r="I119">
            <v>0</v>
          </cell>
          <cell r="P119">
            <v>0</v>
          </cell>
          <cell r="X119">
            <v>0</v>
          </cell>
          <cell r="AE119">
            <v>0</v>
          </cell>
        </row>
        <row r="121">
          <cell r="I121">
            <v>584166.95066466124</v>
          </cell>
          <cell r="P121">
            <v>50070.93</v>
          </cell>
          <cell r="X121">
            <v>509077.74999999994</v>
          </cell>
          <cell r="AE121">
            <v>498142.62</v>
          </cell>
        </row>
        <row r="122">
          <cell r="I122">
            <v>5100</v>
          </cell>
          <cell r="P122">
            <v>0</v>
          </cell>
          <cell r="X122">
            <v>2784</v>
          </cell>
          <cell r="AE122">
            <v>2784</v>
          </cell>
        </row>
        <row r="124">
          <cell r="I124">
            <v>0</v>
          </cell>
          <cell r="P124">
            <v>10491.46</v>
          </cell>
          <cell r="X124">
            <v>10491.46</v>
          </cell>
          <cell r="AE124">
            <v>10491.46</v>
          </cell>
        </row>
        <row r="127">
          <cell r="I127">
            <v>0</v>
          </cell>
          <cell r="P127">
            <v>0</v>
          </cell>
          <cell r="X127">
            <v>0</v>
          </cell>
          <cell r="AE127">
            <v>0</v>
          </cell>
        </row>
        <row r="129">
          <cell r="I129">
            <v>0</v>
          </cell>
          <cell r="P129">
            <v>180</v>
          </cell>
          <cell r="X129">
            <v>180</v>
          </cell>
          <cell r="AE129">
            <v>180</v>
          </cell>
        </row>
        <row r="131">
          <cell r="I131">
            <v>20682.75722714129</v>
          </cell>
          <cell r="P131">
            <v>69776.22</v>
          </cell>
          <cell r="X131">
            <v>58132.74</v>
          </cell>
          <cell r="AE131">
            <v>58132.74</v>
          </cell>
        </row>
        <row r="133">
          <cell r="I133">
            <v>0</v>
          </cell>
          <cell r="P133">
            <v>1984.76</v>
          </cell>
          <cell r="X133">
            <v>1984.76</v>
          </cell>
          <cell r="AE133">
            <v>1984.76</v>
          </cell>
        </row>
        <row r="135">
          <cell r="I135">
            <v>8829524.1877841018</v>
          </cell>
          <cell r="P135">
            <v>-1602593.54</v>
          </cell>
          <cell r="X135">
            <v>165768.42000000001</v>
          </cell>
          <cell r="AE135">
            <v>165768.42000000001</v>
          </cell>
        </row>
        <row r="138">
          <cell r="I138">
            <v>7416609.4737322005</v>
          </cell>
          <cell r="P138">
            <v>2666434.7199999997</v>
          </cell>
          <cell r="X138">
            <v>9566170.6800000016</v>
          </cell>
          <cell r="AE138">
            <v>8829081.0299999993</v>
          </cell>
        </row>
        <row r="139">
          <cell r="I139">
            <v>465470.430311809</v>
          </cell>
          <cell r="P139">
            <v>277856.34000000003</v>
          </cell>
          <cell r="X139">
            <v>707062.82000000007</v>
          </cell>
          <cell r="AE139">
            <v>654495.64</v>
          </cell>
        </row>
        <row r="142">
          <cell r="I142">
            <v>2195656.5958342836</v>
          </cell>
          <cell r="P142">
            <v>-94451</v>
          </cell>
          <cell r="X142">
            <v>286758.23</v>
          </cell>
          <cell r="AE142">
            <v>286758.23</v>
          </cell>
        </row>
        <row r="144">
          <cell r="I144">
            <v>195630.01834742585</v>
          </cell>
          <cell r="P144">
            <v>169818</v>
          </cell>
          <cell r="X144">
            <v>284210.15000000002</v>
          </cell>
          <cell r="AE144">
            <v>283789.53000000003</v>
          </cell>
        </row>
        <row r="147">
          <cell r="I147">
            <v>286258.94043185533</v>
          </cell>
          <cell r="P147">
            <v>-27913</v>
          </cell>
          <cell r="X147">
            <v>53379.39</v>
          </cell>
          <cell r="AE147">
            <v>46599.040000000001</v>
          </cell>
        </row>
        <row r="149">
          <cell r="I149">
            <v>25661.058085330857</v>
          </cell>
          <cell r="P149">
            <v>18239.27</v>
          </cell>
          <cell r="X149">
            <v>43090.74</v>
          </cell>
          <cell r="AE149">
            <v>43090.74</v>
          </cell>
        </row>
        <row r="151">
          <cell r="I151">
            <v>5072.4631271976868</v>
          </cell>
          <cell r="P151">
            <v>3550</v>
          </cell>
          <cell r="X151">
            <v>8371.4700000000012</v>
          </cell>
          <cell r="AE151">
            <v>8371.4700000000012</v>
          </cell>
        </row>
        <row r="153">
          <cell r="I153">
            <v>73641.078574689542</v>
          </cell>
          <cell r="P153">
            <v>163187</v>
          </cell>
          <cell r="X153">
            <v>30148.29</v>
          </cell>
          <cell r="AE153">
            <v>29068.29</v>
          </cell>
        </row>
        <row r="155">
          <cell r="I155">
            <v>4000</v>
          </cell>
          <cell r="P155">
            <v>0</v>
          </cell>
          <cell r="X155">
            <v>0</v>
          </cell>
          <cell r="AE155">
            <v>0</v>
          </cell>
        </row>
        <row r="157">
          <cell r="I157">
            <v>1271548.8443943597</v>
          </cell>
          <cell r="P157">
            <v>812429.08000000007</v>
          </cell>
          <cell r="X157">
            <v>1136362.51</v>
          </cell>
          <cell r="AE157">
            <v>1065511.22</v>
          </cell>
        </row>
        <row r="159">
          <cell r="I159">
            <v>880742.77287368989</v>
          </cell>
          <cell r="P159">
            <v>1139952.6599999999</v>
          </cell>
          <cell r="X159">
            <v>1199898.26</v>
          </cell>
          <cell r="AE159">
            <v>1192369.6400000001</v>
          </cell>
        </row>
        <row r="164">
          <cell r="I164">
            <v>118949256.67709199</v>
          </cell>
          <cell r="P164">
            <v>-1732620.4399999997</v>
          </cell>
          <cell r="X164">
            <v>110165894.03</v>
          </cell>
          <cell r="AE164">
            <v>109550043.67</v>
          </cell>
        </row>
        <row r="166">
          <cell r="I166">
            <v>4499.7</v>
          </cell>
          <cell r="P166">
            <v>-1799</v>
          </cell>
          <cell r="X166">
            <v>2700</v>
          </cell>
          <cell r="AE166">
            <v>2700</v>
          </cell>
        </row>
        <row r="168">
          <cell r="I168">
            <v>52320</v>
          </cell>
          <cell r="P168">
            <v>-240</v>
          </cell>
          <cell r="X168">
            <v>45898.63</v>
          </cell>
          <cell r="AE168">
            <v>44598.63</v>
          </cell>
        </row>
        <row r="170">
          <cell r="I170">
            <v>454510.68341397285</v>
          </cell>
          <cell r="P170">
            <v>122354.01</v>
          </cell>
          <cell r="X170">
            <v>576720.96000000008</v>
          </cell>
          <cell r="AE170">
            <v>408353.97000000003</v>
          </cell>
        </row>
        <row r="172">
          <cell r="I172">
            <v>2000</v>
          </cell>
          <cell r="P172">
            <v>139.59</v>
          </cell>
          <cell r="X172">
            <v>2139.59</v>
          </cell>
          <cell r="AE172">
            <v>2139.59</v>
          </cell>
        </row>
        <row r="174">
          <cell r="I174">
            <v>0</v>
          </cell>
          <cell r="P174">
            <v>0</v>
          </cell>
          <cell r="X174">
            <v>0</v>
          </cell>
          <cell r="AE174">
            <v>0</v>
          </cell>
        </row>
        <row r="176">
          <cell r="I176">
            <v>280179.50885809446</v>
          </cell>
          <cell r="P176">
            <v>-76433.45</v>
          </cell>
          <cell r="X176">
            <v>166667.16999999998</v>
          </cell>
          <cell r="AE176">
            <v>138651.18</v>
          </cell>
        </row>
        <row r="178">
          <cell r="I178">
            <v>47144.389158681741</v>
          </cell>
          <cell r="P178">
            <v>-3623</v>
          </cell>
          <cell r="X178">
            <v>19769.349999999999</v>
          </cell>
          <cell r="AE178">
            <v>19539.349999999999</v>
          </cell>
        </row>
        <row r="181">
          <cell r="I181">
            <v>821017.94536813302</v>
          </cell>
          <cell r="P181">
            <v>-299017.95</v>
          </cell>
          <cell r="X181">
            <v>290000</v>
          </cell>
          <cell r="AE181">
            <v>0</v>
          </cell>
        </row>
        <row r="183">
          <cell r="I183">
            <v>2833272.2726400988</v>
          </cell>
          <cell r="P183">
            <v>53773.959999999992</v>
          </cell>
          <cell r="X183">
            <v>2589913.0099999998</v>
          </cell>
          <cell r="AE183">
            <v>1661523.29</v>
          </cell>
        </row>
        <row r="185">
          <cell r="I185">
            <v>63698.352189013938</v>
          </cell>
          <cell r="P185">
            <v>15500</v>
          </cell>
          <cell r="X185">
            <v>76246.8</v>
          </cell>
          <cell r="AE185">
            <v>76276.800000000003</v>
          </cell>
        </row>
        <row r="186">
          <cell r="I186">
            <v>719391.4858110724</v>
          </cell>
          <cell r="P186">
            <v>223317.51</v>
          </cell>
          <cell r="X186">
            <v>941901.44</v>
          </cell>
          <cell r="AE186">
            <v>727369.76</v>
          </cell>
        </row>
        <row r="188">
          <cell r="I188">
            <v>8000</v>
          </cell>
          <cell r="P188">
            <v>0</v>
          </cell>
          <cell r="X188">
            <v>0</v>
          </cell>
          <cell r="AE188">
            <v>0</v>
          </cell>
        </row>
        <row r="190">
          <cell r="I190">
            <v>1735503.5389947654</v>
          </cell>
          <cell r="P190">
            <v>38989.979999999996</v>
          </cell>
          <cell r="X190">
            <v>1501114.84</v>
          </cell>
          <cell r="AE190">
            <v>1212690.04</v>
          </cell>
        </row>
        <row r="192">
          <cell r="I192">
            <v>8956.8904948483978</v>
          </cell>
          <cell r="P192">
            <v>-7661.69</v>
          </cell>
          <cell r="X192">
            <v>1295.2</v>
          </cell>
          <cell r="AE192">
            <v>1295.2</v>
          </cell>
        </row>
        <row r="195">
          <cell r="I195">
            <v>8154532.223311414</v>
          </cell>
          <cell r="P195">
            <v>-1681402.93</v>
          </cell>
          <cell r="X195">
            <v>5582888.4000000004</v>
          </cell>
          <cell r="AE195">
            <v>5022285.01</v>
          </cell>
        </row>
        <row r="197">
          <cell r="I197">
            <v>802004.97529560095</v>
          </cell>
          <cell r="P197">
            <v>66414.799999999988</v>
          </cell>
          <cell r="X197">
            <v>347550.22000000003</v>
          </cell>
          <cell r="AE197">
            <v>347550.22000000003</v>
          </cell>
        </row>
        <row r="199">
          <cell r="I199">
            <v>996167.02885527606</v>
          </cell>
          <cell r="P199">
            <v>356740.8</v>
          </cell>
          <cell r="X199">
            <v>982993.28</v>
          </cell>
          <cell r="AE199">
            <v>887989.28</v>
          </cell>
        </row>
        <row r="200">
          <cell r="I200">
            <v>220000</v>
          </cell>
          <cell r="P200">
            <v>-133000</v>
          </cell>
          <cell r="X200">
            <v>87000</v>
          </cell>
          <cell r="AE200">
            <v>87000</v>
          </cell>
        </row>
        <row r="202">
          <cell r="I202">
            <v>273721.98072186206</v>
          </cell>
          <cell r="P202">
            <v>-230721.97999999998</v>
          </cell>
          <cell r="X202">
            <v>41837.64</v>
          </cell>
          <cell r="AE202">
            <v>41837.64</v>
          </cell>
        </row>
        <row r="204">
          <cell r="I204">
            <v>0</v>
          </cell>
          <cell r="P204">
            <v>0</v>
          </cell>
          <cell r="X204">
            <v>0</v>
          </cell>
          <cell r="AE204">
            <v>0</v>
          </cell>
        </row>
        <row r="205">
          <cell r="I205">
            <v>1356806.347495879</v>
          </cell>
          <cell r="P205">
            <v>-82823.11</v>
          </cell>
          <cell r="X205">
            <v>800350.43000000017</v>
          </cell>
          <cell r="AE205">
            <v>709701.43000000017</v>
          </cell>
        </row>
        <row r="206">
          <cell r="I206">
            <v>330000</v>
          </cell>
          <cell r="P206">
            <v>-164023.45000000001</v>
          </cell>
          <cell r="X206">
            <v>165976.54999999999</v>
          </cell>
          <cell r="AE206">
            <v>165975.95000000001</v>
          </cell>
        </row>
        <row r="207">
          <cell r="I207">
            <v>110000</v>
          </cell>
          <cell r="X207">
            <v>73115.31</v>
          </cell>
          <cell r="AE207">
            <v>73115.3</v>
          </cell>
        </row>
        <row r="209">
          <cell r="I209">
            <v>1514741.6655064828</v>
          </cell>
          <cell r="P209">
            <v>-131449.82999999999</v>
          </cell>
          <cell r="X209">
            <v>402979.11</v>
          </cell>
          <cell r="AE209">
            <v>330108.57999999996</v>
          </cell>
        </row>
        <row r="211">
          <cell r="I211">
            <v>1475080</v>
          </cell>
          <cell r="P211">
            <v>-908055</v>
          </cell>
          <cell r="X211">
            <v>567024.4</v>
          </cell>
          <cell r="AE211">
            <v>567024.4</v>
          </cell>
        </row>
        <row r="214">
          <cell r="I214">
            <v>532627.75791335572</v>
          </cell>
          <cell r="P214">
            <v>202575.47999999998</v>
          </cell>
          <cell r="X214">
            <v>730721.79</v>
          </cell>
          <cell r="AE214">
            <v>726187.41999999993</v>
          </cell>
        </row>
        <row r="216">
          <cell r="I216">
            <v>16156777.059225969</v>
          </cell>
          <cell r="P216">
            <v>-6980965.4199999999</v>
          </cell>
          <cell r="X216">
            <v>4708149.5299999993</v>
          </cell>
          <cell r="AE216">
            <v>3494257.25</v>
          </cell>
        </row>
        <row r="218">
          <cell r="I218">
            <v>3183103.0349420137</v>
          </cell>
          <cell r="P218">
            <v>-1830878.3299999998</v>
          </cell>
          <cell r="X218">
            <v>536616.69999999995</v>
          </cell>
          <cell r="AE218">
            <v>536616.69999999995</v>
          </cell>
        </row>
        <row r="220">
          <cell r="I220">
            <v>54837.845083272652</v>
          </cell>
          <cell r="P220">
            <v>-8410</v>
          </cell>
          <cell r="X220">
            <v>20057.59</v>
          </cell>
          <cell r="AE220">
            <v>20057.59</v>
          </cell>
        </row>
        <row r="223">
          <cell r="I223">
            <v>625605.89482619159</v>
          </cell>
          <cell r="P223">
            <v>2038916.9999999998</v>
          </cell>
          <cell r="X223">
            <v>2230851.75</v>
          </cell>
          <cell r="AE223">
            <v>2230388.58</v>
          </cell>
        </row>
        <row r="225">
          <cell r="I225">
            <v>227268.72168248426</v>
          </cell>
          <cell r="P225">
            <v>253932.63</v>
          </cell>
          <cell r="X225">
            <v>464363.54</v>
          </cell>
          <cell r="AE225">
            <v>454963.52999999997</v>
          </cell>
        </row>
        <row r="227">
          <cell r="I227">
            <v>0</v>
          </cell>
          <cell r="P227">
            <v>0</v>
          </cell>
          <cell r="X227">
            <v>0</v>
          </cell>
          <cell r="AE227">
            <v>0</v>
          </cell>
        </row>
        <row r="228">
          <cell r="I228">
            <v>26892.473712043469</v>
          </cell>
          <cell r="P228">
            <v>-12320</v>
          </cell>
          <cell r="X228">
            <v>5575.98</v>
          </cell>
          <cell r="AE228">
            <v>4575.9799999999996</v>
          </cell>
        </row>
        <row r="230">
          <cell r="I230">
            <v>1945721.3565302466</v>
          </cell>
          <cell r="P230">
            <v>-364837.32</v>
          </cell>
          <cell r="X230">
            <v>1013106.47</v>
          </cell>
          <cell r="AE230">
            <v>922254.90000000014</v>
          </cell>
        </row>
        <row r="232">
          <cell r="I232">
            <v>5777889.2501959652</v>
          </cell>
          <cell r="P232">
            <v>828821.60000000033</v>
          </cell>
          <cell r="X232">
            <v>6333380.3600000003</v>
          </cell>
          <cell r="AE232">
            <v>5030993.82</v>
          </cell>
        </row>
        <row r="233">
          <cell r="I233">
            <v>0</v>
          </cell>
          <cell r="P233">
            <v>0</v>
          </cell>
          <cell r="X233">
            <v>0</v>
          </cell>
          <cell r="AE233">
            <v>0</v>
          </cell>
        </row>
        <row r="235">
          <cell r="I235">
            <v>298701.15631097928</v>
          </cell>
          <cell r="P235">
            <v>-28168.89</v>
          </cell>
          <cell r="X235">
            <v>270473.36</v>
          </cell>
          <cell r="AE235">
            <v>250673.36000000002</v>
          </cell>
        </row>
        <row r="237">
          <cell r="I237">
            <v>192534.58293328926</v>
          </cell>
          <cell r="P237">
            <v>-51129.729999999996</v>
          </cell>
          <cell r="X237">
            <v>93974.180000000008</v>
          </cell>
          <cell r="AE237">
            <v>93974.180000000008</v>
          </cell>
        </row>
        <row r="240">
          <cell r="I240">
            <v>1300762.7760579486</v>
          </cell>
          <cell r="P240">
            <v>-48667.59</v>
          </cell>
          <cell r="X240">
            <v>923075.3</v>
          </cell>
          <cell r="AE240">
            <v>295515.3</v>
          </cell>
        </row>
        <row r="242">
          <cell r="I242">
            <v>447.76522196754536</v>
          </cell>
          <cell r="P242">
            <v>0</v>
          </cell>
          <cell r="X242">
            <v>0</v>
          </cell>
          <cell r="AE242">
            <v>0</v>
          </cell>
        </row>
        <row r="244">
          <cell r="I244">
            <v>83092</v>
          </cell>
          <cell r="P244">
            <v>0</v>
          </cell>
          <cell r="X244">
            <v>0</v>
          </cell>
          <cell r="AE244">
            <v>0</v>
          </cell>
        </row>
        <row r="246">
          <cell r="I246">
            <v>186778.67374696615</v>
          </cell>
          <cell r="P246">
            <v>-183582.26</v>
          </cell>
          <cell r="X246">
            <v>2149</v>
          </cell>
          <cell r="AE246">
            <v>0</v>
          </cell>
        </row>
        <row r="249">
          <cell r="I249">
            <v>737688.4952638715</v>
          </cell>
          <cell r="P249">
            <v>-565870</v>
          </cell>
          <cell r="X249">
            <v>104553.99</v>
          </cell>
          <cell r="AE249">
            <v>104553.99</v>
          </cell>
        </row>
        <row r="250">
          <cell r="I250">
            <v>0</v>
          </cell>
          <cell r="P250">
            <v>0</v>
          </cell>
          <cell r="X250">
            <v>0</v>
          </cell>
          <cell r="AE250">
            <v>0</v>
          </cell>
        </row>
        <row r="252">
          <cell r="I252">
            <v>82500</v>
          </cell>
          <cell r="P252">
            <v>-1162</v>
          </cell>
          <cell r="X252">
            <v>25024.880000000001</v>
          </cell>
          <cell r="AE252">
            <v>25024.880000000001</v>
          </cell>
        </row>
        <row r="254">
          <cell r="I254">
            <v>1476757.4780398991</v>
          </cell>
          <cell r="P254">
            <v>31249.440000000002</v>
          </cell>
          <cell r="X254">
            <v>1459646.87</v>
          </cell>
          <cell r="AE254">
            <v>1456546.87</v>
          </cell>
        </row>
        <row r="255">
          <cell r="I255">
            <v>772243.39550185495</v>
          </cell>
          <cell r="P255">
            <v>-254249.38</v>
          </cell>
          <cell r="X255">
            <v>471100</v>
          </cell>
          <cell r="AE255">
            <v>474050</v>
          </cell>
        </row>
        <row r="257">
          <cell r="I257">
            <v>135000</v>
          </cell>
          <cell r="P257">
            <v>-135000</v>
          </cell>
          <cell r="X257">
            <v>0</v>
          </cell>
          <cell r="AE257">
            <v>0</v>
          </cell>
        </row>
        <row r="259">
          <cell r="I259">
            <v>13500</v>
          </cell>
          <cell r="P259">
            <v>0</v>
          </cell>
          <cell r="X259">
            <v>0</v>
          </cell>
          <cell r="AE259">
            <v>0</v>
          </cell>
        </row>
        <row r="261">
          <cell r="I261">
            <v>67000</v>
          </cell>
          <cell r="P261">
            <v>-35000</v>
          </cell>
          <cell r="X261">
            <v>8675</v>
          </cell>
          <cell r="AE261">
            <v>8675</v>
          </cell>
        </row>
        <row r="264">
          <cell r="I264">
            <v>24450</v>
          </cell>
          <cell r="P264">
            <v>0</v>
          </cell>
          <cell r="X264">
            <v>330</v>
          </cell>
          <cell r="AE264">
            <v>330</v>
          </cell>
        </row>
        <row r="266">
          <cell r="I266">
            <v>0</v>
          </cell>
          <cell r="P266">
            <v>0</v>
          </cell>
          <cell r="X266">
            <v>0</v>
          </cell>
          <cell r="AE266">
            <v>0</v>
          </cell>
        </row>
        <row r="268">
          <cell r="I268">
            <v>131600</v>
          </cell>
          <cell r="P268">
            <v>-128120</v>
          </cell>
          <cell r="X268">
            <v>3480</v>
          </cell>
          <cell r="AE268">
            <v>3480</v>
          </cell>
        </row>
        <row r="270">
          <cell r="I270">
            <v>0</v>
          </cell>
          <cell r="P270">
            <v>0</v>
          </cell>
          <cell r="X270">
            <v>0</v>
          </cell>
          <cell r="AE270">
            <v>0</v>
          </cell>
        </row>
        <row r="273">
          <cell r="I273">
            <v>9655201.4396392349</v>
          </cell>
          <cell r="P273">
            <v>7008240.6299999999</v>
          </cell>
          <cell r="X273">
            <v>16656798.640000001</v>
          </cell>
          <cell r="AE273">
            <v>149539.45000000001</v>
          </cell>
        </row>
        <row r="275">
          <cell r="I275">
            <v>1254638.8916430946</v>
          </cell>
          <cell r="P275">
            <v>-252926.90999999997</v>
          </cell>
          <cell r="X275">
            <v>467494.76</v>
          </cell>
          <cell r="AE275">
            <v>395042.52999999997</v>
          </cell>
        </row>
        <row r="277">
          <cell r="I277">
            <v>9641.378948724765</v>
          </cell>
          <cell r="P277">
            <v>0</v>
          </cell>
          <cell r="X277">
            <v>0</v>
          </cell>
          <cell r="AE277">
            <v>0</v>
          </cell>
        </row>
        <row r="279">
          <cell r="I279">
            <v>2047132.1</v>
          </cell>
          <cell r="P279">
            <v>1208620.5899999999</v>
          </cell>
          <cell r="X279">
            <v>3226750.38</v>
          </cell>
          <cell r="AE279">
            <v>2694006.99</v>
          </cell>
        </row>
        <row r="284">
          <cell r="P284">
            <v>0</v>
          </cell>
          <cell r="X284">
            <v>0</v>
          </cell>
          <cell r="AE284">
            <v>0</v>
          </cell>
        </row>
        <row r="286">
          <cell r="P286">
            <v>0</v>
          </cell>
          <cell r="X286">
            <v>0</v>
          </cell>
          <cell r="AE286">
            <v>0</v>
          </cell>
        </row>
        <row r="289">
          <cell r="P289">
            <v>7796998.4399999995</v>
          </cell>
          <cell r="X289">
            <v>7603911.4199999999</v>
          </cell>
          <cell r="AE289">
            <v>7603911.4199999999</v>
          </cell>
        </row>
        <row r="291">
          <cell r="P291">
            <v>0</v>
          </cell>
          <cell r="X291">
            <v>0</v>
          </cell>
          <cell r="AE291">
            <v>0</v>
          </cell>
        </row>
        <row r="294">
          <cell r="P294">
            <v>0</v>
          </cell>
          <cell r="X294">
            <v>0</v>
          </cell>
          <cell r="AE294">
            <v>0</v>
          </cell>
        </row>
        <row r="297">
          <cell r="P297">
            <v>0</v>
          </cell>
          <cell r="X297">
            <v>0</v>
          </cell>
          <cell r="AE297">
            <v>0</v>
          </cell>
        </row>
        <row r="302">
          <cell r="P302">
            <v>88392</v>
          </cell>
          <cell r="X302">
            <v>88392</v>
          </cell>
          <cell r="AE302">
            <v>88392</v>
          </cell>
        </row>
        <row r="304">
          <cell r="P304">
            <v>0</v>
          </cell>
          <cell r="X304">
            <v>0</v>
          </cell>
          <cell r="AE304">
            <v>0</v>
          </cell>
        </row>
        <row r="306">
          <cell r="P306">
            <v>0</v>
          </cell>
          <cell r="X306">
            <v>0</v>
          </cell>
          <cell r="AE306">
            <v>0</v>
          </cell>
        </row>
        <row r="308">
          <cell r="P308">
            <v>0</v>
          </cell>
          <cell r="X308">
            <v>0</v>
          </cell>
          <cell r="AE308">
            <v>0</v>
          </cell>
        </row>
        <row r="311">
          <cell r="P311">
            <v>0</v>
          </cell>
          <cell r="X311">
            <v>0</v>
          </cell>
          <cell r="AE311">
            <v>0</v>
          </cell>
        </row>
        <row r="313">
          <cell r="P313">
            <v>81000</v>
          </cell>
          <cell r="X313">
            <v>80723.240000000005</v>
          </cell>
          <cell r="AE313">
            <v>80723.240000000005</v>
          </cell>
        </row>
        <row r="316">
          <cell r="P316">
            <v>0</v>
          </cell>
          <cell r="X316">
            <v>0</v>
          </cell>
          <cell r="AE316">
            <v>0</v>
          </cell>
        </row>
        <row r="319">
          <cell r="P319">
            <v>0</v>
          </cell>
          <cell r="X319">
            <v>0</v>
          </cell>
          <cell r="AE319">
            <v>0</v>
          </cell>
        </row>
        <row r="321">
          <cell r="P321">
            <v>0</v>
          </cell>
          <cell r="X321">
            <v>0</v>
          </cell>
          <cell r="AE321">
            <v>0</v>
          </cell>
        </row>
        <row r="324">
          <cell r="I324">
            <v>0</v>
          </cell>
          <cell r="P324">
            <v>0</v>
          </cell>
          <cell r="X324">
            <v>0</v>
          </cell>
          <cell r="AE324">
            <v>0</v>
          </cell>
        </row>
        <row r="327">
          <cell r="P327">
            <v>279610.88</v>
          </cell>
          <cell r="X327">
            <v>279610.88</v>
          </cell>
          <cell r="AE327">
            <v>279609.88</v>
          </cell>
        </row>
        <row r="329">
          <cell r="P329">
            <v>0</v>
          </cell>
          <cell r="X329">
            <v>0</v>
          </cell>
          <cell r="AE329">
            <v>0</v>
          </cell>
        </row>
        <row r="331">
          <cell r="P331">
            <v>0</v>
          </cell>
          <cell r="X331">
            <v>0</v>
          </cell>
          <cell r="AE331">
            <v>0</v>
          </cell>
        </row>
        <row r="333">
          <cell r="P333">
            <v>0</v>
          </cell>
          <cell r="X333">
            <v>0</v>
          </cell>
          <cell r="AE333">
            <v>0</v>
          </cell>
        </row>
        <row r="335">
          <cell r="P335">
            <v>0</v>
          </cell>
          <cell r="X335">
            <v>0</v>
          </cell>
          <cell r="AE335">
            <v>0</v>
          </cell>
        </row>
        <row r="337">
          <cell r="P337">
            <v>35000</v>
          </cell>
          <cell r="X337">
            <v>34592.36</v>
          </cell>
          <cell r="AE337">
            <v>34592.36</v>
          </cell>
        </row>
        <row r="338">
          <cell r="P338">
            <v>0</v>
          </cell>
          <cell r="X338">
            <v>0</v>
          </cell>
          <cell r="AE338">
            <v>0</v>
          </cell>
        </row>
        <row r="341">
          <cell r="P341">
            <v>0</v>
          </cell>
          <cell r="X341">
            <v>0</v>
          </cell>
          <cell r="AE341">
            <v>0</v>
          </cell>
        </row>
        <row r="344">
          <cell r="P344">
            <v>0</v>
          </cell>
          <cell r="X344">
            <v>0</v>
          </cell>
          <cell r="AE344">
            <v>0</v>
          </cell>
        </row>
        <row r="351">
          <cell r="I351">
            <v>0</v>
          </cell>
          <cell r="P351">
            <v>1557703.1</v>
          </cell>
          <cell r="X351">
            <v>1557703.1</v>
          </cell>
          <cell r="AE351">
            <v>1307703.1000000001</v>
          </cell>
        </row>
        <row r="352">
          <cell r="I352">
            <v>0</v>
          </cell>
          <cell r="P352">
            <v>0</v>
          </cell>
          <cell r="X352">
            <v>0</v>
          </cell>
          <cell r="AE352">
            <v>0</v>
          </cell>
        </row>
        <row r="353">
          <cell r="I353">
            <v>0</v>
          </cell>
          <cell r="P353">
            <v>0</v>
          </cell>
          <cell r="X353">
            <v>0</v>
          </cell>
          <cell r="AE353">
            <v>0</v>
          </cell>
        </row>
        <row r="354">
          <cell r="I354">
            <v>0</v>
          </cell>
          <cell r="P354">
            <v>0</v>
          </cell>
          <cell r="X354">
            <v>0</v>
          </cell>
          <cell r="AE354">
            <v>0</v>
          </cell>
        </row>
        <row r="356">
          <cell r="I356">
            <v>0</v>
          </cell>
          <cell r="P356">
            <v>0</v>
          </cell>
          <cell r="X356">
            <v>0</v>
          </cell>
          <cell r="AE356">
            <v>0</v>
          </cell>
        </row>
        <row r="358">
          <cell r="I358">
            <v>0</v>
          </cell>
          <cell r="P358">
            <v>2904928</v>
          </cell>
          <cell r="X358">
            <v>2903324.51</v>
          </cell>
          <cell r="AE358">
            <v>2903324.51</v>
          </cell>
        </row>
        <row r="359">
          <cell r="I359">
            <v>65729421</v>
          </cell>
          <cell r="P359">
            <v>27416203</v>
          </cell>
          <cell r="X359">
            <v>59062081.759999998</v>
          </cell>
          <cell r="AE359">
            <v>59062057.770000003</v>
          </cell>
        </row>
        <row r="360">
          <cell r="I360">
            <v>4376491</v>
          </cell>
          <cell r="P360">
            <v>33268956.299999997</v>
          </cell>
          <cell r="X360">
            <v>35110771.950000003</v>
          </cell>
          <cell r="AE360">
            <v>32939019.649999999</v>
          </cell>
        </row>
        <row r="361">
          <cell r="I361">
            <v>0</v>
          </cell>
          <cell r="P361">
            <v>0</v>
          </cell>
          <cell r="X361">
            <v>0</v>
          </cell>
          <cell r="AE361">
            <v>0</v>
          </cell>
        </row>
        <row r="362">
          <cell r="I362">
            <v>0</v>
          </cell>
          <cell r="P362">
            <v>0</v>
          </cell>
          <cell r="X362">
            <v>0</v>
          </cell>
          <cell r="AE362">
            <v>0</v>
          </cell>
        </row>
        <row r="363">
          <cell r="I363">
            <v>0</v>
          </cell>
          <cell r="P363">
            <v>305682.80000000005</v>
          </cell>
          <cell r="X363">
            <v>257467</v>
          </cell>
          <cell r="AE363">
            <v>257467</v>
          </cell>
        </row>
        <row r="366">
          <cell r="I366">
            <v>0</v>
          </cell>
          <cell r="P366">
            <v>0</v>
          </cell>
          <cell r="X366">
            <v>0</v>
          </cell>
          <cell r="AE366">
            <v>0</v>
          </cell>
        </row>
        <row r="367">
          <cell r="I367">
            <v>0</v>
          </cell>
          <cell r="P367">
            <v>0</v>
          </cell>
          <cell r="X367">
            <v>0</v>
          </cell>
          <cell r="AE367">
            <v>0</v>
          </cell>
        </row>
        <row r="372">
          <cell r="I372">
            <v>50175553</v>
          </cell>
          <cell r="P372">
            <v>25000000</v>
          </cell>
          <cell r="X372">
            <v>0</v>
          </cell>
          <cell r="AE372">
            <v>0</v>
          </cell>
        </row>
        <row r="373">
          <cell r="I373">
            <v>0</v>
          </cell>
          <cell r="P373">
            <v>500000</v>
          </cell>
          <cell r="X373">
            <v>500000</v>
          </cell>
          <cell r="AE373">
            <v>500000</v>
          </cell>
        </row>
        <row r="374">
          <cell r="J374">
            <v>49641894.82</v>
          </cell>
          <cell r="R374">
            <v>78139.600000000006</v>
          </cell>
          <cell r="Y374">
            <v>78139.600000000006</v>
          </cell>
        </row>
        <row r="375">
          <cell r="I375">
            <v>0</v>
          </cell>
          <cell r="P375">
            <v>0</v>
          </cell>
          <cell r="X375">
            <v>0</v>
          </cell>
          <cell r="AE375">
            <v>0</v>
          </cell>
        </row>
        <row r="376">
          <cell r="I376">
            <v>0</v>
          </cell>
          <cell r="P376">
            <v>458571.42</v>
          </cell>
          <cell r="X376">
            <v>0</v>
          </cell>
          <cell r="AE376">
            <v>0</v>
          </cell>
        </row>
        <row r="377">
          <cell r="I377">
            <v>0</v>
          </cell>
          <cell r="P377">
            <v>0</v>
          </cell>
          <cell r="X377">
            <v>0</v>
          </cell>
          <cell r="AE377">
            <v>0</v>
          </cell>
        </row>
        <row r="379">
          <cell r="I379">
            <v>0</v>
          </cell>
          <cell r="P379">
            <v>4468552</v>
          </cell>
          <cell r="X379">
            <v>4466373.7</v>
          </cell>
          <cell r="AE379">
            <v>4466373.7</v>
          </cell>
        </row>
        <row r="380">
          <cell r="I380">
            <v>55553275</v>
          </cell>
          <cell r="P380">
            <v>21181017.109999999</v>
          </cell>
          <cell r="X380">
            <v>24403170</v>
          </cell>
          <cell r="AE380">
            <v>24403193.989999998</v>
          </cell>
        </row>
        <row r="381">
          <cell r="I381">
            <v>39376491</v>
          </cell>
          <cell r="P381">
            <v>5555063.04</v>
          </cell>
          <cell r="X381">
            <v>1805687.43</v>
          </cell>
          <cell r="AE381">
            <v>971052.64</v>
          </cell>
        </row>
        <row r="382">
          <cell r="I382">
            <v>0</v>
          </cell>
          <cell r="P382">
            <v>0</v>
          </cell>
          <cell r="X382">
            <v>0</v>
          </cell>
          <cell r="AE382">
            <v>0</v>
          </cell>
        </row>
        <row r="383">
          <cell r="I383">
            <v>0</v>
          </cell>
          <cell r="P383">
            <v>0</v>
          </cell>
          <cell r="X383">
            <v>0</v>
          </cell>
          <cell r="AE383">
            <v>0</v>
          </cell>
        </row>
        <row r="384">
          <cell r="I384">
            <v>0</v>
          </cell>
          <cell r="P384">
            <v>255633.11</v>
          </cell>
          <cell r="X384">
            <v>219526.37</v>
          </cell>
          <cell r="AE384">
            <v>219526.37</v>
          </cell>
        </row>
        <row r="389">
          <cell r="I389">
            <v>123731586.09999999</v>
          </cell>
          <cell r="X389">
            <v>0</v>
          </cell>
          <cell r="AE389">
            <v>0</v>
          </cell>
        </row>
        <row r="394">
          <cell r="P394">
            <v>0</v>
          </cell>
          <cell r="X394">
            <v>0</v>
          </cell>
          <cell r="AE394">
            <v>0</v>
          </cell>
        </row>
        <row r="395">
          <cell r="P395">
            <v>22920675.659999996</v>
          </cell>
          <cell r="X395">
            <v>22920675.659999996</v>
          </cell>
          <cell r="AE395">
            <v>22920675.659999996</v>
          </cell>
        </row>
        <row r="398">
          <cell r="P398">
            <v>0</v>
          </cell>
          <cell r="X398">
            <v>0</v>
          </cell>
          <cell r="AE398">
            <v>0</v>
          </cell>
        </row>
        <row r="399">
          <cell r="P399">
            <v>15359419.179999998</v>
          </cell>
          <cell r="X399">
            <v>15359419.17</v>
          </cell>
          <cell r="AE399">
            <v>15359419.17</v>
          </cell>
        </row>
        <row r="402">
          <cell r="P402">
            <v>57105825.969999999</v>
          </cell>
          <cell r="X402">
            <v>55154611.049999997</v>
          </cell>
          <cell r="AE402">
            <v>53591163.410000004</v>
          </cell>
        </row>
        <row r="403">
          <cell r="P403">
            <v>1150000</v>
          </cell>
          <cell r="X403">
            <v>1150000</v>
          </cell>
          <cell r="AE403">
            <v>1150000</v>
          </cell>
        </row>
        <row r="404">
          <cell r="P404">
            <v>0</v>
          </cell>
          <cell r="X404">
            <v>0</v>
          </cell>
          <cell r="AE404">
            <v>0</v>
          </cell>
        </row>
      </sheetData>
      <sheetData sheetId="2">
        <row r="5">
          <cell r="A5" t="str">
            <v>Del 01 al 31 de Diciembre del 2021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E2E7-BB11-41F5-BFBE-47B7BC18FCA9}">
  <dimension ref="A1:H57"/>
  <sheetViews>
    <sheetView tabSelected="1" zoomScaleSheetLayoutView="100" workbookViewId="0">
      <selection activeCell="G19" sqref="G19"/>
    </sheetView>
  </sheetViews>
  <sheetFormatPr baseColWidth="10" defaultColWidth="11.28515625" defaultRowHeight="16.5" x14ac:dyDescent="0.25"/>
  <cols>
    <col min="1" max="1" width="1.140625" style="2" customWidth="1"/>
    <col min="2" max="2" width="31.7109375" style="2" customWidth="1"/>
    <col min="3" max="4" width="14.28515625" style="1" customWidth="1"/>
    <col min="5" max="5" width="13.140625" style="1" customWidth="1"/>
    <col min="6" max="6" width="14" style="1" customWidth="1"/>
    <col min="7" max="7" width="15" style="1" customWidth="1"/>
    <col min="8" max="8" width="14.28515625" style="1" customWidth="1"/>
    <col min="9" max="16384" width="11.28515625" style="1"/>
  </cols>
  <sheetData>
    <row r="1" spans="1:8" x14ac:dyDescent="0.25">
      <c r="A1" s="106" t="str">
        <f>'[1]ETCA-I-01'!A1:G1</f>
        <v xml:space="preserve">Comision Estatal del Agua </v>
      </c>
      <c r="B1" s="106"/>
      <c r="C1" s="106"/>
      <c r="D1" s="106"/>
      <c r="E1" s="106"/>
      <c r="F1" s="106"/>
      <c r="G1" s="106"/>
      <c r="H1" s="106"/>
    </row>
    <row r="2" spans="1:8" s="104" customFormat="1" ht="15.75" x14ac:dyDescent="0.25">
      <c r="A2" s="106" t="s">
        <v>40</v>
      </c>
      <c r="B2" s="106"/>
      <c r="C2" s="106"/>
      <c r="D2" s="106"/>
      <c r="E2" s="106"/>
      <c r="F2" s="106"/>
      <c r="G2" s="106"/>
      <c r="H2" s="106"/>
    </row>
    <row r="3" spans="1:8" s="104" customFormat="1" x14ac:dyDescent="0.25">
      <c r="A3" s="105" t="str">
        <f>'[1]ETCA-I-03'!A3:D3</f>
        <v>Del 01 de Enero  al 31 de Diciembre de 2021</v>
      </c>
      <c r="B3" s="105"/>
      <c r="C3" s="105"/>
      <c r="D3" s="105"/>
      <c r="E3" s="105"/>
      <c r="F3" s="105"/>
      <c r="G3" s="105"/>
      <c r="H3" s="105"/>
    </row>
    <row r="4" spans="1:8" s="26" customFormat="1" ht="17.25" thickBot="1" x14ac:dyDescent="0.3">
      <c r="A4" s="103"/>
      <c r="B4" s="103"/>
      <c r="C4" s="102"/>
      <c r="D4" s="102"/>
      <c r="E4" s="102"/>
      <c r="F4" s="102"/>
      <c r="G4" s="101"/>
      <c r="H4" s="100"/>
    </row>
    <row r="5" spans="1:8" s="54" customFormat="1" ht="17.25" thickBot="1" x14ac:dyDescent="0.3">
      <c r="A5" s="99" t="s">
        <v>39</v>
      </c>
      <c r="B5" s="98"/>
      <c r="C5" s="67" t="s">
        <v>33</v>
      </c>
      <c r="D5" s="66"/>
      <c r="E5" s="66"/>
      <c r="F5" s="66"/>
      <c r="G5" s="65"/>
      <c r="H5" s="64"/>
    </row>
    <row r="6" spans="1:8" s="54" customFormat="1" ht="39" thickBot="1" x14ac:dyDescent="0.3">
      <c r="A6" s="97"/>
      <c r="B6" s="96"/>
      <c r="C6" s="61" t="s">
        <v>32</v>
      </c>
      <c r="D6" s="61" t="s">
        <v>31</v>
      </c>
      <c r="E6" s="61" t="s">
        <v>30</v>
      </c>
      <c r="F6" s="60" t="s">
        <v>29</v>
      </c>
      <c r="G6" s="60" t="s">
        <v>28</v>
      </c>
      <c r="H6" s="59" t="s">
        <v>27</v>
      </c>
    </row>
    <row r="7" spans="1:8" s="54" customFormat="1" ht="17.25" thickBot="1" x14ac:dyDescent="0.3">
      <c r="A7" s="95"/>
      <c r="B7" s="94"/>
      <c r="C7" s="55" t="s">
        <v>26</v>
      </c>
      <c r="D7" s="55" t="s">
        <v>25</v>
      </c>
      <c r="E7" s="55" t="s">
        <v>24</v>
      </c>
      <c r="F7" s="56" t="s">
        <v>23</v>
      </c>
      <c r="G7" s="56" t="s">
        <v>22</v>
      </c>
      <c r="H7" s="55" t="s">
        <v>21</v>
      </c>
    </row>
    <row r="8" spans="1:8" s="54" customFormat="1" ht="8.25" customHeight="1" x14ac:dyDescent="0.25">
      <c r="A8" s="93"/>
      <c r="B8" s="11"/>
      <c r="C8" s="92"/>
      <c r="D8" s="92"/>
      <c r="E8" s="91"/>
      <c r="F8" s="92"/>
      <c r="G8" s="92"/>
      <c r="H8" s="91"/>
    </row>
    <row r="9" spans="1:8" ht="17.100000000000001" customHeight="1" x14ac:dyDescent="0.25">
      <c r="A9" s="89"/>
      <c r="B9" s="88" t="s">
        <v>38</v>
      </c>
      <c r="C9" s="87"/>
      <c r="D9" s="87"/>
      <c r="E9" s="86">
        <f>C9+D9</f>
        <v>0</v>
      </c>
      <c r="F9" s="87"/>
      <c r="G9" s="87"/>
      <c r="H9" s="86">
        <f>G9-C9</f>
        <v>0</v>
      </c>
    </row>
    <row r="10" spans="1:8" ht="17.100000000000001" customHeight="1" x14ac:dyDescent="0.25">
      <c r="A10" s="89"/>
      <c r="B10" s="88" t="s">
        <v>12</v>
      </c>
      <c r="C10" s="87">
        <v>0</v>
      </c>
      <c r="D10" s="87">
        <v>0</v>
      </c>
      <c r="E10" s="86">
        <f>C10+D10</f>
        <v>0</v>
      </c>
      <c r="F10" s="87">
        <v>0</v>
      </c>
      <c r="G10" s="87">
        <v>0</v>
      </c>
      <c r="H10" s="86">
        <f>G10-C10</f>
        <v>0</v>
      </c>
    </row>
    <row r="11" spans="1:8" ht="17.100000000000001" customHeight="1" x14ac:dyDescent="0.25">
      <c r="A11" s="89"/>
      <c r="B11" s="88" t="s">
        <v>18</v>
      </c>
      <c r="C11" s="87">
        <v>0</v>
      </c>
      <c r="D11" s="87"/>
      <c r="E11" s="86">
        <f>C11+D11</f>
        <v>0</v>
      </c>
      <c r="F11" s="87"/>
      <c r="G11" s="87"/>
      <c r="H11" s="86">
        <f>G11-C11</f>
        <v>0</v>
      </c>
    </row>
    <row r="12" spans="1:8" ht="17.100000000000001" customHeight="1" x14ac:dyDescent="0.25">
      <c r="A12" s="89"/>
      <c r="B12" s="88" t="s">
        <v>17</v>
      </c>
      <c r="C12" s="87">
        <v>0</v>
      </c>
      <c r="D12" s="87"/>
      <c r="E12" s="86">
        <f>C12+D12</f>
        <v>0</v>
      </c>
      <c r="F12" s="87"/>
      <c r="G12" s="87"/>
      <c r="H12" s="86">
        <f>G12-C12</f>
        <v>0</v>
      </c>
    </row>
    <row r="13" spans="1:8" ht="17.100000000000001" customHeight="1" x14ac:dyDescent="0.25">
      <c r="A13" s="89"/>
      <c r="B13" s="88" t="s">
        <v>37</v>
      </c>
      <c r="C13" s="87">
        <v>0</v>
      </c>
      <c r="D13" s="87">
        <v>692260.99</v>
      </c>
      <c r="E13" s="86">
        <f>C13+D13</f>
        <v>692260.99</v>
      </c>
      <c r="F13" s="87">
        <v>692260.99</v>
      </c>
      <c r="G13" s="90">
        <v>692260.99</v>
      </c>
      <c r="H13" s="86">
        <f>G13-C13</f>
        <v>692260.99</v>
      </c>
    </row>
    <row r="14" spans="1:8" ht="17.100000000000001" customHeight="1" x14ac:dyDescent="0.25">
      <c r="A14" s="89"/>
      <c r="B14" s="88" t="s">
        <v>36</v>
      </c>
      <c r="C14" s="87">
        <v>0</v>
      </c>
      <c r="D14" s="87"/>
      <c r="E14" s="86">
        <f>C14+D14</f>
        <v>0</v>
      </c>
      <c r="F14" s="87"/>
      <c r="G14" s="87"/>
      <c r="H14" s="86">
        <f>G14-C14</f>
        <v>0</v>
      </c>
    </row>
    <row r="15" spans="1:8" ht="29.25" customHeight="1" x14ac:dyDescent="0.25">
      <c r="A15" s="89"/>
      <c r="B15" s="88" t="s">
        <v>35</v>
      </c>
      <c r="C15" s="87">
        <v>268433236</v>
      </c>
      <c r="D15" s="87">
        <v>13256670.880000001</v>
      </c>
      <c r="E15" s="86">
        <f>C15+D15</f>
        <v>281689906.88</v>
      </c>
      <c r="F15" s="87">
        <v>258003107.56999999</v>
      </c>
      <c r="G15" s="87">
        <v>185272694.01999998</v>
      </c>
      <c r="H15" s="86">
        <f>G15-C15</f>
        <v>-83160541.980000019</v>
      </c>
    </row>
    <row r="16" spans="1:8" ht="55.5" customHeight="1" x14ac:dyDescent="0.25">
      <c r="A16" s="89"/>
      <c r="B16" s="88" t="s">
        <v>14</v>
      </c>
      <c r="C16" s="87">
        <v>145105319</v>
      </c>
      <c r="D16" s="87">
        <v>70792021.099999994</v>
      </c>
      <c r="E16" s="86">
        <f>C16+D16</f>
        <v>215897340.09999999</v>
      </c>
      <c r="F16" s="87">
        <v>130721787.08</v>
      </c>
      <c r="G16" s="87">
        <v>130721787.08</v>
      </c>
      <c r="H16" s="86">
        <f>G16-C16</f>
        <v>-14383531.920000002</v>
      </c>
    </row>
    <row r="17" spans="1:8" ht="25.5" x14ac:dyDescent="0.25">
      <c r="A17" s="89"/>
      <c r="B17" s="88" t="s">
        <v>9</v>
      </c>
      <c r="C17" s="87">
        <v>374742346.10000002</v>
      </c>
      <c r="D17" s="87">
        <v>77448073.889999986</v>
      </c>
      <c r="E17" s="86">
        <f>C17+D17</f>
        <v>452190419.99000001</v>
      </c>
      <c r="F17" s="87">
        <v>282597513.84000003</v>
      </c>
      <c r="G17" s="87">
        <v>282597513.84000003</v>
      </c>
      <c r="H17" s="86">
        <f>G17-C17</f>
        <v>-92144832.25999999</v>
      </c>
    </row>
    <row r="18" spans="1:8" ht="17.100000000000001" customHeight="1" thickBot="1" x14ac:dyDescent="0.3">
      <c r="A18" s="85"/>
      <c r="B18" s="84" t="s">
        <v>7</v>
      </c>
      <c r="C18" s="83"/>
      <c r="D18" s="83"/>
      <c r="E18" s="82">
        <f>C18+D18</f>
        <v>0</v>
      </c>
      <c r="F18" s="83"/>
      <c r="G18" s="83"/>
      <c r="H18" s="82">
        <f>G18-C18</f>
        <v>0</v>
      </c>
    </row>
    <row r="19" spans="1:8" s="78" customFormat="1" ht="28.5" customHeight="1" thickBot="1" x14ac:dyDescent="0.3">
      <c r="A19" s="81" t="s">
        <v>6</v>
      </c>
      <c r="B19" s="80"/>
      <c r="C19" s="79">
        <f>C9+C10+C11+C12+C13+C14+C15+C16+C17+C18</f>
        <v>788280901.10000002</v>
      </c>
      <c r="D19" s="79">
        <f>D9+D10+D11+D12+D13+D14+D15+D16+D17+D18</f>
        <v>162189026.85999998</v>
      </c>
      <c r="E19" s="79">
        <f>E9+E10+E11+E12+E13+E14+E15+E16+E17+E18</f>
        <v>950469927.96000004</v>
      </c>
      <c r="F19" s="79">
        <f>F9+F10+F11+F12+F13+F14+F15+F16+F17+F18</f>
        <v>672014669.48000002</v>
      </c>
      <c r="G19" s="79">
        <f>G9+G10+G11+G12+G13+G14+G15+G16+G17+G18</f>
        <v>599284255.93000007</v>
      </c>
      <c r="H19" s="79">
        <f>G19-C19</f>
        <v>-188996645.16999996</v>
      </c>
    </row>
    <row r="20" spans="1:8" ht="22.5" customHeight="1" thickBot="1" x14ac:dyDescent="0.3">
      <c r="A20" s="22"/>
      <c r="B20" s="22"/>
      <c r="C20" s="77"/>
      <c r="D20" s="77"/>
      <c r="E20" s="76"/>
      <c r="F20" s="75"/>
      <c r="G20" s="74" t="s">
        <v>5</v>
      </c>
      <c r="H20" s="73" t="str">
        <f>IF(($G$19-$C$19)&lt;=0,"",$G$19-$C$19)</f>
        <v/>
      </c>
    </row>
    <row r="21" spans="1:8" ht="10.5" customHeight="1" thickBot="1" x14ac:dyDescent="0.3">
      <c r="A21" s="11"/>
      <c r="B21" s="11"/>
      <c r="C21" s="72"/>
      <c r="D21" s="72"/>
      <c r="E21" s="72"/>
      <c r="F21" s="71"/>
      <c r="G21" s="71"/>
      <c r="H21" s="70"/>
    </row>
    <row r="22" spans="1:8" s="54" customFormat="1" ht="17.25" thickBot="1" x14ac:dyDescent="0.3">
      <c r="A22" s="69" t="s">
        <v>34</v>
      </c>
      <c r="B22" s="68"/>
      <c r="C22" s="67" t="s">
        <v>33</v>
      </c>
      <c r="D22" s="66"/>
      <c r="E22" s="66"/>
      <c r="F22" s="66"/>
      <c r="G22" s="65"/>
      <c r="H22" s="64"/>
    </row>
    <row r="23" spans="1:8" s="54" customFormat="1" ht="39" thickBot="1" x14ac:dyDescent="0.3">
      <c r="A23" s="63"/>
      <c r="B23" s="62"/>
      <c r="C23" s="61" t="s">
        <v>32</v>
      </c>
      <c r="D23" s="61" t="s">
        <v>31</v>
      </c>
      <c r="E23" s="61" t="s">
        <v>30</v>
      </c>
      <c r="F23" s="60" t="s">
        <v>29</v>
      </c>
      <c r="G23" s="60" t="s">
        <v>28</v>
      </c>
      <c r="H23" s="59" t="s">
        <v>27</v>
      </c>
    </row>
    <row r="24" spans="1:8" s="54" customFormat="1" ht="17.25" thickBot="1" x14ac:dyDescent="0.3">
      <c r="A24" s="58"/>
      <c r="B24" s="57"/>
      <c r="C24" s="55" t="s">
        <v>26</v>
      </c>
      <c r="D24" s="55" t="s">
        <v>25</v>
      </c>
      <c r="E24" s="55" t="s">
        <v>24</v>
      </c>
      <c r="F24" s="56" t="s">
        <v>23</v>
      </c>
      <c r="G24" s="56" t="s">
        <v>22</v>
      </c>
      <c r="H24" s="55" t="s">
        <v>21</v>
      </c>
    </row>
    <row r="25" spans="1:8" s="26" customFormat="1" ht="48" customHeight="1" x14ac:dyDescent="0.25">
      <c r="A25" s="53" t="s">
        <v>20</v>
      </c>
      <c r="B25" s="52"/>
      <c r="C25" s="37">
        <f>SUM(C26,C27,C28,C29,C30,C31,C32,C33)</f>
        <v>145105319</v>
      </c>
      <c r="D25" s="37">
        <f>SUM(D26,D27,D28,D29,D30,D31,D32,D33)</f>
        <v>70792021.099999994</v>
      </c>
      <c r="E25" s="37">
        <f>SUM(E26,E27,E28,E29,E30,E31,E32,E33)</f>
        <v>215897340.09999999</v>
      </c>
      <c r="F25" s="37">
        <f>SUM(F26,F27,F28,F29,F30,F31,F32,F33)</f>
        <v>130721787.08</v>
      </c>
      <c r="G25" s="37">
        <f>SUM(G26,G27,G28,G29,G30,G31,G32,G33)</f>
        <v>130721787.08</v>
      </c>
      <c r="H25" s="37">
        <f>SUM(H26,H27,H28,H29,H30,H31,H32,H33)</f>
        <v>-14383531.920000002</v>
      </c>
    </row>
    <row r="26" spans="1:8" s="26" customFormat="1" ht="17.100000000000001" customHeight="1" x14ac:dyDescent="0.25">
      <c r="A26" s="51" t="s">
        <v>19</v>
      </c>
      <c r="B26" s="50"/>
      <c r="C26" s="33">
        <v>0</v>
      </c>
      <c r="D26" s="33">
        <v>0</v>
      </c>
      <c r="E26" s="34">
        <f>C26+D26</f>
        <v>0</v>
      </c>
      <c r="F26" s="33">
        <v>0</v>
      </c>
      <c r="G26" s="33">
        <v>0</v>
      </c>
      <c r="H26" s="32">
        <f>G26-C26</f>
        <v>0</v>
      </c>
    </row>
    <row r="27" spans="1:8" s="26" customFormat="1" ht="17.100000000000001" customHeight="1" x14ac:dyDescent="0.25">
      <c r="A27" s="51"/>
      <c r="B27" s="39" t="s">
        <v>12</v>
      </c>
      <c r="C27" s="33"/>
      <c r="D27" s="33"/>
      <c r="E27" s="34"/>
      <c r="F27" s="33"/>
      <c r="G27" s="33"/>
      <c r="H27" s="32"/>
    </row>
    <row r="28" spans="1:8" s="26" customFormat="1" ht="17.100000000000001" customHeight="1" x14ac:dyDescent="0.25">
      <c r="A28" s="51" t="s">
        <v>18</v>
      </c>
      <c r="B28" s="50"/>
      <c r="C28" s="33"/>
      <c r="D28" s="33"/>
      <c r="E28" s="34">
        <f>C28+D28</f>
        <v>0</v>
      </c>
      <c r="F28" s="33"/>
      <c r="G28" s="33"/>
      <c r="H28" s="32">
        <f>G28-C28</f>
        <v>0</v>
      </c>
    </row>
    <row r="29" spans="1:8" s="26" customFormat="1" x14ac:dyDescent="0.25">
      <c r="A29" s="46" t="s">
        <v>17</v>
      </c>
      <c r="B29" s="45"/>
      <c r="C29" s="33"/>
      <c r="D29" s="33"/>
      <c r="E29" s="34">
        <f>C29+D29</f>
        <v>0</v>
      </c>
      <c r="F29" s="33"/>
      <c r="G29" s="33"/>
      <c r="H29" s="32">
        <f>G29-C29</f>
        <v>0</v>
      </c>
    </row>
    <row r="30" spans="1:8" s="26" customFormat="1" ht="17.100000000000001" customHeight="1" x14ac:dyDescent="0.25">
      <c r="A30" s="46" t="s">
        <v>11</v>
      </c>
      <c r="B30" s="45"/>
      <c r="C30" s="33"/>
      <c r="D30" s="33"/>
      <c r="E30" s="34">
        <f>C30+D30</f>
        <v>0</v>
      </c>
      <c r="F30" s="33"/>
      <c r="G30" s="33"/>
      <c r="H30" s="32">
        <f>G30-C30</f>
        <v>0</v>
      </c>
    </row>
    <row r="31" spans="1:8" ht="17.100000000000001" customHeight="1" x14ac:dyDescent="0.25">
      <c r="A31" s="46" t="s">
        <v>16</v>
      </c>
      <c r="B31" s="45" t="s">
        <v>15</v>
      </c>
      <c r="C31" s="49"/>
      <c r="D31" s="49"/>
      <c r="E31" s="34">
        <f>C31+D31</f>
        <v>0</v>
      </c>
      <c r="F31" s="49"/>
      <c r="G31" s="49"/>
      <c r="H31" s="32">
        <f>G31-C31</f>
        <v>0</v>
      </c>
    </row>
    <row r="32" spans="1:8" s="26" customFormat="1" ht="51" customHeight="1" x14ac:dyDescent="0.25">
      <c r="A32" s="48"/>
      <c r="B32" s="47" t="s">
        <v>14</v>
      </c>
      <c r="C32" s="33">
        <v>145105319</v>
      </c>
      <c r="D32" s="33">
        <v>70792021.099999994</v>
      </c>
      <c r="E32" s="34">
        <f>C32+D32</f>
        <v>215897340.09999999</v>
      </c>
      <c r="F32" s="33">
        <v>130721787.08</v>
      </c>
      <c r="G32" s="33">
        <v>130721787.08</v>
      </c>
      <c r="H32" s="32">
        <f>G32-C32</f>
        <v>-14383531.920000002</v>
      </c>
    </row>
    <row r="33" spans="1:8" s="26" customFormat="1" ht="27.75" customHeight="1" x14ac:dyDescent="0.25">
      <c r="A33" s="46" t="s">
        <v>9</v>
      </c>
      <c r="B33" s="45"/>
      <c r="C33" s="33"/>
      <c r="D33" s="33"/>
      <c r="E33" s="34">
        <f>C33+D33</f>
        <v>0</v>
      </c>
      <c r="F33" s="33"/>
      <c r="G33" s="33"/>
      <c r="H33" s="32">
        <f>G33-C33</f>
        <v>0</v>
      </c>
    </row>
    <row r="34" spans="1:8" s="26" customFormat="1" ht="8.25" customHeight="1" x14ac:dyDescent="0.25">
      <c r="A34" s="36"/>
      <c r="B34" s="38"/>
      <c r="C34" s="33"/>
      <c r="D34" s="33"/>
      <c r="E34" s="34"/>
      <c r="F34" s="33"/>
      <c r="G34" s="33"/>
      <c r="H34" s="32"/>
    </row>
    <row r="35" spans="1:8" s="26" customFormat="1" ht="66.75" customHeight="1" x14ac:dyDescent="0.25">
      <c r="A35" s="44" t="s">
        <v>13</v>
      </c>
      <c r="B35" s="43"/>
      <c r="C35" s="37">
        <f>SUM(C36:C39)</f>
        <v>643175582.10000002</v>
      </c>
      <c r="D35" s="37">
        <f>SUM(D36:D39)</f>
        <v>91397005.75999999</v>
      </c>
      <c r="E35" s="37">
        <f>SUM(E36:E39)</f>
        <v>734572587.86000001</v>
      </c>
      <c r="F35" s="37">
        <f>SUM(F36:F39)</f>
        <v>541292882.4000001</v>
      </c>
      <c r="G35" s="37">
        <f>SUM(G36:G39)</f>
        <v>468562468.85000002</v>
      </c>
      <c r="H35" s="37">
        <f>SUM(H36:H39)</f>
        <v>-174613113.25</v>
      </c>
    </row>
    <row r="36" spans="1:8" s="26" customFormat="1" ht="17.100000000000001" customHeight="1" x14ac:dyDescent="0.25">
      <c r="A36" s="40"/>
      <c r="B36" s="39" t="s">
        <v>12</v>
      </c>
      <c r="C36" s="33">
        <v>0</v>
      </c>
      <c r="D36" s="33"/>
      <c r="E36" s="34">
        <f>C36+D36</f>
        <v>0</v>
      </c>
      <c r="F36" s="33"/>
      <c r="G36" s="33"/>
      <c r="H36" s="32">
        <f>G36-C36</f>
        <v>0</v>
      </c>
    </row>
    <row r="37" spans="1:8" s="26" customFormat="1" ht="17.100000000000001" customHeight="1" x14ac:dyDescent="0.25">
      <c r="A37" s="40"/>
      <c r="B37" s="39" t="s">
        <v>11</v>
      </c>
      <c r="C37" s="33">
        <v>0</v>
      </c>
      <c r="D37" s="33">
        <v>692260.99</v>
      </c>
      <c r="E37" s="34">
        <f>C37+D37</f>
        <v>692260.99</v>
      </c>
      <c r="F37" s="33">
        <v>692260.99</v>
      </c>
      <c r="G37" s="33">
        <v>692260.99</v>
      </c>
      <c r="H37" s="32">
        <f>G37-C37</f>
        <v>692260.99</v>
      </c>
    </row>
    <row r="38" spans="1:8" s="26" customFormat="1" ht="30.75" customHeight="1" x14ac:dyDescent="0.25">
      <c r="A38" s="40"/>
      <c r="B38" s="42" t="s">
        <v>10</v>
      </c>
      <c r="C38" s="33">
        <v>268433236</v>
      </c>
      <c r="D38" s="33">
        <v>13256670.880000001</v>
      </c>
      <c r="E38" s="34">
        <f>C38+D38</f>
        <v>281689906.88</v>
      </c>
      <c r="F38" s="33">
        <v>258003107.56999999</v>
      </c>
      <c r="G38" s="33">
        <v>185272694.01999998</v>
      </c>
      <c r="H38" s="32">
        <f>G38-C38</f>
        <v>-83160541.980000019</v>
      </c>
    </row>
    <row r="39" spans="1:8" s="26" customFormat="1" ht="29.25" customHeight="1" x14ac:dyDescent="0.25">
      <c r="A39" s="40"/>
      <c r="B39" s="41" t="s">
        <v>9</v>
      </c>
      <c r="C39" s="33">
        <v>374742346.10000002</v>
      </c>
      <c r="D39" s="33">
        <v>77448073.889999986</v>
      </c>
      <c r="E39" s="34">
        <f>C39+D39</f>
        <v>452190419.99000001</v>
      </c>
      <c r="F39" s="33">
        <v>282597513.84000003</v>
      </c>
      <c r="G39" s="33">
        <v>282597513.84000003</v>
      </c>
      <c r="H39" s="32">
        <f>G39-C39</f>
        <v>-92144832.25999999</v>
      </c>
    </row>
    <row r="40" spans="1:8" s="26" customFormat="1" ht="6" customHeight="1" x14ac:dyDescent="0.25">
      <c r="A40" s="40"/>
      <c r="B40" s="39"/>
      <c r="C40" s="33"/>
      <c r="D40" s="33"/>
      <c r="E40" s="34"/>
      <c r="F40" s="33"/>
      <c r="G40" s="33"/>
      <c r="H40" s="32"/>
    </row>
    <row r="41" spans="1:8" s="26" customFormat="1" ht="17.100000000000001" customHeight="1" x14ac:dyDescent="0.25">
      <c r="A41" s="36" t="s">
        <v>8</v>
      </c>
      <c r="B41" s="38"/>
      <c r="C41" s="37">
        <f>C42</f>
        <v>0</v>
      </c>
      <c r="D41" s="37">
        <f>D42</f>
        <v>0</v>
      </c>
      <c r="E41" s="37">
        <f>E42</f>
        <v>0</v>
      </c>
      <c r="F41" s="37">
        <f>F42</f>
        <v>0</v>
      </c>
      <c r="G41" s="37">
        <f>G42</f>
        <v>0</v>
      </c>
      <c r="H41" s="37">
        <f>H42</f>
        <v>0</v>
      </c>
    </row>
    <row r="42" spans="1:8" s="26" customFormat="1" ht="17.100000000000001" customHeight="1" x14ac:dyDescent="0.25">
      <c r="A42" s="36"/>
      <c r="B42" s="35" t="s">
        <v>7</v>
      </c>
      <c r="C42" s="33">
        <v>0</v>
      </c>
      <c r="D42" s="33"/>
      <c r="E42" s="34">
        <f>C42+D42</f>
        <v>0</v>
      </c>
      <c r="F42" s="33"/>
      <c r="G42" s="33"/>
      <c r="H42" s="32">
        <f>G42-C42</f>
        <v>0</v>
      </c>
    </row>
    <row r="43" spans="1:8" s="26" customFormat="1" ht="12.75" customHeight="1" thickBot="1" x14ac:dyDescent="0.3">
      <c r="A43" s="31"/>
      <c r="B43" s="30"/>
      <c r="C43" s="28"/>
      <c r="D43" s="28"/>
      <c r="E43" s="29"/>
      <c r="F43" s="28"/>
      <c r="G43" s="28"/>
      <c r="H43" s="27"/>
    </row>
    <row r="44" spans="1:8" ht="21.75" customHeight="1" thickBot="1" x14ac:dyDescent="0.3">
      <c r="A44" s="25" t="s">
        <v>6</v>
      </c>
      <c r="B44" s="24"/>
      <c r="C44" s="23">
        <f>C25+C35+C41</f>
        <v>788280901.10000002</v>
      </c>
      <c r="D44" s="23">
        <f>D25+D35+D41</f>
        <v>162189026.85999998</v>
      </c>
      <c r="E44" s="23">
        <f>E25+E35+E41</f>
        <v>950469927.96000004</v>
      </c>
      <c r="F44" s="23">
        <f>F25+F35+F41</f>
        <v>672014669.48000014</v>
      </c>
      <c r="G44" s="23">
        <f>G25+G35+G41</f>
        <v>599284255.93000007</v>
      </c>
      <c r="H44" s="23">
        <f>H25+H35+H41</f>
        <v>-188996645.17000002</v>
      </c>
    </row>
    <row r="45" spans="1:8" ht="23.25" customHeight="1" thickBot="1" x14ac:dyDescent="0.3">
      <c r="A45" s="22"/>
      <c r="B45" s="22"/>
      <c r="C45" s="21"/>
      <c r="D45" s="21"/>
      <c r="E45" s="21"/>
      <c r="F45" s="20"/>
      <c r="G45" s="19" t="s">
        <v>5</v>
      </c>
      <c r="H45" s="18" t="str">
        <f>IF(($G$44-$C$44)&lt;=0,"",$G$44-$C$44)</f>
        <v/>
      </c>
    </row>
    <row r="46" spans="1:8" ht="23.25" customHeight="1" x14ac:dyDescent="0.25">
      <c r="A46" s="11"/>
      <c r="B46" s="11"/>
      <c r="C46" s="10"/>
      <c r="D46" s="10"/>
      <c r="E46" s="10"/>
      <c r="F46" s="9"/>
      <c r="G46" s="8"/>
      <c r="H46" s="8"/>
    </row>
    <row r="47" spans="1:8" ht="23.25" customHeight="1" x14ac:dyDescent="0.25">
      <c r="A47" s="11"/>
      <c r="B47" s="11"/>
      <c r="C47" s="10"/>
      <c r="D47" s="10"/>
      <c r="E47" s="10"/>
      <c r="F47" s="9"/>
      <c r="G47" s="8"/>
      <c r="H47" s="8"/>
    </row>
    <row r="48" spans="1:8" ht="23.25" customHeight="1" x14ac:dyDescent="0.25">
      <c r="A48" s="11"/>
      <c r="B48" s="11"/>
      <c r="C48" s="10"/>
      <c r="D48" s="10"/>
      <c r="E48" s="10"/>
      <c r="F48" s="9"/>
      <c r="G48" s="8"/>
      <c r="H48" s="8"/>
    </row>
    <row r="49" spans="1:8" s="12" customFormat="1" ht="15.75" customHeight="1" x14ac:dyDescent="0.25">
      <c r="A49" s="14"/>
      <c r="B49" s="17" t="s">
        <v>4</v>
      </c>
      <c r="C49" s="16"/>
      <c r="D49" s="16"/>
      <c r="E49" s="16"/>
      <c r="F49" s="16"/>
      <c r="G49" s="15"/>
      <c r="H49" s="15"/>
    </row>
    <row r="50" spans="1:8" s="12" customFormat="1" ht="12.75" customHeight="1" x14ac:dyDescent="0.25">
      <c r="A50" s="14"/>
      <c r="B50" s="17" t="s">
        <v>3</v>
      </c>
      <c r="C50" s="16"/>
      <c r="D50" s="16"/>
      <c r="E50" s="16"/>
      <c r="F50" s="16"/>
      <c r="G50" s="15"/>
      <c r="H50" s="15"/>
    </row>
    <row r="51" spans="1:8" s="12" customFormat="1" ht="26.25" customHeight="1" x14ac:dyDescent="0.25">
      <c r="A51" s="14"/>
      <c r="B51" s="13" t="s">
        <v>2</v>
      </c>
      <c r="C51" s="13"/>
      <c r="D51" s="13"/>
      <c r="E51" s="13"/>
      <c r="F51" s="13"/>
      <c r="G51" s="13"/>
      <c r="H51" s="13"/>
    </row>
    <row r="52" spans="1:8" ht="23.25" customHeight="1" x14ac:dyDescent="0.25">
      <c r="A52" s="11"/>
      <c r="B52" s="11"/>
      <c r="C52" s="10"/>
      <c r="D52" s="10"/>
      <c r="E52" s="10"/>
      <c r="F52" s="9"/>
      <c r="G52" s="8"/>
      <c r="H52" s="8"/>
    </row>
    <row r="53" spans="1:8" ht="8.25" customHeight="1" x14ac:dyDescent="0.25">
      <c r="A53" s="7"/>
      <c r="B53" s="1"/>
    </row>
    <row r="54" spans="1:8" x14ac:dyDescent="0.25">
      <c r="B54" s="1"/>
      <c r="H54" s="6"/>
    </row>
    <row r="55" spans="1:8" x14ac:dyDescent="0.25">
      <c r="A55" s="5"/>
      <c r="B55" s="4" t="s">
        <v>1</v>
      </c>
      <c r="C55" s="3"/>
      <c r="D55" s="3"/>
      <c r="E55" s="3"/>
      <c r="F55" s="3"/>
      <c r="G55" s="3"/>
      <c r="H55" s="3"/>
    </row>
    <row r="56" spans="1:8" x14ac:dyDescent="0.25">
      <c r="A56" s="5"/>
      <c r="B56" s="4" t="s">
        <v>0</v>
      </c>
      <c r="C56" s="3"/>
      <c r="D56" s="3"/>
      <c r="E56" s="3"/>
      <c r="F56" s="3"/>
      <c r="G56" s="3"/>
      <c r="H56" s="3"/>
    </row>
    <row r="57" spans="1:8" x14ac:dyDescent="0.25">
      <c r="A57" s="5"/>
      <c r="B57" s="4"/>
      <c r="C57" s="3"/>
      <c r="D57" s="3"/>
      <c r="E57" s="3"/>
      <c r="F57" s="3"/>
      <c r="G57" s="3"/>
      <c r="H57" s="3"/>
    </row>
  </sheetData>
  <sheetProtection formatColumns="0" formatRows="0" insertHyperlinks="0"/>
  <mergeCells count="17">
    <mergeCell ref="A30:B30"/>
    <mergeCell ref="A1:H1"/>
    <mergeCell ref="A2:H2"/>
    <mergeCell ref="A3:H3"/>
    <mergeCell ref="C4:F4"/>
    <mergeCell ref="C5:G5"/>
    <mergeCell ref="A5:B7"/>
    <mergeCell ref="B51:H51"/>
    <mergeCell ref="A44:B44"/>
    <mergeCell ref="A35:B35"/>
    <mergeCell ref="A22:B24"/>
    <mergeCell ref="A19:B19"/>
    <mergeCell ref="A29:B29"/>
    <mergeCell ref="A31:B31"/>
    <mergeCell ref="A33:B33"/>
    <mergeCell ref="C22:G22"/>
    <mergeCell ref="A25:B25"/>
  </mergeCells>
  <printOptions horizontalCentered="1"/>
  <pageMargins left="0.39370078740157483" right="0.39370078740157483" top="0.39370078740157483" bottom="0.51181102362204722" header="0.31496062992125984" footer="0.31496062992125984"/>
  <pageSetup scale="88" fitToHeight="2" orientation="landscape" r:id="rId1"/>
  <rowBreaks count="1" manualBreakCount="1">
    <brk id="21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AFBF-C5CE-44F1-921B-70DA837A2CAB}">
  <sheetPr>
    <pageSetUpPr fitToPage="1"/>
  </sheetPr>
  <dimension ref="A1:H30"/>
  <sheetViews>
    <sheetView view="pageBreakPreview" zoomScaleSheetLayoutView="100" workbookViewId="0">
      <selection activeCell="G19" sqref="G19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7" x14ac:dyDescent="0.25">
      <c r="A1" s="383" t="str">
        <f>'[1]ETCA-I-01'!A1:G1</f>
        <v xml:space="preserve">Comision Estatal del Agua </v>
      </c>
      <c r="B1" s="383"/>
      <c r="C1" s="383"/>
      <c r="D1" s="383"/>
      <c r="E1" s="383"/>
      <c r="F1" s="383"/>
      <c r="G1" s="383"/>
    </row>
    <row r="2" spans="1:7" x14ac:dyDescent="0.25">
      <c r="A2" s="383" t="s">
        <v>213</v>
      </c>
      <c r="B2" s="383"/>
      <c r="C2" s="383"/>
      <c r="D2" s="383"/>
      <c r="E2" s="383"/>
      <c r="F2" s="383"/>
      <c r="G2" s="383"/>
    </row>
    <row r="3" spans="1:7" x14ac:dyDescent="0.25">
      <c r="A3" s="383" t="s">
        <v>355</v>
      </c>
      <c r="B3" s="383"/>
      <c r="C3" s="383"/>
      <c r="D3" s="383"/>
      <c r="E3" s="383"/>
      <c r="F3" s="383"/>
      <c r="G3" s="383"/>
    </row>
    <row r="4" spans="1:7" x14ac:dyDescent="0.25">
      <c r="A4" s="105" t="str">
        <f>'[1]ETCA-I-03'!A3:D3</f>
        <v>Del 01 de Enero  al 31 de Diciembre de 2021</v>
      </c>
      <c r="B4" s="105"/>
      <c r="C4" s="105"/>
      <c r="D4" s="105"/>
      <c r="E4" s="105"/>
      <c r="F4" s="105"/>
      <c r="G4" s="105"/>
    </row>
    <row r="5" spans="1:7" ht="17.25" thickBot="1" x14ac:dyDescent="0.3">
      <c r="A5" s="254" t="s">
        <v>354</v>
      </c>
      <c r="B5" s="254"/>
      <c r="C5" s="254"/>
      <c r="D5" s="254"/>
      <c r="E5" s="254"/>
      <c r="F5" s="100"/>
      <c r="G5" s="382"/>
    </row>
    <row r="6" spans="1:7" s="175" customFormat="1" ht="40.5" x14ac:dyDescent="0.25">
      <c r="A6" s="397" t="s">
        <v>111</v>
      </c>
      <c r="B6" s="396" t="s">
        <v>209</v>
      </c>
      <c r="C6" s="396" t="s">
        <v>109</v>
      </c>
      <c r="D6" s="396" t="s">
        <v>208</v>
      </c>
      <c r="E6" s="396" t="s">
        <v>207</v>
      </c>
      <c r="F6" s="396" t="s">
        <v>206</v>
      </c>
      <c r="G6" s="395" t="s">
        <v>205</v>
      </c>
    </row>
    <row r="7" spans="1:7" s="175" customFormat="1" ht="15.75" customHeight="1" thickBot="1" x14ac:dyDescent="0.3">
      <c r="A7" s="394"/>
      <c r="B7" s="338" t="s">
        <v>26</v>
      </c>
      <c r="C7" s="338" t="s">
        <v>25</v>
      </c>
      <c r="D7" s="338" t="s">
        <v>204</v>
      </c>
      <c r="E7" s="338" t="s">
        <v>23</v>
      </c>
      <c r="F7" s="338" t="s">
        <v>22</v>
      </c>
      <c r="G7" s="337" t="s">
        <v>203</v>
      </c>
    </row>
    <row r="8" spans="1:7" x14ac:dyDescent="0.25">
      <c r="A8" s="393"/>
      <c r="B8" s="391"/>
      <c r="C8" s="391"/>
      <c r="D8" s="392"/>
      <c r="E8" s="391"/>
      <c r="F8" s="391"/>
      <c r="G8" s="390"/>
    </row>
    <row r="9" spans="1:7" ht="25.5" x14ac:dyDescent="0.25">
      <c r="A9" s="389" t="s">
        <v>353</v>
      </c>
      <c r="B9" s="239">
        <v>788280901.10075855</v>
      </c>
      <c r="C9" s="239">
        <v>299229370.54000002</v>
      </c>
      <c r="D9" s="240">
        <f>IF(A9="","",B9+C9)</f>
        <v>1087510271.6407585</v>
      </c>
      <c r="E9" s="239">
        <v>646764162.72000003</v>
      </c>
      <c r="F9" s="239">
        <v>606147018.67000008</v>
      </c>
      <c r="G9" s="238">
        <v>440746108.92075849</v>
      </c>
    </row>
    <row r="10" spans="1:7" ht="8.25" customHeight="1" x14ac:dyDescent="0.25">
      <c r="A10" s="389"/>
      <c r="B10" s="239"/>
      <c r="C10" s="239"/>
      <c r="D10" s="240" t="str">
        <f>IF(A10="","",B10+C10)</f>
        <v/>
      </c>
      <c r="E10" s="239"/>
      <c r="F10" s="239"/>
      <c r="G10" s="238" t="str">
        <f>IF(A10="","",D10-E10)</f>
        <v/>
      </c>
    </row>
    <row r="11" spans="1:7" x14ac:dyDescent="0.25">
      <c r="A11" s="389" t="s">
        <v>352</v>
      </c>
      <c r="B11" s="239"/>
      <c r="C11" s="239"/>
      <c r="D11" s="240">
        <f>IF(A11="","",B11+C11)</f>
        <v>0</v>
      </c>
      <c r="E11" s="239"/>
      <c r="F11" s="239"/>
      <c r="G11" s="238">
        <f>IF(A11="","",D11-E11)</f>
        <v>0</v>
      </c>
    </row>
    <row r="12" spans="1:7" ht="8.25" customHeight="1" x14ac:dyDescent="0.25">
      <c r="A12" s="389"/>
      <c r="B12" s="239"/>
      <c r="C12" s="239"/>
      <c r="D12" s="240" t="str">
        <f>IF(A12="","",B12+C12)</f>
        <v/>
      </c>
      <c r="E12" s="239"/>
      <c r="F12" s="239"/>
      <c r="G12" s="238" t="str">
        <f>IF(A12="","",D12-E12)</f>
        <v/>
      </c>
    </row>
    <row r="13" spans="1:7" ht="25.5" x14ac:dyDescent="0.25">
      <c r="A13" s="389" t="s">
        <v>351</v>
      </c>
      <c r="B13" s="239"/>
      <c r="C13" s="239"/>
      <c r="D13" s="240">
        <f>IF(A13="","",B13+C13)</f>
        <v>0</v>
      </c>
      <c r="E13" s="239"/>
      <c r="F13" s="239"/>
      <c r="G13" s="238">
        <f>IF(A13="","",D13-E13)</f>
        <v>0</v>
      </c>
    </row>
    <row r="14" spans="1:7" ht="8.25" customHeight="1" x14ac:dyDescent="0.25">
      <c r="A14" s="389"/>
      <c r="B14" s="239"/>
      <c r="C14" s="239"/>
      <c r="D14" s="240" t="str">
        <f>IF(A14="","",B14+C14)</f>
        <v/>
      </c>
      <c r="E14" s="239"/>
      <c r="F14" s="239"/>
      <c r="G14" s="238" t="str">
        <f>IF(A14="","",D14-E14)</f>
        <v/>
      </c>
    </row>
    <row r="15" spans="1:7" ht="25.5" x14ac:dyDescent="0.25">
      <c r="A15" s="389" t="s">
        <v>350</v>
      </c>
      <c r="B15" s="239"/>
      <c r="C15" s="239"/>
      <c r="D15" s="240">
        <f>IF(A15="","",B15+C15)</f>
        <v>0</v>
      </c>
      <c r="E15" s="239"/>
      <c r="F15" s="239"/>
      <c r="G15" s="238">
        <f>IF(A15="","",D15-E15)</f>
        <v>0</v>
      </c>
    </row>
    <row r="16" spans="1:7" ht="8.25" customHeight="1" x14ac:dyDescent="0.25">
      <c r="A16" s="389"/>
      <c r="B16" s="239"/>
      <c r="C16" s="239"/>
      <c r="D16" s="240" t="str">
        <f>IF(A16="","",B16+C16)</f>
        <v/>
      </c>
      <c r="E16" s="239"/>
      <c r="F16" s="239"/>
      <c r="G16" s="238" t="str">
        <f>IF(A16="","",D16-E16)</f>
        <v/>
      </c>
    </row>
    <row r="17" spans="1:8" ht="25.5" x14ac:dyDescent="0.25">
      <c r="A17" s="389" t="s">
        <v>349</v>
      </c>
      <c r="B17" s="239"/>
      <c r="C17" s="239"/>
      <c r="D17" s="240">
        <f>IF(A17="","",B17+C17)</f>
        <v>0</v>
      </c>
      <c r="E17" s="239"/>
      <c r="F17" s="239"/>
      <c r="G17" s="238">
        <f>IF(A17="","",D17-E17)</f>
        <v>0</v>
      </c>
    </row>
    <row r="18" spans="1:8" ht="8.25" customHeight="1" x14ac:dyDescent="0.25">
      <c r="A18" s="389"/>
      <c r="B18" s="239"/>
      <c r="C18" s="239"/>
      <c r="D18" s="240" t="str">
        <f>IF(A18="","",B18+C18)</f>
        <v/>
      </c>
      <c r="E18" s="239"/>
      <c r="F18" s="239"/>
      <c r="G18" s="238" t="str">
        <f>IF(A18="","",D18-E18)</f>
        <v/>
      </c>
    </row>
    <row r="19" spans="1:8" ht="25.5" x14ac:dyDescent="0.25">
      <c r="A19" s="389" t="s">
        <v>348</v>
      </c>
      <c r="B19" s="239"/>
      <c r="C19" s="239"/>
      <c r="D19" s="240">
        <f>IF(A19="","",B19+C19)</f>
        <v>0</v>
      </c>
      <c r="E19" s="239"/>
      <c r="F19" s="239"/>
      <c r="G19" s="238">
        <f>IF(A19="","",D19-E19)</f>
        <v>0</v>
      </c>
    </row>
    <row r="20" spans="1:8" ht="8.25" customHeight="1" x14ac:dyDescent="0.25">
      <c r="A20" s="389"/>
      <c r="B20" s="239"/>
      <c r="C20" s="239"/>
      <c r="D20" s="240" t="str">
        <f>IF(A20="","",B20+C20)</f>
        <v/>
      </c>
      <c r="E20" s="239"/>
      <c r="F20" s="239"/>
      <c r="G20" s="238" t="str">
        <f>IF(A20="","",D20-E20)</f>
        <v/>
      </c>
    </row>
    <row r="21" spans="1:8" ht="26.25" thickBot="1" x14ac:dyDescent="0.3">
      <c r="A21" s="389" t="s">
        <v>347</v>
      </c>
      <c r="B21" s="239"/>
      <c r="C21" s="239"/>
      <c r="D21" s="240">
        <f>IF(A21="","",B21+C21)</f>
        <v>0</v>
      </c>
      <c r="E21" s="239"/>
      <c r="F21" s="239"/>
      <c r="G21" s="238">
        <f>IF(A21="","",D21-E21)</f>
        <v>0</v>
      </c>
    </row>
    <row r="22" spans="1:8" ht="24.95" customHeight="1" thickBot="1" x14ac:dyDescent="0.3">
      <c r="A22" s="323" t="s">
        <v>130</v>
      </c>
      <c r="B22" s="232">
        <f>SUM(B9:B21)</f>
        <v>788280901.10075855</v>
      </c>
      <c r="C22" s="232">
        <f>SUM(C9:C21)</f>
        <v>299229370.54000002</v>
      </c>
      <c r="D22" s="232">
        <f>IF(A22="","",B22+C22)</f>
        <v>1087510271.6407585</v>
      </c>
      <c r="E22" s="232">
        <f>SUM(E9:E21)</f>
        <v>646764162.72000003</v>
      </c>
      <c r="F22" s="232">
        <f>SUM(F9:F21)</f>
        <v>606147018.67000008</v>
      </c>
      <c r="G22" s="231">
        <f>IF(A22="","",D22-E22)</f>
        <v>440746108.92075849</v>
      </c>
      <c r="H22" s="107" t="str">
        <f>IF((B22-'ETCA II-04'!B80)&gt;0.9,"ERROR!!!!! EL MONTO NO COINCIDE CON LO REPORTADO EN EL FORMATO ETCA-II-04 EN EL TOTAL APROBADO ANUAL DEL ANALÍTICO DE EGRESOS","")</f>
        <v/>
      </c>
    </row>
    <row r="23" spans="1:8" ht="24.95" customHeight="1" x14ac:dyDescent="0.25">
      <c r="A23" s="388"/>
      <c r="B23" s="387"/>
      <c r="C23" s="387"/>
      <c r="D23" s="387"/>
      <c r="E23" s="387"/>
      <c r="F23" s="387"/>
      <c r="G23" s="387"/>
      <c r="H23" s="107" t="str">
        <f>IF((C22-'ETCA II-04'!C80)&gt;0.9,"ERROR!!!!! EL MONTO NO COINCIDE CON LO REPORTADO EN EL FORMATO ETCA-II-04 EN EL TOTAL APROBADO ANUAL DEL ANALÍTICO DE EGRESOS","")</f>
        <v/>
      </c>
    </row>
    <row r="24" spans="1:8" ht="24.95" customHeight="1" x14ac:dyDescent="0.25">
      <c r="A24" s="384"/>
      <c r="B24" s="229"/>
      <c r="C24" s="229"/>
      <c r="D24" s="229"/>
      <c r="E24" s="229"/>
      <c r="F24" s="229"/>
      <c r="G24" s="229"/>
      <c r="H24" s="107" t="str">
        <f>IF((D22-'ETCA II-04'!D80)&gt;0.9,"ERROR!!!!! EL MONTO NO COINCIDE CON LO REPORTADO EN EL FORMATO ETCA-II-04 EN EL TOTAL APROBADO ANUAL DEL ANALÍTICO DE EGRESOS","")</f>
        <v/>
      </c>
    </row>
    <row r="25" spans="1:8" ht="24.95" customHeight="1" x14ac:dyDescent="0.25">
      <c r="A25" s="88"/>
      <c r="B25" s="386"/>
      <c r="C25" s="386"/>
      <c r="D25" s="385"/>
      <c r="E25" s="386"/>
      <c r="F25" s="386"/>
      <c r="G25" s="385"/>
      <c r="H25" s="107" t="str">
        <f>IF((E22-'ETCA II-04'!E80)&gt;0.9,"ERROR!!!!! EL MONTO NO COINCIDE CON LO REPORTADO EN EL FORMATO ETCA-II-04 EN EL TOTAL APROBADO ANUAL DEL ANALÍTICO DE EGRESOS","")</f>
        <v/>
      </c>
    </row>
    <row r="26" spans="1:8" ht="24.95" customHeight="1" x14ac:dyDescent="0.25">
      <c r="A26" s="88"/>
      <c r="B26" s="386"/>
      <c r="C26" s="386"/>
      <c r="D26" s="385"/>
      <c r="E26" s="386"/>
      <c r="F26" s="386"/>
      <c r="G26" s="385"/>
      <c r="H26" s="107" t="str">
        <f>IF((F22-'ETCA II-04'!F80)&gt;0.9,"ERROR!!!!! EL MONTO NO COINCIDE CON LO REPORTADO EN EL FORMATO ETCA-II-04 EN EL TOTAL APROBADO ANUAL DEL ANALÍTICO DE EGRESOS","")</f>
        <v/>
      </c>
    </row>
    <row r="27" spans="1:8" ht="25.5" customHeight="1" x14ac:dyDescent="0.25">
      <c r="A27" s="384"/>
      <c r="B27" s="229"/>
      <c r="C27" s="229"/>
      <c r="D27" s="229"/>
      <c r="E27" s="229"/>
      <c r="F27" s="229"/>
      <c r="G27" s="229"/>
      <c r="H27" s="107" t="str">
        <f>IF((G22-'ETCA II-04'!G80)&gt;0.9,"ERROR!!!!! EL MONTO NO COINCIDE CON LO REPORTADO EN EL FORMATO ETCA-II-04 EN EL TOTAL APROBADO ANUAL DEL ANALÍTICO DE EGRESOS","")</f>
        <v/>
      </c>
    </row>
    <row r="29" spans="1:8" x14ac:dyDescent="0.25">
      <c r="F29" s="340"/>
    </row>
    <row r="30" spans="1:8" x14ac:dyDescent="0.25">
      <c r="F30" s="340"/>
    </row>
  </sheetData>
  <sheetProtection formatColumns="0" formatRows="0" insertHyperlinks="0"/>
  <mergeCells count="6">
    <mergeCell ref="A6:A7"/>
    <mergeCell ref="A1:G1"/>
    <mergeCell ref="A2:G2"/>
    <mergeCell ref="A3:G3"/>
    <mergeCell ref="A4:G4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BC3F-46BB-48DA-9857-7268D86F9F3A}">
  <dimension ref="A1:H48"/>
  <sheetViews>
    <sheetView view="pageBreakPreview" zoomScale="90" zoomScaleSheetLayoutView="90" workbookViewId="0">
      <selection activeCell="G19" sqref="G19"/>
    </sheetView>
  </sheetViews>
  <sheetFormatPr baseColWidth="10" defaultRowHeight="15" x14ac:dyDescent="0.25"/>
  <cols>
    <col min="1" max="1" width="35.7109375" customWidth="1"/>
    <col min="6" max="6" width="11.85546875" customWidth="1"/>
  </cols>
  <sheetData>
    <row r="1" spans="1:7" ht="16.5" x14ac:dyDescent="0.25">
      <c r="A1" s="383" t="str">
        <f>'[1]ETCA-I-01'!A1:G1</f>
        <v xml:space="preserve">Comision Estatal del Agua </v>
      </c>
      <c r="B1" s="383"/>
      <c r="C1" s="383"/>
      <c r="D1" s="383"/>
      <c r="E1" s="383"/>
      <c r="F1" s="383"/>
      <c r="G1" s="383"/>
    </row>
    <row r="2" spans="1:7" ht="16.5" x14ac:dyDescent="0.25">
      <c r="A2" s="383" t="s">
        <v>213</v>
      </c>
      <c r="B2" s="383"/>
      <c r="C2" s="383"/>
      <c r="D2" s="383"/>
      <c r="E2" s="383"/>
      <c r="F2" s="383"/>
      <c r="G2" s="383"/>
    </row>
    <row r="3" spans="1:7" ht="16.5" x14ac:dyDescent="0.25">
      <c r="A3" s="383" t="s">
        <v>387</v>
      </c>
      <c r="B3" s="383"/>
      <c r="C3" s="383"/>
      <c r="D3" s="383"/>
      <c r="E3" s="383"/>
      <c r="F3" s="383"/>
      <c r="G3" s="383"/>
    </row>
    <row r="4" spans="1:7" ht="16.5" x14ac:dyDescent="0.25">
      <c r="A4" s="105" t="str">
        <f>'[1]ETCA-I-03'!A3:D3</f>
        <v>Del 01 de Enero  al 31 de Diciembre de 2021</v>
      </c>
      <c r="B4" s="105"/>
      <c r="C4" s="105"/>
      <c r="D4" s="105"/>
      <c r="E4" s="105"/>
      <c r="F4" s="105"/>
      <c r="G4" s="105"/>
    </row>
    <row r="5" spans="1:7" ht="17.25" thickBot="1" x14ac:dyDescent="0.3">
      <c r="A5" s="103"/>
      <c r="B5" s="414"/>
      <c r="C5" s="414"/>
      <c r="D5" s="414"/>
      <c r="E5" s="414"/>
      <c r="F5" s="413"/>
      <c r="G5" s="412"/>
    </row>
    <row r="6" spans="1:7" ht="40.5" x14ac:dyDescent="0.25">
      <c r="A6" s="397" t="s">
        <v>111</v>
      </c>
      <c r="B6" s="411" t="s">
        <v>209</v>
      </c>
      <c r="C6" s="411" t="s">
        <v>109</v>
      </c>
      <c r="D6" s="411" t="s">
        <v>208</v>
      </c>
      <c r="E6" s="411" t="s">
        <v>207</v>
      </c>
      <c r="F6" s="411" t="s">
        <v>206</v>
      </c>
      <c r="G6" s="410" t="s">
        <v>205</v>
      </c>
    </row>
    <row r="7" spans="1:7" ht="15.75" thickBot="1" x14ac:dyDescent="0.3">
      <c r="A7" s="394"/>
      <c r="B7" s="409" t="s">
        <v>26</v>
      </c>
      <c r="C7" s="409" t="s">
        <v>25</v>
      </c>
      <c r="D7" s="409" t="s">
        <v>204</v>
      </c>
      <c r="E7" s="409" t="s">
        <v>23</v>
      </c>
      <c r="F7" s="409" t="s">
        <v>22</v>
      </c>
      <c r="G7" s="408" t="s">
        <v>203</v>
      </c>
    </row>
    <row r="8" spans="1:7" ht="16.5" x14ac:dyDescent="0.25">
      <c r="A8" s="407"/>
      <c r="B8" s="406"/>
      <c r="C8" s="406"/>
      <c r="D8" s="406"/>
      <c r="E8" s="406"/>
      <c r="F8" s="406"/>
      <c r="G8" s="405"/>
    </row>
    <row r="9" spans="1:7" x14ac:dyDescent="0.25">
      <c r="A9" s="404" t="s">
        <v>386</v>
      </c>
      <c r="B9" s="403">
        <f>SUM(B10:B17)</f>
        <v>0</v>
      </c>
      <c r="C9" s="403">
        <f>SUM(C10:C17)</f>
        <v>0</v>
      </c>
      <c r="D9" s="403">
        <f>IF(A9="","",B9+C9)</f>
        <v>0</v>
      </c>
      <c r="E9" s="403">
        <f>SUM(E10:E17)</f>
        <v>0</v>
      </c>
      <c r="F9" s="403">
        <f>SUM(F10:F17)</f>
        <v>0</v>
      </c>
      <c r="G9" s="402">
        <f>IF(A9="","",D9-E9)</f>
        <v>0</v>
      </c>
    </row>
    <row r="10" spans="1:7" x14ac:dyDescent="0.25">
      <c r="A10" s="315" t="s">
        <v>385</v>
      </c>
      <c r="B10" s="239"/>
      <c r="C10" s="239"/>
      <c r="D10" s="240">
        <f>IF(A10="","",B10+C10)</f>
        <v>0</v>
      </c>
      <c r="E10" s="239"/>
      <c r="F10" s="239"/>
      <c r="G10" s="238">
        <f>IF(A10="","",D10-E10)</f>
        <v>0</v>
      </c>
    </row>
    <row r="11" spans="1:7" x14ac:dyDescent="0.25">
      <c r="A11" s="315" t="s">
        <v>384</v>
      </c>
      <c r="B11" s="239"/>
      <c r="C11" s="239"/>
      <c r="D11" s="240">
        <f>IF(A11="","",B11+C11)</f>
        <v>0</v>
      </c>
      <c r="E11" s="239"/>
      <c r="F11" s="239"/>
      <c r="G11" s="238">
        <f>IF(A11="","",D11-E11)</f>
        <v>0</v>
      </c>
    </row>
    <row r="12" spans="1:7" x14ac:dyDescent="0.25">
      <c r="A12" s="315" t="s">
        <v>383</v>
      </c>
      <c r="B12" s="239"/>
      <c r="C12" s="239"/>
      <c r="D12" s="240">
        <f>IF(A12="","",B12+C12)</f>
        <v>0</v>
      </c>
      <c r="E12" s="239"/>
      <c r="F12" s="239"/>
      <c r="G12" s="238">
        <f>IF(A12="","",D12-E12)</f>
        <v>0</v>
      </c>
    </row>
    <row r="13" spans="1:7" x14ac:dyDescent="0.25">
      <c r="A13" s="315" t="s">
        <v>382</v>
      </c>
      <c r="B13" s="239"/>
      <c r="C13" s="239"/>
      <c r="D13" s="240">
        <f>IF(A13="","",B13+C13)</f>
        <v>0</v>
      </c>
      <c r="E13" s="239"/>
      <c r="F13" s="239"/>
      <c r="G13" s="238">
        <f>IF(A13="","",D13-E13)</f>
        <v>0</v>
      </c>
    </row>
    <row r="14" spans="1:7" x14ac:dyDescent="0.25">
      <c r="A14" s="315" t="s">
        <v>381</v>
      </c>
      <c r="B14" s="239"/>
      <c r="C14" s="239"/>
      <c r="D14" s="240">
        <f>IF(A14="","",B14+C14)</f>
        <v>0</v>
      </c>
      <c r="E14" s="239"/>
      <c r="F14" s="239"/>
      <c r="G14" s="238">
        <f>IF(A14="","",D14-E14)</f>
        <v>0</v>
      </c>
    </row>
    <row r="15" spans="1:7" x14ac:dyDescent="0.25">
      <c r="A15" s="315" t="s">
        <v>380</v>
      </c>
      <c r="B15" s="239"/>
      <c r="C15" s="239"/>
      <c r="D15" s="240">
        <f>IF(A15="","",B15+C15)</f>
        <v>0</v>
      </c>
      <c r="E15" s="239"/>
      <c r="F15" s="239"/>
      <c r="G15" s="238">
        <f>IF(A15="","",D15-E15)</f>
        <v>0</v>
      </c>
    </row>
    <row r="16" spans="1:7" x14ac:dyDescent="0.25">
      <c r="A16" s="315" t="s">
        <v>379</v>
      </c>
      <c r="B16" s="239"/>
      <c r="C16" s="239"/>
      <c r="D16" s="240">
        <f>IF(A16="","",B16+C16)</f>
        <v>0</v>
      </c>
      <c r="E16" s="239"/>
      <c r="F16" s="239"/>
      <c r="G16" s="238">
        <f>IF(A16="","",D16-E16)</f>
        <v>0</v>
      </c>
    </row>
    <row r="17" spans="1:7" x14ac:dyDescent="0.25">
      <c r="A17" s="315" t="s">
        <v>175</v>
      </c>
      <c r="B17" s="239"/>
      <c r="C17" s="239"/>
      <c r="D17" s="240">
        <f>IF(A17="","",B17+C17)</f>
        <v>0</v>
      </c>
      <c r="E17" s="239"/>
      <c r="F17" s="239"/>
      <c r="G17" s="238">
        <f>IF(A17="","",D17-E17)</f>
        <v>0</v>
      </c>
    </row>
    <row r="18" spans="1:7" x14ac:dyDescent="0.25">
      <c r="A18" s="393"/>
      <c r="B18" s="239"/>
      <c r="C18" s="239"/>
      <c r="D18" s="240" t="str">
        <f>IF(A18="","",B18+C18)</f>
        <v/>
      </c>
      <c r="E18" s="239"/>
      <c r="F18" s="239"/>
      <c r="G18" s="238" t="str">
        <f>IF(A18="","",D18-E18)</f>
        <v/>
      </c>
    </row>
    <row r="19" spans="1:7" x14ac:dyDescent="0.25">
      <c r="A19" s="404" t="s">
        <v>378</v>
      </c>
      <c r="B19" s="403">
        <f>SUM(B20:B26)</f>
        <v>788280901.10075855</v>
      </c>
      <c r="C19" s="403">
        <f>SUM(C20:C26)</f>
        <v>299229370.54000002</v>
      </c>
      <c r="D19" s="403">
        <f>IF(A19="","",B19+C19)</f>
        <v>1087510271.6407585</v>
      </c>
      <c r="E19" s="403">
        <f>SUM(E20:E26)</f>
        <v>646764162.72000003</v>
      </c>
      <c r="F19" s="403">
        <f>SUM(F20:F26)</f>
        <v>606147018.67000008</v>
      </c>
      <c r="G19" s="402">
        <f>IF(A19="","",D19-E19)</f>
        <v>440746108.92075849</v>
      </c>
    </row>
    <row r="20" spans="1:7" x14ac:dyDescent="0.25">
      <c r="A20" s="315" t="s">
        <v>377</v>
      </c>
      <c r="B20" s="239"/>
      <c r="C20" s="239"/>
      <c r="D20" s="240">
        <f>IF(A20="","",B20+C20)</f>
        <v>0</v>
      </c>
      <c r="E20" s="239"/>
      <c r="F20" s="239"/>
      <c r="G20" s="238">
        <f>IF(A20="","",D20-E20)</f>
        <v>0</v>
      </c>
    </row>
    <row r="21" spans="1:7" x14ac:dyDescent="0.25">
      <c r="A21" s="315" t="s">
        <v>376</v>
      </c>
      <c r="B21" s="239">
        <v>788280901.10075855</v>
      </c>
      <c r="C21" s="239">
        <v>299229370.54000002</v>
      </c>
      <c r="D21" s="240">
        <f>IF(A21="","",B21+C21)</f>
        <v>1087510271.6407585</v>
      </c>
      <c r="E21" s="239">
        <v>646764162.72000003</v>
      </c>
      <c r="F21" s="239">
        <v>606147018.67000008</v>
      </c>
      <c r="G21" s="238">
        <v>440746108.92075849</v>
      </c>
    </row>
    <row r="22" spans="1:7" x14ac:dyDescent="0.25">
      <c r="A22" s="315" t="s">
        <v>375</v>
      </c>
      <c r="B22" s="239"/>
      <c r="C22" s="239"/>
      <c r="D22" s="240">
        <f>IF(A22="","",B22+C22)</f>
        <v>0</v>
      </c>
      <c r="E22" s="239"/>
      <c r="F22" s="239"/>
      <c r="G22" s="238">
        <f>IF(A22="","",D22-E22)</f>
        <v>0</v>
      </c>
    </row>
    <row r="23" spans="1:7" ht="25.5" x14ac:dyDescent="0.25">
      <c r="A23" s="315" t="s">
        <v>374</v>
      </c>
      <c r="B23" s="239"/>
      <c r="C23" s="239"/>
      <c r="D23" s="240">
        <f>IF(A23="","",B23+C23)</f>
        <v>0</v>
      </c>
      <c r="E23" s="239"/>
      <c r="F23" s="239"/>
      <c r="G23" s="238">
        <f>IF(A23="","",D23-E23)</f>
        <v>0</v>
      </c>
    </row>
    <row r="24" spans="1:7" x14ac:dyDescent="0.25">
      <c r="A24" s="315" t="s">
        <v>373</v>
      </c>
      <c r="B24" s="239"/>
      <c r="C24" s="239"/>
      <c r="D24" s="240">
        <f>IF(A24="","",B24+C24)</f>
        <v>0</v>
      </c>
      <c r="E24" s="239"/>
      <c r="F24" s="239"/>
      <c r="G24" s="238">
        <f>IF(A24="","",D24-E24)</f>
        <v>0</v>
      </c>
    </row>
    <row r="25" spans="1:7" x14ac:dyDescent="0.25">
      <c r="A25" s="315" t="s">
        <v>372</v>
      </c>
      <c r="B25" s="239"/>
      <c r="C25" s="239"/>
      <c r="D25" s="240">
        <f>IF(A25="","",B25+C25)</f>
        <v>0</v>
      </c>
      <c r="E25" s="239"/>
      <c r="F25" s="239"/>
      <c r="G25" s="238">
        <f>IF(A25="","",D25-E25)</f>
        <v>0</v>
      </c>
    </row>
    <row r="26" spans="1:7" x14ac:dyDescent="0.25">
      <c r="A26" s="315" t="s">
        <v>371</v>
      </c>
      <c r="B26" s="239"/>
      <c r="C26" s="239"/>
      <c r="D26" s="240">
        <f>IF(A26="","",B26+C26)</f>
        <v>0</v>
      </c>
      <c r="E26" s="239"/>
      <c r="F26" s="239"/>
      <c r="G26" s="238">
        <f>IF(A26="","",D26-E26)</f>
        <v>0</v>
      </c>
    </row>
    <row r="27" spans="1:7" x14ac:dyDescent="0.25">
      <c r="A27" s="393"/>
      <c r="B27" s="239"/>
      <c r="C27" s="239"/>
      <c r="D27" s="240" t="str">
        <f>IF(A27="","",B27+C27)</f>
        <v/>
      </c>
      <c r="E27" s="239"/>
      <c r="F27" s="239"/>
      <c r="G27" s="238" t="str">
        <f>IF(A27="","",D27-E27)</f>
        <v/>
      </c>
    </row>
    <row r="28" spans="1:7" x14ac:dyDescent="0.25">
      <c r="A28" s="404" t="s">
        <v>370</v>
      </c>
      <c r="B28" s="403">
        <f>SUM(B29:B37)</f>
        <v>0</v>
      </c>
      <c r="C28" s="403">
        <f>SUM(C29:C37)</f>
        <v>0</v>
      </c>
      <c r="D28" s="403">
        <f>IF(A28="","",B28+C28)</f>
        <v>0</v>
      </c>
      <c r="E28" s="403">
        <f>SUM(E29:E37)</f>
        <v>0</v>
      </c>
      <c r="F28" s="403">
        <f>SUM(F29:F37)</f>
        <v>0</v>
      </c>
      <c r="G28" s="402">
        <f>IF(A28="","",D28-E28)</f>
        <v>0</v>
      </c>
    </row>
    <row r="29" spans="1:7" ht="25.5" x14ac:dyDescent="0.25">
      <c r="A29" s="315" t="s">
        <v>369</v>
      </c>
      <c r="B29" s="239"/>
      <c r="C29" s="239"/>
      <c r="D29" s="240">
        <f>IF(A29="","",B29+C29)</f>
        <v>0</v>
      </c>
      <c r="E29" s="239"/>
      <c r="F29" s="239"/>
      <c r="G29" s="238">
        <f>IF(A29="","",D29-E29)</f>
        <v>0</v>
      </c>
    </row>
    <row r="30" spans="1:7" x14ac:dyDescent="0.25">
      <c r="A30" s="315" t="s">
        <v>368</v>
      </c>
      <c r="B30" s="239"/>
      <c r="C30" s="239"/>
      <c r="D30" s="240">
        <f>IF(A30="","",B30+C30)</f>
        <v>0</v>
      </c>
      <c r="E30" s="239"/>
      <c r="F30" s="239"/>
      <c r="G30" s="238">
        <f>IF(A30="","",D30-E30)</f>
        <v>0</v>
      </c>
    </row>
    <row r="31" spans="1:7" x14ac:dyDescent="0.25">
      <c r="A31" s="315" t="s">
        <v>367</v>
      </c>
      <c r="B31" s="239"/>
      <c r="C31" s="239"/>
      <c r="D31" s="240">
        <f>IF(A31="","",B31+C31)</f>
        <v>0</v>
      </c>
      <c r="E31" s="239"/>
      <c r="F31" s="239"/>
      <c r="G31" s="238">
        <f>IF(A31="","",D31-E31)</f>
        <v>0</v>
      </c>
    </row>
    <row r="32" spans="1:7" x14ac:dyDescent="0.25">
      <c r="A32" s="315" t="s">
        <v>366</v>
      </c>
      <c r="B32" s="239"/>
      <c r="C32" s="239"/>
      <c r="D32" s="240">
        <f>IF(A32="","",B32+C32)</f>
        <v>0</v>
      </c>
      <c r="E32" s="239"/>
      <c r="F32" s="239"/>
      <c r="G32" s="238">
        <f>IF(A32="","",D32-E32)</f>
        <v>0</v>
      </c>
    </row>
    <row r="33" spans="1:8" x14ac:dyDescent="0.25">
      <c r="A33" s="315" t="s">
        <v>365</v>
      </c>
      <c r="B33" s="239"/>
      <c r="C33" s="239"/>
      <c r="D33" s="240">
        <f>IF(A33="","",B33+C33)</f>
        <v>0</v>
      </c>
      <c r="E33" s="239"/>
      <c r="F33" s="239"/>
      <c r="G33" s="238">
        <f>IF(A33="","",D33-E33)</f>
        <v>0</v>
      </c>
    </row>
    <row r="34" spans="1:8" x14ac:dyDescent="0.25">
      <c r="A34" s="315" t="s">
        <v>364</v>
      </c>
      <c r="B34" s="239"/>
      <c r="C34" s="239"/>
      <c r="D34" s="240">
        <f>IF(A34="","",B34+C34)</f>
        <v>0</v>
      </c>
      <c r="E34" s="239"/>
      <c r="F34" s="239"/>
      <c r="G34" s="238">
        <f>IF(A34="","",D34-E34)</f>
        <v>0</v>
      </c>
    </row>
    <row r="35" spans="1:8" x14ac:dyDescent="0.25">
      <c r="A35" s="315" t="s">
        <v>363</v>
      </c>
      <c r="B35" s="239"/>
      <c r="C35" s="239"/>
      <c r="D35" s="240">
        <f>IF(A35="","",B35+C35)</f>
        <v>0</v>
      </c>
      <c r="E35" s="239"/>
      <c r="F35" s="239"/>
      <c r="G35" s="238">
        <f>IF(A35="","",D35-E35)</f>
        <v>0</v>
      </c>
    </row>
    <row r="36" spans="1:8" x14ac:dyDescent="0.25">
      <c r="A36" s="315" t="s">
        <v>362</v>
      </c>
      <c r="B36" s="239"/>
      <c r="C36" s="239"/>
      <c r="D36" s="240">
        <f>IF(A36="","",B36+C36)</f>
        <v>0</v>
      </c>
      <c r="E36" s="239"/>
      <c r="F36" s="239"/>
      <c r="G36" s="238">
        <f>IF(A36="","",D36-E36)</f>
        <v>0</v>
      </c>
    </row>
    <row r="37" spans="1:8" x14ac:dyDescent="0.25">
      <c r="A37" s="315" t="s">
        <v>361</v>
      </c>
      <c r="B37" s="239"/>
      <c r="C37" s="239"/>
      <c r="D37" s="240">
        <f>IF(A37="","",B37+C37)</f>
        <v>0</v>
      </c>
      <c r="E37" s="239"/>
      <c r="F37" s="239"/>
      <c r="G37" s="238">
        <f>IF(A37="","",D37-E37)</f>
        <v>0</v>
      </c>
    </row>
    <row r="38" spans="1:8" x14ac:dyDescent="0.25">
      <c r="A38" s="393"/>
      <c r="B38" s="239"/>
      <c r="C38" s="239"/>
      <c r="D38" s="240" t="str">
        <f>IF(A38="","",B38+C38)</f>
        <v/>
      </c>
      <c r="E38" s="239"/>
      <c r="F38" s="239"/>
      <c r="G38" s="238" t="str">
        <f>IF(A38="","",D38-E38)</f>
        <v/>
      </c>
    </row>
    <row r="39" spans="1:8" ht="25.5" x14ac:dyDescent="0.25">
      <c r="A39" s="404" t="s">
        <v>360</v>
      </c>
      <c r="B39" s="403">
        <f>SUM(B40:B43)</f>
        <v>0</v>
      </c>
      <c r="C39" s="403">
        <f>SUM(C40:C43)</f>
        <v>0</v>
      </c>
      <c r="D39" s="403">
        <f>IF(A39="","",B39+C39)</f>
        <v>0</v>
      </c>
      <c r="E39" s="403">
        <f>SUM(E40:E43)</f>
        <v>0</v>
      </c>
      <c r="F39" s="403">
        <f>SUM(F40:F43)</f>
        <v>0</v>
      </c>
      <c r="G39" s="402">
        <f>IF(A39="","",D39-E39)</f>
        <v>0</v>
      </c>
    </row>
    <row r="40" spans="1:8" ht="25.5" x14ac:dyDescent="0.25">
      <c r="A40" s="401" t="s">
        <v>359</v>
      </c>
      <c r="B40" s="239">
        <v>0</v>
      </c>
      <c r="C40" s="239">
        <v>0</v>
      </c>
      <c r="D40" s="240">
        <f>IF(A40="","",B40+C40)</f>
        <v>0</v>
      </c>
      <c r="E40" s="239">
        <v>0</v>
      </c>
      <c r="F40" s="239">
        <v>0</v>
      </c>
      <c r="G40" s="238">
        <f>IF(A40="","",D40-E40)</f>
        <v>0</v>
      </c>
    </row>
    <row r="41" spans="1:8" ht="38.25" x14ac:dyDescent="0.25">
      <c r="A41" s="401" t="s">
        <v>358</v>
      </c>
      <c r="B41" s="239"/>
      <c r="C41" s="239"/>
      <c r="D41" s="240">
        <f>IF(A41="","",B41+C41)</f>
        <v>0</v>
      </c>
      <c r="E41" s="239"/>
      <c r="F41" s="239"/>
      <c r="G41" s="238">
        <f>IF(A41="","",D41-E41)</f>
        <v>0</v>
      </c>
    </row>
    <row r="42" spans="1:8" x14ac:dyDescent="0.25">
      <c r="A42" s="315" t="s">
        <v>357</v>
      </c>
      <c r="B42" s="239"/>
      <c r="C42" s="239"/>
      <c r="D42" s="240">
        <f>IF(A42="","",B42+C42)</f>
        <v>0</v>
      </c>
      <c r="E42" s="239"/>
      <c r="F42" s="239"/>
      <c r="G42" s="238">
        <f>IF(A42="","",D42-E42)</f>
        <v>0</v>
      </c>
    </row>
    <row r="43" spans="1:8" ht="15.75" thickBot="1" x14ac:dyDescent="0.3">
      <c r="A43" s="315" t="s">
        <v>356</v>
      </c>
      <c r="B43" s="239"/>
      <c r="C43" s="239"/>
      <c r="D43" s="240">
        <f>IF(A43="","",B43+C43)</f>
        <v>0</v>
      </c>
      <c r="E43" s="239"/>
      <c r="F43" s="239"/>
      <c r="G43" s="238">
        <f>IF(A43="","",D43-E43)</f>
        <v>0</v>
      </c>
    </row>
    <row r="44" spans="1:8" ht="15.75" thickBot="1" x14ac:dyDescent="0.3">
      <c r="A44" s="323" t="s">
        <v>130</v>
      </c>
      <c r="B44" s="400">
        <f>SUM(B9,B19,B28,B39)</f>
        <v>788280901.10075855</v>
      </c>
      <c r="C44" s="400">
        <f>SUM(C9,C19,C28,C39)</f>
        <v>299229370.54000002</v>
      </c>
      <c r="D44" s="400">
        <f>IF(A44="","",B44+C44)</f>
        <v>1087510271.6407585</v>
      </c>
      <c r="E44" s="400">
        <f>SUM(E9,E19,E28,E39)</f>
        <v>646764162.72000003</v>
      </c>
      <c r="F44" s="400">
        <f>SUM(F9,F19,F28,F39)</f>
        <v>606147018.67000008</v>
      </c>
      <c r="G44" s="399">
        <f>IF(A44="","",D44-E44)</f>
        <v>440746108.92075849</v>
      </c>
      <c r="H44" s="107" t="str">
        <f>IF((B44-'ETCA II-04'!B80)&gt;0.9,"ERROR!!!!! EL MONTO NO COINCIDE CON LO REPORTADO EN EL FORMATO ETCA-II-04 EN EL TOTAL APROBADO ANUAL DEL ANALÍTICO DE EGRESOS","")</f>
        <v/>
      </c>
    </row>
    <row r="45" spans="1:8" ht="9" customHeight="1" x14ac:dyDescent="0.25">
      <c r="A45" s="384"/>
      <c r="B45" s="385"/>
      <c r="C45" s="385"/>
      <c r="D45" s="385"/>
      <c r="E45" s="385"/>
      <c r="F45" s="385"/>
      <c r="G45" s="385"/>
      <c r="H45" s="107" t="str">
        <f>IF((C44-'ETCA II-04'!C80)&gt;0.9,"ERROR!!!!! EL MONTO NO COINCIDE CON LO REPORTADO EN EL FORMATO ETCA-II-04 EN EL TOTAL DE AMPLIACIONES/REDUCCIONES PRESENTADO EN EL ANALÍTICO DE EGRESOS","")</f>
        <v/>
      </c>
    </row>
    <row r="46" spans="1:8" x14ac:dyDescent="0.25">
      <c r="A46" s="398"/>
      <c r="B46" s="386"/>
      <c r="C46" s="386"/>
      <c r="D46" s="385"/>
      <c r="E46" s="386"/>
      <c r="F46" s="386"/>
      <c r="G46" s="385"/>
      <c r="H46" s="107" t="str">
        <f>IF((E44-'ETCA II-04'!E80)&gt;0.9,"ERROR!!!!! EL MONTO NO COINCIDE CON LO REPORTADO EN EL FORMATO ETCA-II-04 EN EL TOTAL DEVENGADO ANUAL PRESENTADO EN EL ANALÍTICO DE EGRESOS","")</f>
        <v/>
      </c>
    </row>
    <row r="47" spans="1:8" x14ac:dyDescent="0.25">
      <c r="A47" s="384"/>
      <c r="B47" s="385"/>
      <c r="C47" s="385"/>
      <c r="D47" s="385"/>
      <c r="E47" s="385"/>
      <c r="F47" s="385"/>
      <c r="G47" s="385"/>
      <c r="H47" s="107" t="str">
        <f>IF((F44-'ETCA II-04'!F80)&gt;0.9,"ERROR!!!!! EL MONTO NO COINCIDE CON LO REPORTADO EN EL FORMATO ETCA-II-04 EN EL TOTAL PAGADO ANUAL PRESENTADO EN EL ANALÍTICO DE EGRESOS","")</f>
        <v/>
      </c>
    </row>
    <row r="48" spans="1:8" x14ac:dyDescent="0.25">
      <c r="H48" s="107" t="str">
        <f>IF((G44-'ETCA II-04'!G80)&gt;0.9,"ERROR!!!!! EL MONTO NO COINCIDE CON LO REPORTADO EN EL FORMATO ETCA-II-04 EN EL TOTAL SUBEJERCICIO PRESENTADO EN EL ANALÍTICO DE EGRESOS","")</f>
        <v/>
      </c>
    </row>
  </sheetData>
  <sheetProtection formatColumns="0" formatRows="0"/>
  <mergeCells count="6">
    <mergeCell ref="A6:A7"/>
    <mergeCell ref="A1:G1"/>
    <mergeCell ref="A2:G2"/>
    <mergeCell ref="A3:G3"/>
    <mergeCell ref="A4:G4"/>
    <mergeCell ref="B5:E5"/>
  </mergeCells>
  <pageMargins left="0.70866141732283472" right="0.70866141732283472" top="0.74803149606299213" bottom="0.74803149606299213" header="0.31496062992125984" footer="0.31496062992125984"/>
  <pageSetup scale="86" orientation="portrait" horizontalDpi="1200" verticalDpi="1200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9A413-DE15-425A-A244-6E78367A18F3}">
  <dimension ref="A1:I88"/>
  <sheetViews>
    <sheetView view="pageBreakPreview" zoomScale="90" zoomScaleSheetLayoutView="90" workbookViewId="0">
      <selection activeCell="G19" sqref="G19"/>
    </sheetView>
  </sheetViews>
  <sheetFormatPr baseColWidth="10" defaultColWidth="11.42578125" defaultRowHeight="15" x14ac:dyDescent="0.25"/>
  <cols>
    <col min="1" max="1" width="4.42578125" customWidth="1"/>
    <col min="2" max="2" width="39.85546875" customWidth="1"/>
    <col min="3" max="3" width="14" bestFit="1" customWidth="1"/>
    <col min="4" max="4" width="14.28515625" bestFit="1" customWidth="1"/>
    <col min="5" max="5" width="15.140625" customWidth="1"/>
    <col min="6" max="6" width="16" customWidth="1"/>
    <col min="7" max="7" width="14.28515625" bestFit="1" customWidth="1"/>
    <col min="8" max="8" width="15.42578125" bestFit="1" customWidth="1"/>
  </cols>
  <sheetData>
    <row r="1" spans="1:8" ht="15.75" x14ac:dyDescent="0.25">
      <c r="A1" s="294" t="str">
        <f>'[1]ETCA-I-01'!A1:G1</f>
        <v xml:space="preserve">Comision Estatal del Agua </v>
      </c>
      <c r="B1" s="293"/>
      <c r="C1" s="293"/>
      <c r="D1" s="293"/>
      <c r="E1" s="293"/>
      <c r="F1" s="293"/>
      <c r="G1" s="293"/>
      <c r="H1" s="292"/>
    </row>
    <row r="2" spans="1:8" x14ac:dyDescent="0.25">
      <c r="A2" s="444" t="s">
        <v>299</v>
      </c>
      <c r="B2" s="443"/>
      <c r="C2" s="443"/>
      <c r="D2" s="443"/>
      <c r="E2" s="443"/>
      <c r="F2" s="443"/>
      <c r="G2" s="443"/>
      <c r="H2" s="442"/>
    </row>
    <row r="3" spans="1:8" ht="11.25" customHeight="1" x14ac:dyDescent="0.25">
      <c r="A3" s="444" t="s">
        <v>387</v>
      </c>
      <c r="B3" s="443"/>
      <c r="C3" s="443"/>
      <c r="D3" s="443"/>
      <c r="E3" s="443"/>
      <c r="F3" s="443"/>
      <c r="G3" s="443"/>
      <c r="H3" s="442"/>
    </row>
    <row r="4" spans="1:8" ht="11.25" customHeight="1" x14ac:dyDescent="0.25">
      <c r="A4" s="444" t="str">
        <f>'[1]ETCA-I-03'!A3:D3</f>
        <v>Del 01 de Enero  al 31 de Diciembre de 2021</v>
      </c>
      <c r="B4" s="443"/>
      <c r="C4" s="443"/>
      <c r="D4" s="443"/>
      <c r="E4" s="443"/>
      <c r="F4" s="443"/>
      <c r="G4" s="443"/>
      <c r="H4" s="442"/>
    </row>
    <row r="5" spans="1:8" ht="12.75" customHeight="1" thickBot="1" x14ac:dyDescent="0.3">
      <c r="A5" s="437" t="s">
        <v>297</v>
      </c>
      <c r="B5" s="441"/>
      <c r="C5" s="441"/>
      <c r="D5" s="441"/>
      <c r="E5" s="441"/>
      <c r="F5" s="441"/>
      <c r="G5" s="441"/>
      <c r="H5" s="440"/>
    </row>
    <row r="6" spans="1:8" ht="15.75" thickBot="1" x14ac:dyDescent="0.3">
      <c r="A6" s="439" t="s">
        <v>296</v>
      </c>
      <c r="B6" s="438"/>
      <c r="C6" s="361" t="s">
        <v>295</v>
      </c>
      <c r="D6" s="360"/>
      <c r="E6" s="360"/>
      <c r="F6" s="360"/>
      <c r="G6" s="359"/>
      <c r="H6" s="358" t="s">
        <v>294</v>
      </c>
    </row>
    <row r="7" spans="1:8" ht="26.25" thickBot="1" x14ac:dyDescent="0.3">
      <c r="A7" s="437"/>
      <c r="B7" s="436"/>
      <c r="C7" s="357" t="s">
        <v>293</v>
      </c>
      <c r="D7" s="357" t="s">
        <v>292</v>
      </c>
      <c r="E7" s="357" t="s">
        <v>291</v>
      </c>
      <c r="F7" s="357" t="s">
        <v>108</v>
      </c>
      <c r="G7" s="357" t="s">
        <v>339</v>
      </c>
      <c r="H7" s="356"/>
    </row>
    <row r="8" spans="1:8" x14ac:dyDescent="0.25">
      <c r="A8" s="435"/>
      <c r="B8" s="434"/>
      <c r="C8" s="433"/>
      <c r="D8" s="433"/>
      <c r="E8" s="433"/>
      <c r="F8" s="433"/>
      <c r="G8" s="433"/>
      <c r="H8" s="433"/>
    </row>
    <row r="9" spans="1:8" ht="16.5" customHeight="1" x14ac:dyDescent="0.25">
      <c r="A9" s="432" t="s">
        <v>421</v>
      </c>
      <c r="B9" s="431"/>
      <c r="C9" s="348">
        <f>+C10+C20+C29+C40</f>
        <v>643175582.10075855</v>
      </c>
      <c r="D9" s="348">
        <f>+D10+D20+D29+D40</f>
        <v>192168639.04000002</v>
      </c>
      <c r="E9" s="348">
        <f>+E10+E20+E29+E40</f>
        <v>835344221.14075851</v>
      </c>
      <c r="F9" s="348">
        <f>+F10+F20+F29+F40</f>
        <v>615291265.62</v>
      </c>
      <c r="G9" s="348">
        <f>+G10+G20+G29+G40</f>
        <v>575508732.37000012</v>
      </c>
      <c r="H9" s="348">
        <f>+H10+H20+H29+H40</f>
        <v>220052955.52075851</v>
      </c>
    </row>
    <row r="10" spans="1:8" x14ac:dyDescent="0.25">
      <c r="A10" s="426" t="s">
        <v>419</v>
      </c>
      <c r="B10" s="425"/>
      <c r="C10" s="420">
        <f>SUM(C11:C18)</f>
        <v>0</v>
      </c>
      <c r="D10" s="420">
        <f>SUM(D11:D18)</f>
        <v>0</v>
      </c>
      <c r="E10" s="420">
        <f>SUM(E11:E18)</f>
        <v>0</v>
      </c>
      <c r="F10" s="420">
        <f>SUM(F11:F18)</f>
        <v>0</v>
      </c>
      <c r="G10" s="420">
        <f>SUM(G11:G18)</f>
        <v>0</v>
      </c>
      <c r="H10" s="420">
        <f>SUM(H11:H18)</f>
        <v>0</v>
      </c>
    </row>
    <row r="11" spans="1:8" x14ac:dyDescent="0.25">
      <c r="A11" s="423"/>
      <c r="B11" s="422" t="s">
        <v>418</v>
      </c>
      <c r="C11" s="421"/>
      <c r="D11" s="421"/>
      <c r="E11" s="420">
        <f>C11+D11</f>
        <v>0</v>
      </c>
      <c r="F11" s="421"/>
      <c r="G11" s="421"/>
      <c r="H11" s="420">
        <f>+E11-F11</f>
        <v>0</v>
      </c>
    </row>
    <row r="12" spans="1:8" x14ac:dyDescent="0.25">
      <c r="A12" s="423"/>
      <c r="B12" s="422" t="s">
        <v>417</v>
      </c>
      <c r="C12" s="421"/>
      <c r="D12" s="421"/>
      <c r="E12" s="420">
        <f>C12+D12</f>
        <v>0</v>
      </c>
      <c r="F12" s="421"/>
      <c r="G12" s="421"/>
      <c r="H12" s="420">
        <f>+E12-F12</f>
        <v>0</v>
      </c>
    </row>
    <row r="13" spans="1:8" x14ac:dyDescent="0.25">
      <c r="A13" s="423"/>
      <c r="B13" s="422" t="s">
        <v>416</v>
      </c>
      <c r="C13" s="421"/>
      <c r="D13" s="421"/>
      <c r="E13" s="420">
        <f>C13+D13</f>
        <v>0</v>
      </c>
      <c r="F13" s="421"/>
      <c r="G13" s="421"/>
      <c r="H13" s="420">
        <f>+E13-F13</f>
        <v>0</v>
      </c>
    </row>
    <row r="14" spans="1:8" x14ac:dyDescent="0.25">
      <c r="A14" s="423"/>
      <c r="B14" s="422" t="s">
        <v>415</v>
      </c>
      <c r="C14" s="421"/>
      <c r="D14" s="421"/>
      <c r="E14" s="420">
        <f>C14+D14</f>
        <v>0</v>
      </c>
      <c r="F14" s="421"/>
      <c r="G14" s="421"/>
      <c r="H14" s="420">
        <f>+E14-F14</f>
        <v>0</v>
      </c>
    </row>
    <row r="15" spans="1:8" x14ac:dyDescent="0.25">
      <c r="A15" s="423"/>
      <c r="B15" s="422" t="s">
        <v>414</v>
      </c>
      <c r="C15" s="421"/>
      <c r="D15" s="421"/>
      <c r="E15" s="420">
        <f>C15+D15</f>
        <v>0</v>
      </c>
      <c r="F15" s="421"/>
      <c r="G15" s="421"/>
      <c r="H15" s="420">
        <f>+E15-F15</f>
        <v>0</v>
      </c>
    </row>
    <row r="16" spans="1:8" x14ac:dyDescent="0.25">
      <c r="A16" s="423"/>
      <c r="B16" s="422" t="s">
        <v>413</v>
      </c>
      <c r="C16" s="421"/>
      <c r="D16" s="421"/>
      <c r="E16" s="420">
        <f>C16+D16</f>
        <v>0</v>
      </c>
      <c r="F16" s="421"/>
      <c r="G16" s="421"/>
      <c r="H16" s="420">
        <f>+E16-F16</f>
        <v>0</v>
      </c>
    </row>
    <row r="17" spans="1:8" x14ac:dyDescent="0.25">
      <c r="A17" s="423"/>
      <c r="B17" s="422" t="s">
        <v>412</v>
      </c>
      <c r="C17" s="421"/>
      <c r="D17" s="421"/>
      <c r="E17" s="420">
        <f>C17+D17</f>
        <v>0</v>
      </c>
      <c r="F17" s="421"/>
      <c r="G17" s="421"/>
      <c r="H17" s="420">
        <f>+E17-F17</f>
        <v>0</v>
      </c>
    </row>
    <row r="18" spans="1:8" x14ac:dyDescent="0.25">
      <c r="A18" s="423"/>
      <c r="B18" s="422" t="s">
        <v>411</v>
      </c>
      <c r="C18" s="421"/>
      <c r="D18" s="421"/>
      <c r="E18" s="420">
        <f>C18+D18</f>
        <v>0</v>
      </c>
      <c r="F18" s="421"/>
      <c r="G18" s="421"/>
      <c r="H18" s="420">
        <f>+E18-F18</f>
        <v>0</v>
      </c>
    </row>
    <row r="19" spans="1:8" x14ac:dyDescent="0.25">
      <c r="A19" s="429"/>
      <c r="B19" s="428"/>
      <c r="C19" s="430"/>
      <c r="D19" s="430"/>
      <c r="E19" s="430"/>
      <c r="F19" s="430"/>
      <c r="G19" s="430"/>
      <c r="H19" s="420" t="s">
        <v>44</v>
      </c>
    </row>
    <row r="20" spans="1:8" x14ac:dyDescent="0.25">
      <c r="A20" s="426" t="s">
        <v>410</v>
      </c>
      <c r="B20" s="425"/>
      <c r="C20" s="420">
        <f>SUM(C21:C27)</f>
        <v>643175582.10075855</v>
      </c>
      <c r="D20" s="420">
        <f>SUM(D21:D27)</f>
        <v>192168639.04000002</v>
      </c>
      <c r="E20" s="420">
        <f>SUM(E21:E27)</f>
        <v>835344221.14075851</v>
      </c>
      <c r="F20" s="420">
        <f>SUM(F21:F27)</f>
        <v>615291265.62</v>
      </c>
      <c r="G20" s="420">
        <f>SUM(G21:G27)</f>
        <v>575508732.37000012</v>
      </c>
      <c r="H20" s="420">
        <f>SUM(H21:H27)</f>
        <v>220052955.52075851</v>
      </c>
    </row>
    <row r="21" spans="1:8" x14ac:dyDescent="0.25">
      <c r="A21" s="423"/>
      <c r="B21" s="422" t="s">
        <v>409</v>
      </c>
      <c r="C21" s="421"/>
      <c r="D21" s="421"/>
      <c r="E21" s="420">
        <f>C21+D21</f>
        <v>0</v>
      </c>
      <c r="F21" s="421"/>
      <c r="G21" s="421"/>
      <c r="H21" s="420">
        <f>+E21-F21</f>
        <v>0</v>
      </c>
    </row>
    <row r="22" spans="1:8" x14ac:dyDescent="0.25">
      <c r="A22" s="423"/>
      <c r="B22" s="422" t="s">
        <v>408</v>
      </c>
      <c r="C22" s="421">
        <v>643175582.10075855</v>
      </c>
      <c r="D22" s="421">
        <v>192168639.04000002</v>
      </c>
      <c r="E22" s="420">
        <f>C22+D22</f>
        <v>835344221.14075851</v>
      </c>
      <c r="F22" s="421">
        <v>615291265.62</v>
      </c>
      <c r="G22" s="421">
        <v>575508732.37000012</v>
      </c>
      <c r="H22" s="420">
        <f>+E22-F22</f>
        <v>220052955.52075851</v>
      </c>
    </row>
    <row r="23" spans="1:8" x14ac:dyDescent="0.25">
      <c r="A23" s="423"/>
      <c r="B23" s="422" t="s">
        <v>407</v>
      </c>
      <c r="C23" s="421"/>
      <c r="D23" s="421"/>
      <c r="E23" s="420">
        <f>C23+D23</f>
        <v>0</v>
      </c>
      <c r="F23" s="421"/>
      <c r="G23" s="421"/>
      <c r="H23" s="420">
        <f>+E23-F23</f>
        <v>0</v>
      </c>
    </row>
    <row r="24" spans="1:8" x14ac:dyDescent="0.25">
      <c r="A24" s="423"/>
      <c r="B24" s="422" t="s">
        <v>406</v>
      </c>
      <c r="C24" s="421"/>
      <c r="D24" s="421"/>
      <c r="E24" s="420">
        <f>C24+D24</f>
        <v>0</v>
      </c>
      <c r="F24" s="421"/>
      <c r="G24" s="421"/>
      <c r="H24" s="420">
        <f>+E24-F24</f>
        <v>0</v>
      </c>
    </row>
    <row r="25" spans="1:8" x14ac:dyDescent="0.25">
      <c r="A25" s="423"/>
      <c r="B25" s="422" t="s">
        <v>405</v>
      </c>
      <c r="C25" s="421"/>
      <c r="D25" s="421"/>
      <c r="E25" s="420">
        <f>C25+D25</f>
        <v>0</v>
      </c>
      <c r="F25" s="421"/>
      <c r="G25" s="421"/>
      <c r="H25" s="420">
        <f>+E25-F25</f>
        <v>0</v>
      </c>
    </row>
    <row r="26" spans="1:8" x14ac:dyDescent="0.25">
      <c r="A26" s="423"/>
      <c r="B26" s="422" t="s">
        <v>404</v>
      </c>
      <c r="C26" s="421"/>
      <c r="D26" s="421"/>
      <c r="E26" s="420">
        <f>C26+D26</f>
        <v>0</v>
      </c>
      <c r="F26" s="421"/>
      <c r="G26" s="421"/>
      <c r="H26" s="420">
        <f>+E26-F26</f>
        <v>0</v>
      </c>
    </row>
    <row r="27" spans="1:8" x14ac:dyDescent="0.25">
      <c r="A27" s="423"/>
      <c r="B27" s="422" t="s">
        <v>403</v>
      </c>
      <c r="C27" s="421"/>
      <c r="D27" s="421"/>
      <c r="E27" s="420">
        <f>C27+D27</f>
        <v>0</v>
      </c>
      <c r="F27" s="421"/>
      <c r="G27" s="421"/>
      <c r="H27" s="420">
        <f>+E27-F27</f>
        <v>0</v>
      </c>
    </row>
    <row r="28" spans="1:8" x14ac:dyDescent="0.25">
      <c r="A28" s="429"/>
      <c r="B28" s="428"/>
      <c r="C28" s="427"/>
      <c r="D28" s="427"/>
      <c r="E28" s="427"/>
      <c r="F28" s="427"/>
      <c r="G28" s="427"/>
      <c r="H28" s="427"/>
    </row>
    <row r="29" spans="1:8" x14ac:dyDescent="0.25">
      <c r="A29" s="426" t="s">
        <v>402</v>
      </c>
      <c r="B29" s="425"/>
      <c r="C29" s="420">
        <f>SUM(C30:C38)</f>
        <v>0</v>
      </c>
      <c r="D29" s="420">
        <f>SUM(D30:D38)</f>
        <v>0</v>
      </c>
      <c r="E29" s="420">
        <f>SUM(E30:E38)</f>
        <v>0</v>
      </c>
      <c r="F29" s="420">
        <f>SUM(F30:F38)</f>
        <v>0</v>
      </c>
      <c r="G29" s="420">
        <f>SUM(G30:G38)</f>
        <v>0</v>
      </c>
      <c r="H29" s="420">
        <f>SUM(H30:H38)</f>
        <v>0</v>
      </c>
    </row>
    <row r="30" spans="1:8" x14ac:dyDescent="0.25">
      <c r="A30" s="423"/>
      <c r="B30" s="422" t="s">
        <v>401</v>
      </c>
      <c r="C30" s="421"/>
      <c r="D30" s="421"/>
      <c r="E30" s="420">
        <f>C30+D30</f>
        <v>0</v>
      </c>
      <c r="F30" s="421"/>
      <c r="G30" s="421"/>
      <c r="H30" s="420">
        <f>+E30-F30</f>
        <v>0</v>
      </c>
    </row>
    <row r="31" spans="1:8" x14ac:dyDescent="0.25">
      <c r="A31" s="423"/>
      <c r="B31" s="422" t="s">
        <v>400</v>
      </c>
      <c r="C31" s="421"/>
      <c r="D31" s="421"/>
      <c r="E31" s="420">
        <f>C31+D31</f>
        <v>0</v>
      </c>
      <c r="F31" s="421"/>
      <c r="G31" s="421"/>
      <c r="H31" s="420">
        <f>+E31-F31</f>
        <v>0</v>
      </c>
    </row>
    <row r="32" spans="1:8" x14ac:dyDescent="0.25">
      <c r="A32" s="423"/>
      <c r="B32" s="422" t="s">
        <v>399</v>
      </c>
      <c r="C32" s="421"/>
      <c r="D32" s="421"/>
      <c r="E32" s="420">
        <f>C32+D32</f>
        <v>0</v>
      </c>
      <c r="F32" s="421"/>
      <c r="G32" s="421"/>
      <c r="H32" s="420">
        <f>+E32-F32</f>
        <v>0</v>
      </c>
    </row>
    <row r="33" spans="1:8" ht="15.75" thickBot="1" x14ac:dyDescent="0.3">
      <c r="A33" s="419"/>
      <c r="B33" s="418" t="s">
        <v>398</v>
      </c>
      <c r="C33" s="424"/>
      <c r="D33" s="424"/>
      <c r="E33" s="417">
        <f>C33+D33</f>
        <v>0</v>
      </c>
      <c r="F33" s="424"/>
      <c r="G33" s="424"/>
      <c r="H33" s="417">
        <f>+E33-F33</f>
        <v>0</v>
      </c>
    </row>
    <row r="34" spans="1:8" x14ac:dyDescent="0.25">
      <c r="A34" s="423"/>
      <c r="B34" s="422" t="s">
        <v>397</v>
      </c>
      <c r="C34" s="421"/>
      <c r="D34" s="421"/>
      <c r="E34" s="420">
        <f>C34+D34</f>
        <v>0</v>
      </c>
      <c r="F34" s="421"/>
      <c r="G34" s="421"/>
      <c r="H34" s="420">
        <f>+E34-F34</f>
        <v>0</v>
      </c>
    </row>
    <row r="35" spans="1:8" x14ac:dyDescent="0.25">
      <c r="A35" s="423"/>
      <c r="B35" s="422" t="s">
        <v>396</v>
      </c>
      <c r="C35" s="421"/>
      <c r="D35" s="421"/>
      <c r="E35" s="420">
        <f>C35+D35</f>
        <v>0</v>
      </c>
      <c r="F35" s="421"/>
      <c r="G35" s="421"/>
      <c r="H35" s="420">
        <f>+E35-F35</f>
        <v>0</v>
      </c>
    </row>
    <row r="36" spans="1:8" x14ac:dyDescent="0.25">
      <c r="A36" s="423"/>
      <c r="B36" s="422" t="s">
        <v>395</v>
      </c>
      <c r="C36" s="421"/>
      <c r="D36" s="421"/>
      <c r="E36" s="420">
        <f>C36+D36</f>
        <v>0</v>
      </c>
      <c r="F36" s="421"/>
      <c r="G36" s="421"/>
      <c r="H36" s="420">
        <f>+E36-F36</f>
        <v>0</v>
      </c>
    </row>
    <row r="37" spans="1:8" x14ac:dyDescent="0.25">
      <c r="A37" s="423"/>
      <c r="B37" s="422" t="s">
        <v>394</v>
      </c>
      <c r="C37" s="421"/>
      <c r="D37" s="421"/>
      <c r="E37" s="420">
        <f>C37+D37</f>
        <v>0</v>
      </c>
      <c r="F37" s="421"/>
      <c r="G37" s="421"/>
      <c r="H37" s="420">
        <f>+E37-F37</f>
        <v>0</v>
      </c>
    </row>
    <row r="38" spans="1:8" x14ac:dyDescent="0.25">
      <c r="A38" s="423"/>
      <c r="B38" s="422" t="s">
        <v>393</v>
      </c>
      <c r="C38" s="421"/>
      <c r="D38" s="421"/>
      <c r="E38" s="420">
        <f>C38+D38</f>
        <v>0</v>
      </c>
      <c r="F38" s="421"/>
      <c r="G38" s="421"/>
      <c r="H38" s="420">
        <f>+E38-F38</f>
        <v>0</v>
      </c>
    </row>
    <row r="39" spans="1:8" x14ac:dyDescent="0.25">
      <c r="A39" s="423"/>
      <c r="B39" s="422"/>
      <c r="C39" s="421"/>
      <c r="D39" s="421"/>
      <c r="E39" s="420"/>
      <c r="F39" s="421"/>
      <c r="G39" s="421"/>
      <c r="H39" s="420"/>
    </row>
    <row r="40" spans="1:8" x14ac:dyDescent="0.25">
      <c r="A40" s="423" t="s">
        <v>392</v>
      </c>
      <c r="B40" s="422"/>
      <c r="C40" s="420">
        <f>SUM(C41:C44)</f>
        <v>0</v>
      </c>
      <c r="D40" s="420">
        <f>SUM(D41:D44)</f>
        <v>0</v>
      </c>
      <c r="E40" s="420">
        <f>SUM(E41:E44)</f>
        <v>0</v>
      </c>
      <c r="F40" s="420">
        <f>SUM(F41:F44)</f>
        <v>0</v>
      </c>
      <c r="G40" s="420">
        <f>SUM(G41:G44)</f>
        <v>0</v>
      </c>
      <c r="H40" s="420">
        <f>SUM(H41:H44)</f>
        <v>0</v>
      </c>
    </row>
    <row r="41" spans="1:8" x14ac:dyDescent="0.25">
      <c r="A41" s="423"/>
      <c r="B41" s="422" t="s">
        <v>391</v>
      </c>
      <c r="C41" s="421"/>
      <c r="D41" s="421"/>
      <c r="E41" s="420">
        <f>C41+D41</f>
        <v>0</v>
      </c>
      <c r="F41" s="421"/>
      <c r="G41" s="421"/>
      <c r="H41" s="420">
        <f>+E41-F41</f>
        <v>0</v>
      </c>
    </row>
    <row r="42" spans="1:8" x14ac:dyDescent="0.25">
      <c r="A42" s="423"/>
      <c r="B42" s="422" t="s">
        <v>390</v>
      </c>
      <c r="C42" s="421"/>
      <c r="D42" s="421"/>
      <c r="E42" s="420">
        <f>C42+D42</f>
        <v>0</v>
      </c>
      <c r="F42" s="421"/>
      <c r="G42" s="421"/>
      <c r="H42" s="420">
        <f>+E42-F42</f>
        <v>0</v>
      </c>
    </row>
    <row r="43" spans="1:8" x14ac:dyDescent="0.25">
      <c r="A43" s="423"/>
      <c r="B43" s="422" t="s">
        <v>389</v>
      </c>
      <c r="C43" s="421"/>
      <c r="D43" s="421"/>
      <c r="E43" s="420">
        <f>C43+D43</f>
        <v>0</v>
      </c>
      <c r="F43" s="421"/>
      <c r="G43" s="421"/>
      <c r="H43" s="420">
        <f>+E43-F43</f>
        <v>0</v>
      </c>
    </row>
    <row r="44" spans="1:8" x14ac:dyDescent="0.25">
      <c r="A44" s="423"/>
      <c r="B44" s="422" t="s">
        <v>388</v>
      </c>
      <c r="C44" s="421"/>
      <c r="D44" s="421"/>
      <c r="E44" s="420">
        <f>C44+D44</f>
        <v>0</v>
      </c>
      <c r="F44" s="421"/>
      <c r="G44" s="421"/>
      <c r="H44" s="420">
        <f>+E44-F44</f>
        <v>0</v>
      </c>
    </row>
    <row r="45" spans="1:8" x14ac:dyDescent="0.25">
      <c r="A45" s="423"/>
      <c r="B45" s="422"/>
      <c r="C45" s="421"/>
      <c r="D45" s="421"/>
      <c r="E45" s="420"/>
      <c r="F45" s="421"/>
      <c r="G45" s="421"/>
      <c r="H45" s="420"/>
    </row>
    <row r="46" spans="1:8" x14ac:dyDescent="0.25">
      <c r="A46" s="423" t="s">
        <v>420</v>
      </c>
      <c r="B46" s="422"/>
      <c r="C46" s="420">
        <f>+C47+C57+C65+C76</f>
        <v>145105319</v>
      </c>
      <c r="D46" s="420">
        <f>+D47+D57+D65+D76</f>
        <v>107060731.5</v>
      </c>
      <c r="E46" s="420">
        <f>+E47+E57+E65+E76</f>
        <v>252166050.5</v>
      </c>
      <c r="F46" s="420">
        <f>+F47+F57+F65+F76</f>
        <v>31472897.100000001</v>
      </c>
      <c r="G46" s="420">
        <f>+G47+G57+G65+G76</f>
        <v>30638286.300000001</v>
      </c>
      <c r="H46" s="420">
        <f>+H47+H57+H65+H76</f>
        <v>220693153.40000001</v>
      </c>
    </row>
    <row r="47" spans="1:8" x14ac:dyDescent="0.25">
      <c r="A47" s="423" t="s">
        <v>419</v>
      </c>
      <c r="B47" s="422"/>
      <c r="C47" s="420">
        <f>SUM(C48:C55)</f>
        <v>0</v>
      </c>
      <c r="D47" s="420">
        <f>SUM(D48:D55)</f>
        <v>0</v>
      </c>
      <c r="E47" s="420">
        <f>SUM(E48:E55)</f>
        <v>0</v>
      </c>
      <c r="F47" s="420">
        <f>SUM(F48:F55)</f>
        <v>0</v>
      </c>
      <c r="G47" s="420">
        <f>SUM(G48:G55)</f>
        <v>0</v>
      </c>
      <c r="H47" s="420">
        <f>SUM(H48:H55)</f>
        <v>0</v>
      </c>
    </row>
    <row r="48" spans="1:8" x14ac:dyDescent="0.25">
      <c r="A48" s="423"/>
      <c r="B48" s="422" t="s">
        <v>418</v>
      </c>
      <c r="C48" s="421"/>
      <c r="D48" s="421"/>
      <c r="E48" s="420">
        <f>C48+D48</f>
        <v>0</v>
      </c>
      <c r="F48" s="421"/>
      <c r="G48" s="421"/>
      <c r="H48" s="420">
        <f>+E48-F48</f>
        <v>0</v>
      </c>
    </row>
    <row r="49" spans="1:8" x14ac:dyDescent="0.25">
      <c r="A49" s="423"/>
      <c r="B49" s="422" t="s">
        <v>417</v>
      </c>
      <c r="C49" s="421"/>
      <c r="D49" s="421"/>
      <c r="E49" s="420">
        <f>C49+D49</f>
        <v>0</v>
      </c>
      <c r="F49" s="421"/>
      <c r="G49" s="421"/>
      <c r="H49" s="420">
        <f>+E49-F49</f>
        <v>0</v>
      </c>
    </row>
    <row r="50" spans="1:8" x14ac:dyDescent="0.25">
      <c r="A50" s="423"/>
      <c r="B50" s="422" t="s">
        <v>416</v>
      </c>
      <c r="C50" s="421"/>
      <c r="D50" s="421"/>
      <c r="E50" s="420">
        <f>C50+D50</f>
        <v>0</v>
      </c>
      <c r="F50" s="421"/>
      <c r="G50" s="421"/>
      <c r="H50" s="420">
        <f>+E50-F50</f>
        <v>0</v>
      </c>
    </row>
    <row r="51" spans="1:8" x14ac:dyDescent="0.25">
      <c r="A51" s="423"/>
      <c r="B51" s="422" t="s">
        <v>415</v>
      </c>
      <c r="C51" s="421"/>
      <c r="D51" s="421"/>
      <c r="E51" s="420">
        <f>C51+D51</f>
        <v>0</v>
      </c>
      <c r="F51" s="421"/>
      <c r="G51" s="421"/>
      <c r="H51" s="420">
        <f>+E51-F51</f>
        <v>0</v>
      </c>
    </row>
    <row r="52" spans="1:8" x14ac:dyDescent="0.25">
      <c r="A52" s="423"/>
      <c r="B52" s="422" t="s">
        <v>414</v>
      </c>
      <c r="C52" s="421"/>
      <c r="D52" s="421"/>
      <c r="E52" s="420">
        <f>C52+D52</f>
        <v>0</v>
      </c>
      <c r="F52" s="421"/>
      <c r="G52" s="421"/>
      <c r="H52" s="420">
        <f>+E52-F52</f>
        <v>0</v>
      </c>
    </row>
    <row r="53" spans="1:8" x14ac:dyDescent="0.25">
      <c r="A53" s="423"/>
      <c r="B53" s="422" t="s">
        <v>413</v>
      </c>
      <c r="C53" s="421"/>
      <c r="D53" s="421"/>
      <c r="E53" s="420">
        <f>C53+D53</f>
        <v>0</v>
      </c>
      <c r="F53" s="421"/>
      <c r="G53" s="421"/>
      <c r="H53" s="420">
        <f>+E53-F53</f>
        <v>0</v>
      </c>
    </row>
    <row r="54" spans="1:8" x14ac:dyDescent="0.25">
      <c r="A54" s="423"/>
      <c r="B54" s="422" t="s">
        <v>412</v>
      </c>
      <c r="C54" s="421"/>
      <c r="D54" s="421"/>
      <c r="E54" s="420">
        <f>C54+D54</f>
        <v>0</v>
      </c>
      <c r="F54" s="421"/>
      <c r="G54" s="421"/>
      <c r="H54" s="420">
        <f>+E54-F54</f>
        <v>0</v>
      </c>
    </row>
    <row r="55" spans="1:8" x14ac:dyDescent="0.25">
      <c r="A55" s="423"/>
      <c r="B55" s="422" t="s">
        <v>411</v>
      </c>
      <c r="C55" s="421"/>
      <c r="D55" s="421"/>
      <c r="E55" s="420">
        <f>C55+D55</f>
        <v>0</v>
      </c>
      <c r="F55" s="421"/>
      <c r="G55" s="421"/>
      <c r="H55" s="420">
        <f>+E55-F55</f>
        <v>0</v>
      </c>
    </row>
    <row r="56" spans="1:8" x14ac:dyDescent="0.25">
      <c r="A56" s="423"/>
      <c r="B56" s="422"/>
      <c r="C56" s="421"/>
      <c r="D56" s="421"/>
      <c r="E56" s="420"/>
      <c r="F56" s="421"/>
      <c r="G56" s="421"/>
      <c r="H56" s="420"/>
    </row>
    <row r="57" spans="1:8" x14ac:dyDescent="0.25">
      <c r="A57" s="423" t="s">
        <v>410</v>
      </c>
      <c r="B57" s="422"/>
      <c r="C57" s="420">
        <f>SUM(C58:C64)</f>
        <v>145105319</v>
      </c>
      <c r="D57" s="420">
        <f>SUM(D58:D64)</f>
        <v>107060731.5</v>
      </c>
      <c r="E57" s="420">
        <f>SUM(E58:E64)</f>
        <v>252166050.5</v>
      </c>
      <c r="F57" s="420">
        <f>SUM(F58:F64)</f>
        <v>31472897.100000001</v>
      </c>
      <c r="G57" s="420">
        <f>SUM(G58:G64)</f>
        <v>30638286.300000001</v>
      </c>
      <c r="H57" s="420">
        <f>SUM(H58:H64)</f>
        <v>220693153.40000001</v>
      </c>
    </row>
    <row r="58" spans="1:8" x14ac:dyDescent="0.25">
      <c r="A58" s="423"/>
      <c r="B58" s="422" t="s">
        <v>409</v>
      </c>
      <c r="C58" s="421"/>
      <c r="D58" s="421"/>
      <c r="E58" s="420">
        <f>C58+D58</f>
        <v>0</v>
      </c>
      <c r="F58" s="421"/>
      <c r="G58" s="421"/>
      <c r="H58" s="420">
        <f>+E58-F58</f>
        <v>0</v>
      </c>
    </row>
    <row r="59" spans="1:8" x14ac:dyDescent="0.25">
      <c r="A59" s="423"/>
      <c r="B59" s="422" t="s">
        <v>408</v>
      </c>
      <c r="C59" s="421">
        <v>145105319</v>
      </c>
      <c r="D59" s="421">
        <v>107060731.5</v>
      </c>
      <c r="E59" s="420">
        <f>C59+D59</f>
        <v>252166050.5</v>
      </c>
      <c r="F59" s="421">
        <v>31472897.100000001</v>
      </c>
      <c r="G59" s="421">
        <v>30638286.300000001</v>
      </c>
      <c r="H59" s="420">
        <f>+E59-F59</f>
        <v>220693153.40000001</v>
      </c>
    </row>
    <row r="60" spans="1:8" x14ac:dyDescent="0.25">
      <c r="A60" s="423"/>
      <c r="B60" s="422" t="s">
        <v>407</v>
      </c>
      <c r="C60" s="421"/>
      <c r="D60" s="421"/>
      <c r="E60" s="420">
        <f>C60+D60</f>
        <v>0</v>
      </c>
      <c r="F60" s="421"/>
      <c r="G60" s="421"/>
      <c r="H60" s="420">
        <f>+E60-F60</f>
        <v>0</v>
      </c>
    </row>
    <row r="61" spans="1:8" x14ac:dyDescent="0.25">
      <c r="A61" s="423"/>
      <c r="B61" s="422" t="s">
        <v>406</v>
      </c>
      <c r="C61" s="421"/>
      <c r="D61" s="421"/>
      <c r="E61" s="420">
        <f>C61+D61</f>
        <v>0</v>
      </c>
      <c r="F61" s="421"/>
      <c r="G61" s="421"/>
      <c r="H61" s="420">
        <f>+E61-F61</f>
        <v>0</v>
      </c>
    </row>
    <row r="62" spans="1:8" x14ac:dyDescent="0.25">
      <c r="A62" s="423"/>
      <c r="B62" s="422" t="s">
        <v>405</v>
      </c>
      <c r="C62" s="421"/>
      <c r="D62" s="421"/>
      <c r="E62" s="420">
        <f>C62+D62</f>
        <v>0</v>
      </c>
      <c r="F62" s="421"/>
      <c r="G62" s="421"/>
      <c r="H62" s="420">
        <f>+E62-F62</f>
        <v>0</v>
      </c>
    </row>
    <row r="63" spans="1:8" x14ac:dyDescent="0.25">
      <c r="A63" s="423"/>
      <c r="B63" s="422" t="s">
        <v>404</v>
      </c>
      <c r="C63" s="421"/>
      <c r="D63" s="421"/>
      <c r="E63" s="420">
        <f>C63+D63</f>
        <v>0</v>
      </c>
      <c r="F63" s="421"/>
      <c r="G63" s="421"/>
      <c r="H63" s="420">
        <f>+E63-F63</f>
        <v>0</v>
      </c>
    </row>
    <row r="64" spans="1:8" ht="15.75" thickBot="1" x14ac:dyDescent="0.3">
      <c r="A64" s="419"/>
      <c r="B64" s="418" t="s">
        <v>403</v>
      </c>
      <c r="C64" s="424"/>
      <c r="D64" s="424"/>
      <c r="E64" s="417">
        <f>C64+D64</f>
        <v>0</v>
      </c>
      <c r="F64" s="424"/>
      <c r="G64" s="424"/>
      <c r="H64" s="417">
        <f>+E64-F64</f>
        <v>0</v>
      </c>
    </row>
    <row r="65" spans="1:8" x14ac:dyDescent="0.25">
      <c r="A65" s="423" t="s">
        <v>402</v>
      </c>
      <c r="B65" s="422"/>
      <c r="C65" s="420">
        <f>SUM(C66:C74)</f>
        <v>0</v>
      </c>
      <c r="D65" s="420">
        <f>SUM(D66:D74)</f>
        <v>0</v>
      </c>
      <c r="E65" s="420">
        <f>SUM(E66:E74)</f>
        <v>0</v>
      </c>
      <c r="F65" s="420">
        <f>SUM(F66:F74)</f>
        <v>0</v>
      </c>
      <c r="G65" s="420">
        <f>SUM(G66:G74)</f>
        <v>0</v>
      </c>
      <c r="H65" s="420">
        <f>SUM(H66:H74)</f>
        <v>0</v>
      </c>
    </row>
    <row r="66" spans="1:8" x14ac:dyDescent="0.25">
      <c r="A66" s="423"/>
      <c r="B66" s="422" t="s">
        <v>401</v>
      </c>
      <c r="C66" s="421"/>
      <c r="D66" s="421"/>
      <c r="E66" s="420">
        <f>C66+D66</f>
        <v>0</v>
      </c>
      <c r="F66" s="421"/>
      <c r="G66" s="421"/>
      <c r="H66" s="420">
        <f>+E66-F66</f>
        <v>0</v>
      </c>
    </row>
    <row r="67" spans="1:8" x14ac:dyDescent="0.25">
      <c r="A67" s="423"/>
      <c r="B67" s="422" t="s">
        <v>400</v>
      </c>
      <c r="C67" s="421"/>
      <c r="D67" s="421"/>
      <c r="E67" s="420"/>
      <c r="F67" s="421"/>
      <c r="G67" s="421"/>
      <c r="H67" s="420">
        <f>+E67-F67</f>
        <v>0</v>
      </c>
    </row>
    <row r="68" spans="1:8" x14ac:dyDescent="0.25">
      <c r="A68" s="423"/>
      <c r="B68" s="422" t="s">
        <v>399</v>
      </c>
      <c r="C68" s="421"/>
      <c r="D68" s="421"/>
      <c r="E68" s="420">
        <f>C68+D68</f>
        <v>0</v>
      </c>
      <c r="F68" s="421"/>
      <c r="G68" s="421"/>
      <c r="H68" s="420">
        <f>+E68-F68</f>
        <v>0</v>
      </c>
    </row>
    <row r="69" spans="1:8" x14ac:dyDescent="0.25">
      <c r="A69" s="423"/>
      <c r="B69" s="422" t="s">
        <v>398</v>
      </c>
      <c r="C69" s="421"/>
      <c r="D69" s="421"/>
      <c r="E69" s="420">
        <f>C69+D69</f>
        <v>0</v>
      </c>
      <c r="F69" s="421"/>
      <c r="G69" s="421"/>
      <c r="H69" s="420">
        <f>+E69-F69</f>
        <v>0</v>
      </c>
    </row>
    <row r="70" spans="1:8" x14ac:dyDescent="0.25">
      <c r="A70" s="423"/>
      <c r="B70" s="422" t="s">
        <v>397</v>
      </c>
      <c r="C70" s="421"/>
      <c r="D70" s="421"/>
      <c r="E70" s="420">
        <f>C70+D70</f>
        <v>0</v>
      </c>
      <c r="F70" s="421"/>
      <c r="G70" s="421"/>
      <c r="H70" s="420">
        <f>+E70-F70</f>
        <v>0</v>
      </c>
    </row>
    <row r="71" spans="1:8" x14ac:dyDescent="0.25">
      <c r="A71" s="423"/>
      <c r="B71" s="422" t="s">
        <v>396</v>
      </c>
      <c r="C71" s="421"/>
      <c r="D71" s="421"/>
      <c r="E71" s="420">
        <f>C71+D71</f>
        <v>0</v>
      </c>
      <c r="F71" s="421"/>
      <c r="G71" s="421"/>
      <c r="H71" s="420">
        <f>+E71-F71</f>
        <v>0</v>
      </c>
    </row>
    <row r="72" spans="1:8" x14ac:dyDescent="0.25">
      <c r="A72" s="423"/>
      <c r="B72" s="422" t="s">
        <v>395</v>
      </c>
      <c r="C72" s="421"/>
      <c r="D72" s="421"/>
      <c r="E72" s="420">
        <f>C72+D72</f>
        <v>0</v>
      </c>
      <c r="F72" s="421"/>
      <c r="G72" s="421"/>
      <c r="H72" s="420">
        <f>+E72-F72</f>
        <v>0</v>
      </c>
    </row>
    <row r="73" spans="1:8" x14ac:dyDescent="0.25">
      <c r="A73" s="423"/>
      <c r="B73" s="422" t="s">
        <v>394</v>
      </c>
      <c r="C73" s="421"/>
      <c r="D73" s="421"/>
      <c r="E73" s="420">
        <f>C73+D73</f>
        <v>0</v>
      </c>
      <c r="F73" s="421"/>
      <c r="G73" s="421"/>
      <c r="H73" s="420">
        <f>+E73-F73</f>
        <v>0</v>
      </c>
    </row>
    <row r="74" spans="1:8" x14ac:dyDescent="0.25">
      <c r="A74" s="423"/>
      <c r="B74" s="422" t="s">
        <v>393</v>
      </c>
      <c r="C74" s="421"/>
      <c r="D74" s="421"/>
      <c r="E74" s="420">
        <f>C74+D74</f>
        <v>0</v>
      </c>
      <c r="F74" s="421"/>
      <c r="G74" s="421"/>
      <c r="H74" s="420">
        <f>+E74-F74</f>
        <v>0</v>
      </c>
    </row>
    <row r="75" spans="1:8" x14ac:dyDescent="0.25">
      <c r="A75" s="423"/>
      <c r="B75" s="422"/>
      <c r="C75" s="421"/>
      <c r="D75" s="421"/>
      <c r="E75" s="420"/>
      <c r="F75" s="421"/>
      <c r="G75" s="421"/>
      <c r="H75" s="420"/>
    </row>
    <row r="76" spans="1:8" x14ac:dyDescent="0.25">
      <c r="A76" s="423" t="s">
        <v>392</v>
      </c>
      <c r="B76" s="422"/>
      <c r="C76" s="420">
        <f>SUM(C77:C80)</f>
        <v>0</v>
      </c>
      <c r="D76" s="420">
        <f>SUM(D77:D80)</f>
        <v>0</v>
      </c>
      <c r="E76" s="420">
        <f>SUM(E77:E80)</f>
        <v>0</v>
      </c>
      <c r="F76" s="420">
        <f>SUM(F77:F80)</f>
        <v>0</v>
      </c>
      <c r="G76" s="420">
        <f>SUM(G77:G80)</f>
        <v>0</v>
      </c>
      <c r="H76" s="420">
        <f>SUM(H77:H80)</f>
        <v>0</v>
      </c>
    </row>
    <row r="77" spans="1:8" x14ac:dyDescent="0.25">
      <c r="A77" s="423"/>
      <c r="B77" s="422" t="s">
        <v>391</v>
      </c>
      <c r="C77" s="421">
        <v>0</v>
      </c>
      <c r="D77" s="421"/>
      <c r="E77" s="420">
        <f>C77+D77</f>
        <v>0</v>
      </c>
      <c r="F77" s="421"/>
      <c r="G77" s="421"/>
      <c r="H77" s="420">
        <f>+E77-F77</f>
        <v>0</v>
      </c>
    </row>
    <row r="78" spans="1:8" x14ac:dyDescent="0.25">
      <c r="A78" s="423"/>
      <c r="B78" s="422" t="s">
        <v>390</v>
      </c>
      <c r="C78" s="421">
        <v>0</v>
      </c>
      <c r="D78" s="421"/>
      <c r="E78" s="420">
        <f>C78+D78</f>
        <v>0</v>
      </c>
      <c r="F78" s="421"/>
      <c r="G78" s="421"/>
      <c r="H78" s="420">
        <f>+E78-F78</f>
        <v>0</v>
      </c>
    </row>
    <row r="79" spans="1:8" x14ac:dyDescent="0.25">
      <c r="A79" s="423"/>
      <c r="B79" s="422" t="s">
        <v>389</v>
      </c>
      <c r="C79" s="421">
        <v>0</v>
      </c>
      <c r="D79" s="421"/>
      <c r="E79" s="420">
        <f>C79+D79</f>
        <v>0</v>
      </c>
      <c r="F79" s="421"/>
      <c r="G79" s="421"/>
      <c r="H79" s="420">
        <f>+E79-F79</f>
        <v>0</v>
      </c>
    </row>
    <row r="80" spans="1:8" x14ac:dyDescent="0.25">
      <c r="A80" s="423"/>
      <c r="B80" s="422" t="s">
        <v>388</v>
      </c>
      <c r="C80" s="421"/>
      <c r="D80" s="421"/>
      <c r="E80" s="420">
        <f>C80+D80</f>
        <v>0</v>
      </c>
      <c r="F80" s="421"/>
      <c r="G80" s="421"/>
      <c r="H80" s="420">
        <f>+E80-F80</f>
        <v>0</v>
      </c>
    </row>
    <row r="81" spans="1:9" x14ac:dyDescent="0.25">
      <c r="A81" s="423"/>
      <c r="B81" s="422"/>
      <c r="C81" s="421"/>
      <c r="D81" s="421"/>
      <c r="E81" s="420"/>
      <c r="F81" s="421"/>
      <c r="G81" s="421"/>
      <c r="H81" s="420"/>
    </row>
    <row r="82" spans="1:9" ht="15.75" thickBot="1" x14ac:dyDescent="0.3">
      <c r="A82" s="419" t="s">
        <v>214</v>
      </c>
      <c r="B82" s="418"/>
      <c r="C82" s="417">
        <f>+C9+C46</f>
        <v>788280901.10075855</v>
      </c>
      <c r="D82" s="417">
        <f>+D9+D46</f>
        <v>299229370.54000002</v>
      </c>
      <c r="E82" s="417">
        <f>+E9+E46</f>
        <v>1087510271.6407585</v>
      </c>
      <c r="F82" s="417">
        <f>+F9+F46</f>
        <v>646764162.72000003</v>
      </c>
      <c r="G82" s="417">
        <f>+G9+G46</f>
        <v>606147018.67000008</v>
      </c>
      <c r="H82" s="417">
        <f>+H9+H46</f>
        <v>440746108.92075849</v>
      </c>
      <c r="I82" s="107" t="str">
        <f>IF((C82-'ETCA-II-11'!B44)&gt;0.9,"ERROR!!!!! EL MONTO NO COINCIDE CON LO REPORTADO EN EL FORMATO ETCA-II-11 EN EL TOTAL DEL GASTO","")</f>
        <v/>
      </c>
    </row>
    <row r="83" spans="1:9" x14ac:dyDescent="0.25">
      <c r="A83" s="416"/>
      <c r="B83" s="416"/>
      <c r="C83" s="331"/>
      <c r="D83" s="331"/>
      <c r="E83" s="415"/>
      <c r="F83" s="331"/>
      <c r="G83" s="331"/>
      <c r="H83" s="415"/>
      <c r="I83" s="107" t="str">
        <f>IF((D82-'ETCA-II-11'!C44)&gt;0.9,"ERROR!!!!! EL MONTO NO COINCIDE CON LO REPORTADO EN EL FORMATO ETCA-II-11 EN EL TOTAL DEL GASTO","")</f>
        <v/>
      </c>
    </row>
    <row r="84" spans="1:9" x14ac:dyDescent="0.25">
      <c r="A84" s="416"/>
      <c r="B84" s="416"/>
      <c r="C84" s="331"/>
      <c r="D84" s="331"/>
      <c r="E84" s="415"/>
      <c r="F84" s="331"/>
      <c r="G84" s="331"/>
      <c r="H84" s="415"/>
      <c r="I84" t="str">
        <f>IF((E82-'ETCA-II-11'!D44),"ERROR!!!!! EL MONTO NO COINCIDE CON LO REPORTADO EN EL FORMATO ETCA-II-11 EN EL TOTAL DEL GASTO","")</f>
        <v/>
      </c>
    </row>
    <row r="85" spans="1:9" x14ac:dyDescent="0.25">
      <c r="A85" s="416"/>
      <c r="B85" s="416"/>
      <c r="C85" s="331"/>
      <c r="D85" s="331"/>
      <c r="E85" s="415"/>
      <c r="F85" s="331"/>
      <c r="G85" s="331"/>
      <c r="H85" s="415"/>
      <c r="I85" t="str">
        <f>IF((F82-'ETCA-II-11'!E44)&gt;0.9,"ERROR!!!!! EL MONTO NO COINCIDE CON LO REPORTADO EN EL FORMATO ETCA-II-11 EN EL TOTAL DEL GASTO","")</f>
        <v/>
      </c>
    </row>
    <row r="86" spans="1:9" x14ac:dyDescent="0.25">
      <c r="A86" s="416"/>
      <c r="B86" s="416"/>
      <c r="C86" s="331"/>
      <c r="D86" s="331"/>
      <c r="E86" s="415"/>
      <c r="F86" s="331"/>
      <c r="G86" s="331"/>
      <c r="H86" s="415"/>
      <c r="I86" t="str">
        <f>IF((G82-'ETCA-II-11'!F44)&gt;0.9,"ERROR!!!!! EL MONTO NO COINCIDE CON LO REPORTADO EN EL FORMATO ETCA-II-11 EN EL TOTAL DEL GASTO","")</f>
        <v/>
      </c>
    </row>
    <row r="87" spans="1:9" x14ac:dyDescent="0.25">
      <c r="A87" s="416"/>
      <c r="B87" s="416"/>
      <c r="C87" s="331"/>
      <c r="D87" s="331"/>
      <c r="E87" s="415"/>
      <c r="F87" s="331"/>
      <c r="G87" s="331"/>
      <c r="H87" s="415"/>
      <c r="I87" t="str">
        <f>IF((H82-'ETCA-II-11'!G44)&gt;0.9,"ERROR!!!!! EL MONTO NO COINCIDE CON LO REPORTADO EN EL FORMATO ETCA-II-11 EN EL TOTAL DEL GASTO","")</f>
        <v/>
      </c>
    </row>
    <row r="88" spans="1:9" x14ac:dyDescent="0.25">
      <c r="A88" s="416"/>
      <c r="B88" s="416"/>
      <c r="C88" s="331"/>
      <c r="D88" s="331"/>
      <c r="E88" s="415"/>
      <c r="F88" s="331"/>
      <c r="G88" s="331"/>
      <c r="H88" s="415"/>
    </row>
  </sheetData>
  <sheetProtection formatColumns="0" formatRows="0" insertHyperlinks="0"/>
  <mergeCells count="13">
    <mergeCell ref="A8:B8"/>
    <mergeCell ref="A9:B9"/>
    <mergeCell ref="A10:B10"/>
    <mergeCell ref="A20:B20"/>
    <mergeCell ref="A29:B29"/>
    <mergeCell ref="A6:B7"/>
    <mergeCell ref="C6:G6"/>
    <mergeCell ref="H6:H7"/>
    <mergeCell ref="A1:H1"/>
    <mergeCell ref="A2:H2"/>
    <mergeCell ref="A3:H3"/>
    <mergeCell ref="A4:H4"/>
    <mergeCell ref="A5:H5"/>
  </mergeCells>
  <pageMargins left="0.19685039370078741" right="0.31496062992125984" top="0.74803149606299213" bottom="0.74803149606299213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2A1BB-EDC4-4118-98C8-63C9B326B1FE}">
  <dimension ref="A1:L415"/>
  <sheetViews>
    <sheetView view="pageBreakPreview" zoomScaleNormal="96" zoomScaleSheetLayoutView="100" workbookViewId="0">
      <selection activeCell="G19" sqref="G19"/>
    </sheetView>
  </sheetViews>
  <sheetFormatPr baseColWidth="10" defaultRowHeight="15" x14ac:dyDescent="0.25"/>
  <cols>
    <col min="1" max="1" width="15.140625" customWidth="1"/>
    <col min="2" max="2" width="40.7109375" customWidth="1"/>
    <col min="3" max="3" width="13.28515625" style="448" customWidth="1"/>
    <col min="4" max="4" width="14.28515625" style="448" customWidth="1"/>
    <col min="5" max="5" width="12.28515625" style="448" customWidth="1"/>
    <col min="6" max="6" width="14.28515625" style="448" customWidth="1"/>
    <col min="7" max="7" width="13.42578125" style="448" customWidth="1"/>
    <col min="8" max="8" width="12.28515625" style="447" customWidth="1"/>
    <col min="9" max="9" width="9.42578125" style="446" customWidth="1"/>
    <col min="10" max="10" width="13.7109375" style="445" bestFit="1" customWidth="1"/>
  </cols>
  <sheetData>
    <row r="1" spans="1:10" x14ac:dyDescent="0.25">
      <c r="A1" s="517" t="s">
        <v>731</v>
      </c>
      <c r="B1" s="517"/>
      <c r="C1" s="517"/>
      <c r="D1" s="517"/>
      <c r="E1" s="517"/>
      <c r="F1" s="517"/>
      <c r="G1" s="517"/>
      <c r="H1" s="517"/>
      <c r="I1" s="517"/>
    </row>
    <row r="2" spans="1:10" x14ac:dyDescent="0.25">
      <c r="A2" s="516" t="s">
        <v>213</v>
      </c>
      <c r="B2" s="516"/>
      <c r="C2" s="516"/>
      <c r="D2" s="516"/>
      <c r="E2" s="516"/>
      <c r="F2" s="516"/>
      <c r="G2" s="516"/>
      <c r="H2" s="516"/>
      <c r="I2" s="516"/>
    </row>
    <row r="3" spans="1:10" x14ac:dyDescent="0.25">
      <c r="A3" s="516" t="s">
        <v>730</v>
      </c>
      <c r="B3" s="516"/>
      <c r="C3" s="516"/>
      <c r="D3" s="516"/>
      <c r="E3" s="516"/>
      <c r="F3" s="516"/>
      <c r="G3" s="516"/>
      <c r="H3" s="516"/>
      <c r="I3" s="516"/>
    </row>
    <row r="4" spans="1:10" x14ac:dyDescent="0.25">
      <c r="A4" s="516" t="s">
        <v>729</v>
      </c>
      <c r="B4" s="516"/>
      <c r="C4" s="516"/>
      <c r="D4" s="516"/>
      <c r="E4" s="516"/>
      <c r="F4" s="516"/>
      <c r="G4" s="516"/>
      <c r="H4" s="516"/>
      <c r="I4" s="516"/>
    </row>
    <row r="5" spans="1:10" x14ac:dyDescent="0.25">
      <c r="A5" s="516" t="s">
        <v>728</v>
      </c>
      <c r="B5" s="516"/>
      <c r="C5" s="516"/>
      <c r="D5" s="516"/>
      <c r="E5" s="516"/>
      <c r="F5" s="516"/>
      <c r="G5" s="516"/>
      <c r="H5" s="516"/>
      <c r="I5" s="516"/>
    </row>
    <row r="6" spans="1:10" ht="15.75" customHeight="1" thickBot="1" x14ac:dyDescent="0.3">
      <c r="D6" s="448" t="s">
        <v>297</v>
      </c>
      <c r="H6" s="515"/>
      <c r="I6" s="515"/>
    </row>
    <row r="7" spans="1:10" ht="15.75" thickTop="1" x14ac:dyDescent="0.25">
      <c r="A7" s="514" t="s">
        <v>727</v>
      </c>
      <c r="B7" s="513" t="s">
        <v>726</v>
      </c>
      <c r="C7" s="511" t="s">
        <v>725</v>
      </c>
      <c r="D7" s="511" t="s">
        <v>724</v>
      </c>
      <c r="E7" s="512" t="s">
        <v>723</v>
      </c>
      <c r="F7" s="511" t="s">
        <v>722</v>
      </c>
      <c r="G7" s="511" t="s">
        <v>721</v>
      </c>
      <c r="H7" s="510" t="s">
        <v>720</v>
      </c>
      <c r="I7" s="509" t="s">
        <v>719</v>
      </c>
    </row>
    <row r="8" spans="1:10" ht="36" customHeight="1" x14ac:dyDescent="0.25">
      <c r="A8" s="508"/>
      <c r="B8" s="507"/>
      <c r="C8" s="504"/>
      <c r="D8" s="504"/>
      <c r="E8" s="506"/>
      <c r="F8" s="505"/>
      <c r="G8" s="504"/>
      <c r="H8" s="503"/>
      <c r="I8" s="502"/>
    </row>
    <row r="9" spans="1:10" x14ac:dyDescent="0.25">
      <c r="A9" s="495">
        <v>1000</v>
      </c>
      <c r="B9" s="491" t="s">
        <v>718</v>
      </c>
      <c r="C9" s="463">
        <f>C10+C20+C25+C37+C47+C74+C71</f>
        <v>228381131.27051684</v>
      </c>
      <c r="D9" s="463">
        <f>D10+D20+D25+D37+D47+D74+D71</f>
        <v>13382054.330000002</v>
      </c>
      <c r="E9" s="463">
        <f>+C9+D9</f>
        <v>241763185.60051686</v>
      </c>
      <c r="F9" s="480">
        <f>F10+F20+F25+F37+F47+F74</f>
        <v>230621556.50000003</v>
      </c>
      <c r="G9" s="463">
        <f>G10+G20+G25+G37+G47+G74</f>
        <v>219772465.42000002</v>
      </c>
      <c r="H9" s="463">
        <f>+E9-F9</f>
        <v>11141629.100516826</v>
      </c>
      <c r="I9" s="460">
        <f>+F9/E9</f>
        <v>0.95391511295302434</v>
      </c>
      <c r="J9" s="501"/>
    </row>
    <row r="10" spans="1:10" ht="27.75" customHeight="1" x14ac:dyDescent="0.25">
      <c r="A10" s="493">
        <v>1100</v>
      </c>
      <c r="B10" s="491" t="s">
        <v>717</v>
      </c>
      <c r="C10" s="463">
        <f>C11</f>
        <v>128715176.53765386</v>
      </c>
      <c r="D10" s="463">
        <f>D11</f>
        <v>7287593.2799999993</v>
      </c>
      <c r="E10" s="463">
        <f>+C10+D10</f>
        <v>136002769.81765386</v>
      </c>
      <c r="F10" s="463">
        <f>F11</f>
        <v>128760871.70999999</v>
      </c>
      <c r="G10" s="463">
        <f>G11</f>
        <v>124599026.20999999</v>
      </c>
      <c r="H10" s="463">
        <f>+E10-F10</f>
        <v>7241898.1076538712</v>
      </c>
      <c r="I10" s="460">
        <f>+F10/E10</f>
        <v>0.94675183367689153</v>
      </c>
      <c r="J10" s="500"/>
    </row>
    <row r="11" spans="1:10" x14ac:dyDescent="0.25">
      <c r="A11" s="492">
        <v>113</v>
      </c>
      <c r="B11" s="491" t="s">
        <v>716</v>
      </c>
      <c r="C11" s="463">
        <f>SUM(C12:C19)</f>
        <v>128715176.53765386</v>
      </c>
      <c r="D11" s="463">
        <f>SUM(D12:D19)</f>
        <v>7287593.2799999993</v>
      </c>
      <c r="E11" s="463">
        <f>+C11+D11</f>
        <v>136002769.81765386</v>
      </c>
      <c r="F11" s="463">
        <f>SUM(F12:F19)</f>
        <v>128760871.70999999</v>
      </c>
      <c r="G11" s="463">
        <f>SUM(G12:G19)</f>
        <v>124599026.20999999</v>
      </c>
      <c r="H11" s="463">
        <f>+E11-F11</f>
        <v>7241898.1076538712</v>
      </c>
      <c r="I11" s="460">
        <f>+F11/E11</f>
        <v>0.94675183367689153</v>
      </c>
    </row>
    <row r="12" spans="1:10" x14ac:dyDescent="0.25">
      <c r="A12" s="494">
        <v>11301</v>
      </c>
      <c r="B12" s="490" t="s">
        <v>715</v>
      </c>
      <c r="C12" s="464">
        <f>'[4]Por organismos'!I16</f>
        <v>67478133.162843138</v>
      </c>
      <c r="D12" s="464">
        <f>'[4]Por organismos'!P16</f>
        <v>14928001.720000001</v>
      </c>
      <c r="E12" s="463">
        <f>+C12+D12</f>
        <v>82406134.882843137</v>
      </c>
      <c r="F12" s="464">
        <f>'[4]Por organismos'!X16</f>
        <v>82405632.829999998</v>
      </c>
      <c r="G12" s="464">
        <f>'[4]Por organismos'!AE16</f>
        <v>79862447.25</v>
      </c>
      <c r="H12" s="475">
        <f>+E12-F12</f>
        <v>502.05284313857555</v>
      </c>
      <c r="I12" s="460">
        <f>+F12/E12</f>
        <v>0.99999390757928575</v>
      </c>
    </row>
    <row r="13" spans="1:10" x14ac:dyDescent="0.25">
      <c r="A13" s="494">
        <v>11302</v>
      </c>
      <c r="B13" s="490" t="s">
        <v>714</v>
      </c>
      <c r="C13" s="464">
        <f>'[4]Por organismos'!I17</f>
        <v>735002.72</v>
      </c>
      <c r="D13" s="464">
        <f>'[4]Por organismos'!P17</f>
        <v>0</v>
      </c>
      <c r="E13" s="463">
        <f>+C13+D13</f>
        <v>735002.72</v>
      </c>
      <c r="F13" s="464">
        <f>'[4]Por organismos'!X17</f>
        <v>657757.73</v>
      </c>
      <c r="G13" s="464">
        <f>'[4]Por organismos'!AE17</f>
        <v>657757.73</v>
      </c>
      <c r="H13" s="463">
        <f>+E13-F13</f>
        <v>77244.989999999991</v>
      </c>
      <c r="I13" s="460">
        <f>+F13/E13</f>
        <v>0.89490516443258883</v>
      </c>
    </row>
    <row r="14" spans="1:10" x14ac:dyDescent="0.25">
      <c r="A14" s="494">
        <v>11303</v>
      </c>
      <c r="B14" s="490" t="s">
        <v>713</v>
      </c>
      <c r="C14" s="464">
        <f>'[4]Por organismos'!I18</f>
        <v>1366024.8619637503</v>
      </c>
      <c r="D14" s="464">
        <f>'[4]Por organismos'!P18</f>
        <v>242545.33</v>
      </c>
      <c r="E14" s="463">
        <f>+C14+D14</f>
        <v>1608570.1919637504</v>
      </c>
      <c r="F14" s="464">
        <f>'[4]Por organismos'!X18</f>
        <v>1341191.6500000001</v>
      </c>
      <c r="G14" s="464">
        <f>'[4]Por organismos'!AE18</f>
        <v>1341188.6500000001</v>
      </c>
      <c r="H14" s="463">
        <f>+E14-F14</f>
        <v>267378.54196375026</v>
      </c>
      <c r="I14" s="460">
        <f>+F14/E14</f>
        <v>0.83377875376558286</v>
      </c>
    </row>
    <row r="15" spans="1:10" x14ac:dyDescent="0.25">
      <c r="A15" s="494">
        <v>11304</v>
      </c>
      <c r="B15" s="490" t="s">
        <v>712</v>
      </c>
      <c r="C15" s="464">
        <f>'[4]Por organismos'!I19</f>
        <v>0</v>
      </c>
      <c r="D15" s="464">
        <f>'[4]Por organismos'!P19</f>
        <v>0</v>
      </c>
      <c r="E15" s="463">
        <f>+C15+D15</f>
        <v>0</v>
      </c>
      <c r="F15" s="464">
        <f>'[4]Por organismos'!X19</f>
        <v>0</v>
      </c>
      <c r="G15" s="464">
        <f>'[4]Por organismos'!AE19</f>
        <v>0</v>
      </c>
      <c r="H15" s="463">
        <f>+E15-F15</f>
        <v>0</v>
      </c>
      <c r="I15" s="460"/>
    </row>
    <row r="16" spans="1:10" x14ac:dyDescent="0.25">
      <c r="A16" s="494">
        <v>11306</v>
      </c>
      <c r="B16" s="490" t="s">
        <v>711</v>
      </c>
      <c r="C16" s="464">
        <f>'[4]Por organismos'!I20</f>
        <v>41093921.389243282</v>
      </c>
      <c r="D16" s="464">
        <f>'[4]Por organismos'!P20</f>
        <v>-5550624.3500000006</v>
      </c>
      <c r="E16" s="463">
        <f>+C16+D16</f>
        <v>35543297.039243281</v>
      </c>
      <c r="F16" s="464">
        <f>'[4]Por organismos'!X20</f>
        <v>31788094.350000001</v>
      </c>
      <c r="G16" s="464">
        <f>'[4]Por organismos'!AE20</f>
        <v>30169437.43</v>
      </c>
      <c r="H16" s="463">
        <f>+E16-F16</f>
        <v>3755202.6892432794</v>
      </c>
      <c r="I16" s="460">
        <f>+F16/E16</f>
        <v>0.89434849881548217</v>
      </c>
    </row>
    <row r="17" spans="1:9" x14ac:dyDescent="0.25">
      <c r="A17" s="494">
        <v>11307</v>
      </c>
      <c r="B17" s="490" t="s">
        <v>710</v>
      </c>
      <c r="C17" s="464">
        <f>'[4]Por organismos'!I21</f>
        <v>10643911.045503145</v>
      </c>
      <c r="D17" s="464">
        <f>'[4]Por organismos'!P21</f>
        <v>-1171844.5</v>
      </c>
      <c r="E17" s="463">
        <f>+C17+D17</f>
        <v>9472066.5455031451</v>
      </c>
      <c r="F17" s="464">
        <f>'[4]Por organismos'!X21</f>
        <v>7526789.8499999996</v>
      </c>
      <c r="G17" s="464">
        <f>'[4]Por organismos'!AE21</f>
        <v>7526789.8499999996</v>
      </c>
      <c r="H17" s="463">
        <f>+E17-F17</f>
        <v>1945276.6955031455</v>
      </c>
      <c r="I17" s="460">
        <f>+F17/E17</f>
        <v>0.79463017007342884</v>
      </c>
    </row>
    <row r="18" spans="1:9" x14ac:dyDescent="0.25">
      <c r="A18" s="494">
        <v>11308</v>
      </c>
      <c r="B18" s="490" t="s">
        <v>709</v>
      </c>
      <c r="C18" s="464">
        <f>'[4]Por organismos'!I22</f>
        <v>453876.75201704889</v>
      </c>
      <c r="D18" s="464">
        <f>'[4]Por organismos'!P22</f>
        <v>-398326.75</v>
      </c>
      <c r="E18" s="463">
        <f>+C18+D18</f>
        <v>55550.002017048886</v>
      </c>
      <c r="F18" s="464">
        <f>'[4]Por organismos'!X22</f>
        <v>23550</v>
      </c>
      <c r="G18" s="464">
        <f>'[4]Por organismos'!AE22</f>
        <v>23550</v>
      </c>
      <c r="H18" s="463">
        <f>+E18-F18</f>
        <v>32000.002017048886</v>
      </c>
      <c r="I18" s="460">
        <f>+F18/E18</f>
        <v>0.42394237884585956</v>
      </c>
    </row>
    <row r="19" spans="1:9" x14ac:dyDescent="0.25">
      <c r="A19" s="494">
        <v>11310</v>
      </c>
      <c r="B19" s="490" t="s">
        <v>708</v>
      </c>
      <c r="C19" s="464">
        <f>'[4]Por organismos'!I23</f>
        <v>6944306.6060835188</v>
      </c>
      <c r="D19" s="464">
        <f>'[4]Por organismos'!P23</f>
        <v>-762158.17</v>
      </c>
      <c r="E19" s="463">
        <f>+C19+D19</f>
        <v>6182148.4360835189</v>
      </c>
      <c r="F19" s="464">
        <f>'[4]Por organismos'!X23</f>
        <v>5017855.3</v>
      </c>
      <c r="G19" s="464">
        <f>'[4]Por organismos'!AE23</f>
        <v>5017855.3</v>
      </c>
      <c r="H19" s="463">
        <f>+E19-F19</f>
        <v>1164293.1360835191</v>
      </c>
      <c r="I19" s="460">
        <f>+F19/E19</f>
        <v>0.81166852460418826</v>
      </c>
    </row>
    <row r="20" spans="1:9" ht="28.5" customHeight="1" x14ac:dyDescent="0.25">
      <c r="A20" s="493">
        <v>1200</v>
      </c>
      <c r="B20" s="491" t="s">
        <v>707</v>
      </c>
      <c r="C20" s="463">
        <f>C21+C23</f>
        <v>2499030.636425056</v>
      </c>
      <c r="D20" s="463">
        <f>D21+D23</f>
        <v>23669.5</v>
      </c>
      <c r="E20" s="463">
        <f>+C20+D20</f>
        <v>2522700.136425056</v>
      </c>
      <c r="F20" s="463">
        <f>F21+F23</f>
        <v>2285316.08</v>
      </c>
      <c r="G20" s="463">
        <f>G21+G23</f>
        <v>2219689.14</v>
      </c>
      <c r="H20" s="463">
        <f>+E20-F20</f>
        <v>237384.05642505595</v>
      </c>
      <c r="I20" s="460">
        <f>+F20/E20</f>
        <v>0.90590080327126976</v>
      </c>
    </row>
    <row r="21" spans="1:9" x14ac:dyDescent="0.25">
      <c r="A21" s="492">
        <v>121</v>
      </c>
      <c r="B21" s="491" t="s">
        <v>706</v>
      </c>
      <c r="C21" s="463">
        <f>C22</f>
        <v>2136256.5064250561</v>
      </c>
      <c r="D21" s="463">
        <f>D22</f>
        <v>19192.5</v>
      </c>
      <c r="E21" s="463">
        <f>+C21+D21</f>
        <v>2155449.0064250561</v>
      </c>
      <c r="F21" s="463">
        <f>F22</f>
        <v>1918065.65</v>
      </c>
      <c r="G21" s="463">
        <f>G22</f>
        <v>1852438.71</v>
      </c>
      <c r="H21" s="463">
        <f>+E21-F21</f>
        <v>237383.35642505623</v>
      </c>
      <c r="I21" s="460">
        <f>+F21/E21</f>
        <v>0.889868256814495</v>
      </c>
    </row>
    <row r="22" spans="1:9" x14ac:dyDescent="0.25">
      <c r="A22" s="494">
        <v>12101</v>
      </c>
      <c r="B22" s="490" t="s">
        <v>705</v>
      </c>
      <c r="C22" s="464">
        <f>'[4]Por organismos'!I26</f>
        <v>2136256.5064250561</v>
      </c>
      <c r="D22" s="464">
        <f>'[4]Por organismos'!P26</f>
        <v>19192.5</v>
      </c>
      <c r="E22" s="463">
        <f>+C22+D22</f>
        <v>2155449.0064250561</v>
      </c>
      <c r="F22" s="464">
        <f>'[4]Por organismos'!X26</f>
        <v>1918065.65</v>
      </c>
      <c r="G22" s="464">
        <f>'[4]Por organismos'!AE26</f>
        <v>1852438.71</v>
      </c>
      <c r="H22" s="463">
        <f>+E22-F22</f>
        <v>237383.35642505623</v>
      </c>
      <c r="I22" s="460">
        <f>+F22/E22</f>
        <v>0.889868256814495</v>
      </c>
    </row>
    <row r="23" spans="1:9" x14ac:dyDescent="0.25">
      <c r="A23" s="485">
        <v>122</v>
      </c>
      <c r="B23" s="491" t="s">
        <v>704</v>
      </c>
      <c r="C23" s="463">
        <f>C24</f>
        <v>362774.13</v>
      </c>
      <c r="D23" s="463">
        <f>D24</f>
        <v>4477</v>
      </c>
      <c r="E23" s="463">
        <f>+C23+D23</f>
        <v>367251.13</v>
      </c>
      <c r="F23" s="463">
        <f>F24</f>
        <v>367250.43</v>
      </c>
      <c r="G23" s="463">
        <f>G24</f>
        <v>367250.43</v>
      </c>
      <c r="H23" s="463">
        <f>+E23-F23</f>
        <v>0.70000000001164153</v>
      </c>
      <c r="I23" s="460">
        <f>+F23/E23</f>
        <v>0.99999809394732153</v>
      </c>
    </row>
    <row r="24" spans="1:9" x14ac:dyDescent="0.25">
      <c r="A24" s="482">
        <v>12201</v>
      </c>
      <c r="B24" s="490" t="s">
        <v>704</v>
      </c>
      <c r="C24" s="464">
        <f>'[4]Por organismos'!I28</f>
        <v>362774.13</v>
      </c>
      <c r="D24" s="464">
        <f>'[4]Por organismos'!P28</f>
        <v>4477</v>
      </c>
      <c r="E24" s="463">
        <f>+C24+D24</f>
        <v>367251.13</v>
      </c>
      <c r="F24" s="464">
        <f>'[4]Por organismos'!X28</f>
        <v>367250.43</v>
      </c>
      <c r="G24" s="464">
        <f>'[4]Por organismos'!AE28</f>
        <v>367250.43</v>
      </c>
      <c r="H24" s="463">
        <f>+E24-F24</f>
        <v>0.70000000001164153</v>
      </c>
      <c r="I24" s="460">
        <f>+F24/E24</f>
        <v>0.99999809394732153</v>
      </c>
    </row>
    <row r="25" spans="1:9" ht="25.5" customHeight="1" x14ac:dyDescent="0.25">
      <c r="A25" s="493">
        <v>1300</v>
      </c>
      <c r="B25" s="491" t="s">
        <v>703</v>
      </c>
      <c r="C25" s="463">
        <f>C26+C28+C33+C35</f>
        <v>13492089.137547543</v>
      </c>
      <c r="D25" s="463">
        <f>D26+D28+D33+D35</f>
        <v>7351986.2199999997</v>
      </c>
      <c r="E25" s="463">
        <f>+C25+D25</f>
        <v>20844075.357547544</v>
      </c>
      <c r="F25" s="463">
        <f>F26+F28+F33+F35</f>
        <v>19595210.740000002</v>
      </c>
      <c r="G25" s="463">
        <f>G26+G28+G33+G35</f>
        <v>19441411.25</v>
      </c>
      <c r="H25" s="463">
        <f>+E25-F25</f>
        <v>1248864.6175475419</v>
      </c>
      <c r="I25" s="460">
        <f>+F25/E25</f>
        <v>0.94008539135820512</v>
      </c>
    </row>
    <row r="26" spans="1:9" ht="29.25" customHeight="1" x14ac:dyDescent="0.25">
      <c r="A26" s="492">
        <v>131</v>
      </c>
      <c r="B26" s="491" t="s">
        <v>702</v>
      </c>
      <c r="C26" s="463">
        <f>C27</f>
        <v>4387742.1979614338</v>
      </c>
      <c r="D26" s="463">
        <f>D27</f>
        <v>847567.76</v>
      </c>
      <c r="E26" s="463">
        <f>+C26+D26</f>
        <v>5235309.9579614336</v>
      </c>
      <c r="F26" s="463">
        <f>F27</f>
        <v>5235280.1499999994</v>
      </c>
      <c r="G26" s="463">
        <f>G27</f>
        <v>5235280.1499999994</v>
      </c>
      <c r="H26" s="463">
        <f>+E26-F26</f>
        <v>29.8079614341259</v>
      </c>
      <c r="I26" s="460">
        <f>+F26/E26</f>
        <v>0.9999943063616723</v>
      </c>
    </row>
    <row r="27" spans="1:9" ht="30.75" customHeight="1" x14ac:dyDescent="0.25">
      <c r="A27" s="494">
        <v>13101</v>
      </c>
      <c r="B27" s="490" t="s">
        <v>701</v>
      </c>
      <c r="C27" s="464">
        <f>'[4]Por organismos'!I31</f>
        <v>4387742.1979614338</v>
      </c>
      <c r="D27" s="464">
        <f>'[4]Por organismos'!P31</f>
        <v>847567.76</v>
      </c>
      <c r="E27" s="463">
        <f>+C27+D27</f>
        <v>5235309.9579614336</v>
      </c>
      <c r="F27" s="464">
        <f>'[4]Por organismos'!X31</f>
        <v>5235280.1499999994</v>
      </c>
      <c r="G27" s="464">
        <f>'[4]Por organismos'!AE31</f>
        <v>5235280.1499999994</v>
      </c>
      <c r="H27" s="475">
        <f>+E27-F27</f>
        <v>29.8079614341259</v>
      </c>
      <c r="I27" s="460">
        <f>+F27/E27</f>
        <v>0.9999943063616723</v>
      </c>
    </row>
    <row r="28" spans="1:9" ht="31.5" customHeight="1" x14ac:dyDescent="0.25">
      <c r="A28" s="492">
        <v>132</v>
      </c>
      <c r="B28" s="491" t="s">
        <v>700</v>
      </c>
      <c r="C28" s="463">
        <f>C29+C30+C31+C32</f>
        <v>7036458.352800183</v>
      </c>
      <c r="D28" s="463">
        <f>D29+D30+D31+D32</f>
        <v>-209450.88000000035</v>
      </c>
      <c r="E28" s="463">
        <f>+C28+D28</f>
        <v>6827007.4728001822</v>
      </c>
      <c r="F28" s="463">
        <f>F29+F30+F31+F32</f>
        <v>5636119.4000000004</v>
      </c>
      <c r="G28" s="463">
        <f>G29+G30+G31+G32</f>
        <v>5482319.9100000001</v>
      </c>
      <c r="H28" s="463">
        <f>+E28-F28</f>
        <v>1190888.0728001818</v>
      </c>
      <c r="I28" s="460">
        <f>+F28/E28</f>
        <v>0.82556221337901592</v>
      </c>
    </row>
    <row r="29" spans="1:9" x14ac:dyDescent="0.25">
      <c r="A29" s="494">
        <v>13201</v>
      </c>
      <c r="B29" s="490" t="s">
        <v>699</v>
      </c>
      <c r="C29" s="464">
        <f>'[4]Por organismos'!I33</f>
        <v>5163059.1898913616</v>
      </c>
      <c r="D29" s="464">
        <f>'[4]Por organismos'!P33</f>
        <v>-1937425.61</v>
      </c>
      <c r="E29" s="463">
        <f>+C29+D29</f>
        <v>3225633.5798913613</v>
      </c>
      <c r="F29" s="464">
        <f>'[4]Por organismos'!X33</f>
        <v>2120609.5300000003</v>
      </c>
      <c r="G29" s="464">
        <f>'[4]Por organismos'!AE33</f>
        <v>2111588.9000000004</v>
      </c>
      <c r="H29" s="463">
        <f>+E29-F29</f>
        <v>1105024.049891361</v>
      </c>
      <c r="I29" s="460">
        <f>+F29/E29</f>
        <v>0.65742418581574347</v>
      </c>
    </row>
    <row r="30" spans="1:9" x14ac:dyDescent="0.25">
      <c r="A30" s="494">
        <v>13202</v>
      </c>
      <c r="B30" s="490" t="s">
        <v>698</v>
      </c>
      <c r="C30" s="464">
        <f>'[4]Por organismos'!I34</f>
        <v>1697508.1529088211</v>
      </c>
      <c r="D30" s="464">
        <f>'[4]Por organismos'!P34</f>
        <v>1727974.7299999997</v>
      </c>
      <c r="E30" s="463">
        <f>+C30+D30</f>
        <v>3425482.8829088211</v>
      </c>
      <c r="F30" s="464">
        <f>'[4]Por organismos'!X34</f>
        <v>3368321.21</v>
      </c>
      <c r="G30" s="464">
        <f>'[4]Por organismos'!AE34</f>
        <v>3223542.3499999996</v>
      </c>
      <c r="H30" s="463">
        <f>+E30-F30</f>
        <v>57161.672908821143</v>
      </c>
      <c r="I30" s="460">
        <f>+F30/E30</f>
        <v>0.9833128131528478</v>
      </c>
    </row>
    <row r="31" spans="1:9" x14ac:dyDescent="0.25">
      <c r="A31" s="494">
        <v>13203</v>
      </c>
      <c r="B31" s="490" t="s">
        <v>697</v>
      </c>
      <c r="C31" s="464">
        <f>'[4]Por organismos'!I35</f>
        <v>90430.26</v>
      </c>
      <c r="D31" s="464">
        <f>'[4]Por organismos'!P35</f>
        <v>0</v>
      </c>
      <c r="E31" s="463">
        <f>+C31+D31</f>
        <v>90430.26</v>
      </c>
      <c r="F31" s="464">
        <f>'[4]Por organismos'!X35</f>
        <v>76838.78</v>
      </c>
      <c r="G31" s="464">
        <f>'[4]Por organismos'!AE35</f>
        <v>76838.78</v>
      </c>
      <c r="H31" s="463">
        <f>+E31-F31</f>
        <v>13591.479999999996</v>
      </c>
      <c r="I31" s="460">
        <f>+F31/E31</f>
        <v>0.84970207981266455</v>
      </c>
    </row>
    <row r="32" spans="1:9" x14ac:dyDescent="0.25">
      <c r="A32" s="494">
        <v>13204</v>
      </c>
      <c r="B32" s="490" t="s">
        <v>696</v>
      </c>
      <c r="C32" s="464">
        <f>'[4]Por organismos'!I36</f>
        <v>85460.75</v>
      </c>
      <c r="D32" s="464">
        <f>'[4]Por organismos'!P36</f>
        <v>0</v>
      </c>
      <c r="E32" s="463">
        <f>+C32+D32</f>
        <v>85460.75</v>
      </c>
      <c r="F32" s="464">
        <f>'[4]Por organismos'!X36</f>
        <v>70349.88</v>
      </c>
      <c r="G32" s="464">
        <f>'[4]Por organismos'!AE36</f>
        <v>70349.88</v>
      </c>
      <c r="H32" s="463">
        <f>+E32-F32</f>
        <v>15110.869999999995</v>
      </c>
      <c r="I32" s="460">
        <f>+F32/E32</f>
        <v>0.82318350821868524</v>
      </c>
    </row>
    <row r="33" spans="1:9" x14ac:dyDescent="0.25">
      <c r="A33" s="492">
        <v>133</v>
      </c>
      <c r="B33" s="491" t="s">
        <v>695</v>
      </c>
      <c r="C33" s="463">
        <f>C34</f>
        <v>1950288.586785926</v>
      </c>
      <c r="D33" s="463">
        <f>D34</f>
        <v>6713809.2400000002</v>
      </c>
      <c r="E33" s="463">
        <f>+C33+D33</f>
        <v>8664097.8267859258</v>
      </c>
      <c r="F33" s="463">
        <f>F34</f>
        <v>8606151.0899999999</v>
      </c>
      <c r="G33" s="463">
        <f>G34</f>
        <v>8606151.0899999999</v>
      </c>
      <c r="H33" s="463">
        <f>+E33-F33</f>
        <v>57946.736785925925</v>
      </c>
      <c r="I33" s="460">
        <f>+F33/E33</f>
        <v>0.99331185566640556</v>
      </c>
    </row>
    <row r="34" spans="1:9" x14ac:dyDescent="0.25">
      <c r="A34" s="494">
        <v>13301</v>
      </c>
      <c r="B34" s="490" t="s">
        <v>694</v>
      </c>
      <c r="C34" s="464">
        <f>'[4]Por organismos'!I38</f>
        <v>1950288.586785926</v>
      </c>
      <c r="D34" s="464">
        <f>'[4]Por organismos'!P38</f>
        <v>6713809.2400000002</v>
      </c>
      <c r="E34" s="463">
        <f>+C34+D34</f>
        <v>8664097.8267859258</v>
      </c>
      <c r="F34" s="464">
        <f>'[4]Por organismos'!X38</f>
        <v>8606151.0899999999</v>
      </c>
      <c r="G34" s="464">
        <f>'[4]Por organismos'!AE38</f>
        <v>8606151.0899999999</v>
      </c>
      <c r="H34" s="463">
        <f>+E34-F34</f>
        <v>57946.736785925925</v>
      </c>
      <c r="I34" s="460">
        <f>+F34/E34</f>
        <v>0.99331185566640556</v>
      </c>
    </row>
    <row r="35" spans="1:9" x14ac:dyDescent="0.25">
      <c r="A35" s="492">
        <v>134</v>
      </c>
      <c r="B35" s="491" t="s">
        <v>693</v>
      </c>
      <c r="C35" s="463">
        <f>C36</f>
        <v>117600</v>
      </c>
      <c r="D35" s="463">
        <f>D36</f>
        <v>60.1</v>
      </c>
      <c r="E35" s="463">
        <f>+C35+D35</f>
        <v>117660.1</v>
      </c>
      <c r="F35" s="463">
        <f>F36</f>
        <v>117660.1</v>
      </c>
      <c r="G35" s="463">
        <f>G36</f>
        <v>117660.1</v>
      </c>
      <c r="H35" s="463">
        <f>+E35-F35</f>
        <v>0</v>
      </c>
      <c r="I35" s="460">
        <f>+F35/E35</f>
        <v>1</v>
      </c>
    </row>
    <row r="36" spans="1:9" x14ac:dyDescent="0.25">
      <c r="A36" s="494">
        <v>13403</v>
      </c>
      <c r="B36" s="490" t="s">
        <v>692</v>
      </c>
      <c r="C36" s="464">
        <f>'[4]Por organismos'!I40</f>
        <v>117600</v>
      </c>
      <c r="D36" s="464">
        <f>'[4]Por organismos'!P40</f>
        <v>60.1</v>
      </c>
      <c r="E36" s="463">
        <f>+C36+D36</f>
        <v>117660.1</v>
      </c>
      <c r="F36" s="464">
        <f>'[4]Por organismos'!X40</f>
        <v>117660.1</v>
      </c>
      <c r="G36" s="464">
        <f>'[4]Por organismos'!AE40</f>
        <v>117660.1</v>
      </c>
      <c r="H36" s="463">
        <f>+E36-F36</f>
        <v>0</v>
      </c>
      <c r="I36" s="460">
        <f>+F36/E36</f>
        <v>1</v>
      </c>
    </row>
    <row r="37" spans="1:9" x14ac:dyDescent="0.25">
      <c r="A37" s="493">
        <v>1400</v>
      </c>
      <c r="B37" s="491" t="s">
        <v>691</v>
      </c>
      <c r="C37" s="463">
        <f>C38+C41+C43</f>
        <v>43124348.720805742</v>
      </c>
      <c r="D37" s="463">
        <f>D38+D41+D43</f>
        <v>27463.050000000047</v>
      </c>
      <c r="E37" s="463">
        <f>+C37+D37</f>
        <v>43151811.770805739</v>
      </c>
      <c r="F37" s="463">
        <f>F38+F41+F43</f>
        <v>42495166.330000006</v>
      </c>
      <c r="G37" s="463">
        <f>G38+G41+G43</f>
        <v>37832891.960000001</v>
      </c>
      <c r="H37" s="463">
        <f>+E37-F37</f>
        <v>656645.4408057332</v>
      </c>
      <c r="I37" s="460">
        <f>+F37/E37</f>
        <v>0.98478289986308332</v>
      </c>
    </row>
    <row r="38" spans="1:9" x14ac:dyDescent="0.25">
      <c r="A38" s="492">
        <v>141</v>
      </c>
      <c r="B38" s="491" t="s">
        <v>690</v>
      </c>
      <c r="C38" s="463">
        <f>C39+C40</f>
        <v>39159535.956111878</v>
      </c>
      <c r="D38" s="463">
        <f>D39+D40</f>
        <v>646725.79</v>
      </c>
      <c r="E38" s="463">
        <f>+C38+D38</f>
        <v>39806261.746111877</v>
      </c>
      <c r="F38" s="463">
        <f>F39+F40</f>
        <v>39610245.920000002</v>
      </c>
      <c r="G38" s="463">
        <f>G39+G40</f>
        <v>35194523.449999996</v>
      </c>
      <c r="H38" s="475">
        <f>+E38-F38</f>
        <v>196015.82611187547</v>
      </c>
      <c r="I38" s="460">
        <f>+F38/E38</f>
        <v>0.99507575397654557</v>
      </c>
    </row>
    <row r="39" spans="1:9" x14ac:dyDescent="0.25">
      <c r="A39" s="494">
        <v>14106</v>
      </c>
      <c r="B39" s="490" t="s">
        <v>689</v>
      </c>
      <c r="C39" s="464">
        <f>'[4]Por organismos'!I43</f>
        <v>25066365.075066939</v>
      </c>
      <c r="D39" s="464">
        <f>'[4]Por organismos'!P43</f>
        <v>301793.46000000002</v>
      </c>
      <c r="E39" s="463">
        <f>+C39+D39</f>
        <v>25368158.53506694</v>
      </c>
      <c r="F39" s="464">
        <f>'[4]Por organismos'!X43</f>
        <v>25172555.82</v>
      </c>
      <c r="G39" s="464">
        <f>'[4]Por organismos'!AE43</f>
        <v>22428012.529999997</v>
      </c>
      <c r="H39" s="475">
        <f>+E39-F39</f>
        <v>195602.71506693959</v>
      </c>
      <c r="I39" s="460">
        <f>+F39/E39</f>
        <v>0.99228943974011541</v>
      </c>
    </row>
    <row r="40" spans="1:9" ht="22.5" x14ac:dyDescent="0.25">
      <c r="A40" s="494">
        <v>14109</v>
      </c>
      <c r="B40" s="490" t="s">
        <v>688</v>
      </c>
      <c r="C40" s="464">
        <f>'[4]Por organismos'!I44</f>
        <v>14093170.881044935</v>
      </c>
      <c r="D40" s="464">
        <f>'[4]Por organismos'!P44</f>
        <v>344932.33</v>
      </c>
      <c r="E40" s="463">
        <f>+C40+D40</f>
        <v>14438103.211044936</v>
      </c>
      <c r="F40" s="464">
        <f>'[4]Por organismos'!X44</f>
        <v>14437690.1</v>
      </c>
      <c r="G40" s="464">
        <f>'[4]Por organismos'!AE44</f>
        <v>12766510.919999998</v>
      </c>
      <c r="H40" s="475">
        <f>+E40-F40</f>
        <v>413.11104493588209</v>
      </c>
      <c r="I40" s="460">
        <f>+F40/E40</f>
        <v>0.99997138744342684</v>
      </c>
    </row>
    <row r="41" spans="1:9" x14ac:dyDescent="0.25">
      <c r="A41" s="492">
        <v>143</v>
      </c>
      <c r="B41" s="491" t="s">
        <v>687</v>
      </c>
      <c r="C41" s="463">
        <f>C42</f>
        <v>482133.89999999991</v>
      </c>
      <c r="D41" s="463">
        <f>D42</f>
        <v>0</v>
      </c>
      <c r="E41" s="463">
        <f>+C41+D41</f>
        <v>482133.89999999991</v>
      </c>
      <c r="F41" s="463">
        <f>F42</f>
        <v>481580.34</v>
      </c>
      <c r="G41" s="463">
        <f>G42</f>
        <v>481580.34</v>
      </c>
      <c r="H41" s="463">
        <f>+E41-F41</f>
        <v>553.55999999988126</v>
      </c>
      <c r="I41" s="460">
        <f>+F41/E41</f>
        <v>0.99885185422555878</v>
      </c>
    </row>
    <row r="42" spans="1:9" x14ac:dyDescent="0.25">
      <c r="A42" s="494">
        <v>14303</v>
      </c>
      <c r="B42" s="490" t="s">
        <v>686</v>
      </c>
      <c r="C42" s="464">
        <f>'[4]Por organismos'!I46</f>
        <v>482133.89999999991</v>
      </c>
      <c r="D42" s="464">
        <f>'[4]Por organismos'!P46</f>
        <v>0</v>
      </c>
      <c r="E42" s="463">
        <f>+C42+D42</f>
        <v>482133.89999999991</v>
      </c>
      <c r="F42" s="464">
        <f>'[4]Por organismos'!X46</f>
        <v>481580.34</v>
      </c>
      <c r="G42" s="464">
        <f>'[4]Por organismos'!AE46</f>
        <v>481580.34</v>
      </c>
      <c r="H42" s="463">
        <f>+E42-F42</f>
        <v>553.55999999988126</v>
      </c>
      <c r="I42" s="460">
        <f>+F42/E42</f>
        <v>0.99885185422555878</v>
      </c>
    </row>
    <row r="43" spans="1:9" x14ac:dyDescent="0.25">
      <c r="A43" s="492">
        <v>144</v>
      </c>
      <c r="B43" s="491" t="s">
        <v>685</v>
      </c>
      <c r="C43" s="463">
        <f>C44+C45+C46</f>
        <v>3482678.8646938652</v>
      </c>
      <c r="D43" s="463">
        <f>D44+D45+D46</f>
        <v>-619262.74</v>
      </c>
      <c r="E43" s="463">
        <f>+C43+D43</f>
        <v>2863416.124693865</v>
      </c>
      <c r="F43" s="463">
        <f>F44+F45+F46</f>
        <v>2403340.0699999998</v>
      </c>
      <c r="G43" s="463">
        <f>G44+G45+G46</f>
        <v>2156788.17</v>
      </c>
      <c r="H43" s="463">
        <f>+E43-F43</f>
        <v>460076.05469386512</v>
      </c>
      <c r="I43" s="460">
        <f>+F43/E43</f>
        <v>0.83932616334517118</v>
      </c>
    </row>
    <row r="44" spans="1:9" x14ac:dyDescent="0.25">
      <c r="A44" s="494">
        <v>14402</v>
      </c>
      <c r="B44" s="490" t="s">
        <v>684</v>
      </c>
      <c r="C44" s="464">
        <f>'[4]Por organismos'!I48</f>
        <v>20889</v>
      </c>
      <c r="D44" s="464">
        <f>'[4]Por organismos'!P48</f>
        <v>0</v>
      </c>
      <c r="E44" s="463">
        <f>+C44+D44</f>
        <v>20889</v>
      </c>
      <c r="F44" s="464">
        <f>'[4]Por organismos'!X48</f>
        <v>20669</v>
      </c>
      <c r="G44" s="464">
        <f>'[4]Por organismos'!AE48</f>
        <v>20669</v>
      </c>
      <c r="H44" s="463">
        <f>+E44-F44</f>
        <v>220</v>
      </c>
      <c r="I44" s="460">
        <f>+F44/E44</f>
        <v>0.98946814112690895</v>
      </c>
    </row>
    <row r="45" spans="1:9" x14ac:dyDescent="0.25">
      <c r="A45" s="494">
        <v>14403</v>
      </c>
      <c r="B45" s="490" t="s">
        <v>683</v>
      </c>
      <c r="C45" s="464">
        <f>'[4]Por organismos'!I49</f>
        <v>3457577.8646938652</v>
      </c>
      <c r="D45" s="464">
        <f>'[4]Por organismos'!P49</f>
        <v>-619262.74</v>
      </c>
      <c r="E45" s="463">
        <f>+C45+D45</f>
        <v>2838315.124693865</v>
      </c>
      <c r="F45" s="464">
        <f>'[4]Por organismos'!X49</f>
        <v>2378567.0699999998</v>
      </c>
      <c r="G45" s="464">
        <f>'[4]Por organismos'!AE49</f>
        <v>2132015.17</v>
      </c>
      <c r="H45" s="463">
        <f>+E45-F45</f>
        <v>459748.05469386512</v>
      </c>
      <c r="I45" s="460">
        <f>+F45/E45</f>
        <v>0.8380207853969518</v>
      </c>
    </row>
    <row r="46" spans="1:9" x14ac:dyDescent="0.25">
      <c r="A46" s="494">
        <v>14406</v>
      </c>
      <c r="B46" s="490" t="s">
        <v>682</v>
      </c>
      <c r="C46" s="464">
        <f>'[4]Por organismos'!I50</f>
        <v>4212</v>
      </c>
      <c r="D46" s="464">
        <f>'[4]Por organismos'!P50</f>
        <v>0</v>
      </c>
      <c r="E46" s="463">
        <f>+C46+D46</f>
        <v>4212</v>
      </c>
      <c r="F46" s="464">
        <f>'[4]Por organismos'!X50</f>
        <v>4104</v>
      </c>
      <c r="G46" s="464">
        <f>'[4]Por organismos'!AE50</f>
        <v>4104</v>
      </c>
      <c r="H46" s="463">
        <f>+E46-F46</f>
        <v>108</v>
      </c>
      <c r="I46" s="460">
        <f>+F46/E46</f>
        <v>0.97435897435897434</v>
      </c>
    </row>
    <row r="47" spans="1:9" ht="25.5" customHeight="1" x14ac:dyDescent="0.25">
      <c r="A47" s="493">
        <v>1500</v>
      </c>
      <c r="B47" s="491" t="s">
        <v>660</v>
      </c>
      <c r="C47" s="463">
        <f>C48+C50+C54+C69</f>
        <v>37148885.182872325</v>
      </c>
      <c r="D47" s="463">
        <f>D48+D50+D54+D69</f>
        <v>179712.69000000041</v>
      </c>
      <c r="E47" s="463">
        <f>+C47+D47</f>
        <v>37328597.872872323</v>
      </c>
      <c r="F47" s="463">
        <f>F48+F50+F54+F69</f>
        <v>35641498.369999997</v>
      </c>
      <c r="G47" s="463">
        <f>G48+G50+G54+G69</f>
        <v>34027190.590000004</v>
      </c>
      <c r="H47" s="463">
        <f>+E47-F47</f>
        <v>1687099.5028723255</v>
      </c>
      <c r="I47" s="460">
        <f>+F47/E47</f>
        <v>0.9548041019751673</v>
      </c>
    </row>
    <row r="48" spans="1:9" ht="22.5" customHeight="1" x14ac:dyDescent="0.25">
      <c r="A48" s="492">
        <v>151</v>
      </c>
      <c r="B48" s="491" t="s">
        <v>681</v>
      </c>
      <c r="C48" s="463">
        <f>C49</f>
        <v>6635165.8167810841</v>
      </c>
      <c r="D48" s="463">
        <f>D49</f>
        <v>697101.18</v>
      </c>
      <c r="E48" s="463">
        <f>+C48+D48</f>
        <v>7332266.9967810838</v>
      </c>
      <c r="F48" s="463">
        <f>F49</f>
        <v>6873592.0199999996</v>
      </c>
      <c r="G48" s="463">
        <f>G49</f>
        <v>6404824.2700000005</v>
      </c>
      <c r="H48" s="463">
        <f>+E48-F48</f>
        <v>458674.9767810842</v>
      </c>
      <c r="I48" s="460">
        <f>+F48/E48</f>
        <v>0.93744431606453427</v>
      </c>
    </row>
    <row r="49" spans="1:9" ht="22.5" x14ac:dyDescent="0.25">
      <c r="A49" s="494">
        <v>15101</v>
      </c>
      <c r="B49" s="490" t="s">
        <v>680</v>
      </c>
      <c r="C49" s="464">
        <f>'[4]Por organismos'!I53</f>
        <v>6635165.8167810841</v>
      </c>
      <c r="D49" s="464">
        <f>'[4]Por organismos'!P53</f>
        <v>697101.18</v>
      </c>
      <c r="E49" s="463">
        <f>+C49+D49</f>
        <v>7332266.9967810838</v>
      </c>
      <c r="F49" s="464">
        <f>'[4]Por organismos'!X53</f>
        <v>6873592.0199999996</v>
      </c>
      <c r="G49" s="464">
        <f>'[4]Por organismos'!AE53</f>
        <v>6404824.2700000005</v>
      </c>
      <c r="H49" s="463">
        <f>+E49-F49</f>
        <v>458674.9767810842</v>
      </c>
      <c r="I49" s="460">
        <f>+F49/E49</f>
        <v>0.93744431606453427</v>
      </c>
    </row>
    <row r="50" spans="1:9" x14ac:dyDescent="0.25">
      <c r="A50" s="492">
        <v>152</v>
      </c>
      <c r="B50" s="491" t="s">
        <v>679</v>
      </c>
      <c r="C50" s="463">
        <f>C51+C52+C53</f>
        <v>4349.7511029997568</v>
      </c>
      <c r="D50" s="463">
        <f>D51+D52+D53</f>
        <v>773564.33000000007</v>
      </c>
      <c r="E50" s="463">
        <f>+C50+D50</f>
        <v>777914.08110299986</v>
      </c>
      <c r="F50" s="463">
        <f>F51+F52+F53</f>
        <v>777824.42</v>
      </c>
      <c r="G50" s="463">
        <f>G51+G52+G53</f>
        <v>374950.38</v>
      </c>
      <c r="H50" s="463">
        <f>+E50-F50</f>
        <v>89.661102999816649</v>
      </c>
      <c r="I50" s="460">
        <f>+F50/E50</f>
        <v>0.99988474163769769</v>
      </c>
    </row>
    <row r="51" spans="1:9" x14ac:dyDescent="0.25">
      <c r="A51" s="494">
        <v>15201</v>
      </c>
      <c r="B51" s="490" t="s">
        <v>678</v>
      </c>
      <c r="C51" s="464">
        <f>'[4]Por organismos'!I55</f>
        <v>0</v>
      </c>
      <c r="D51" s="464">
        <f>'[4]Por organismos'!P55</f>
        <v>777914.08000000007</v>
      </c>
      <c r="E51" s="463">
        <f>+C51+D51</f>
        <v>777914.08000000007</v>
      </c>
      <c r="F51" s="464">
        <f>'[4]Por organismos'!X55</f>
        <v>777824.42</v>
      </c>
      <c r="G51" s="464">
        <f>'[4]Por organismos'!AE55</f>
        <v>374950.38</v>
      </c>
      <c r="H51" s="463">
        <f>+E51-F51</f>
        <v>89.660000000032596</v>
      </c>
      <c r="I51" s="460">
        <f>+F51/E51</f>
        <v>0.9998847430554284</v>
      </c>
    </row>
    <row r="52" spans="1:9" x14ac:dyDescent="0.25">
      <c r="A52" s="494">
        <v>15202</v>
      </c>
      <c r="B52" s="490" t="s">
        <v>677</v>
      </c>
      <c r="C52" s="464">
        <f>'[4]Por organismos'!I56</f>
        <v>4349.7511029997568</v>
      </c>
      <c r="D52" s="464">
        <f>'[4]Por organismos'!P56</f>
        <v>-4349.75</v>
      </c>
      <c r="E52" s="463">
        <f>+C52+D52</f>
        <v>1.1029997567675309E-3</v>
      </c>
      <c r="F52" s="464">
        <f>'[4]Por organismos'!X56</f>
        <v>0</v>
      </c>
      <c r="G52" s="464">
        <f>'[4]Por organismos'!AE56</f>
        <v>0</v>
      </c>
      <c r="H52" s="463">
        <f>+E52-F52</f>
        <v>1.1029997567675309E-3</v>
      </c>
      <c r="I52" s="460">
        <f>+F52/E52</f>
        <v>0</v>
      </c>
    </row>
    <row r="53" spans="1:9" x14ac:dyDescent="0.25">
      <c r="A53" s="494">
        <v>15203</v>
      </c>
      <c r="B53" s="490" t="s">
        <v>676</v>
      </c>
      <c r="C53" s="464">
        <f>'[4]Por organismos'!I57</f>
        <v>0</v>
      </c>
      <c r="D53" s="464">
        <f>'[4]Por organismos'!P57</f>
        <v>0</v>
      </c>
      <c r="E53" s="463">
        <f>+C53+D53</f>
        <v>0</v>
      </c>
      <c r="F53" s="464">
        <f>'[4]Por organismos'!X57</f>
        <v>0</v>
      </c>
      <c r="G53" s="464">
        <f>'[4]Por organismos'!AE57</f>
        <v>0</v>
      </c>
      <c r="H53" s="463"/>
      <c r="I53" s="460"/>
    </row>
    <row r="54" spans="1:9" x14ac:dyDescent="0.25">
      <c r="A54" s="492">
        <v>154</v>
      </c>
      <c r="B54" s="491" t="s">
        <v>675</v>
      </c>
      <c r="C54" s="463">
        <f>SUM(C55:C68)</f>
        <v>5369969.5763295386</v>
      </c>
      <c r="D54" s="463">
        <f>SUM(D55:D68)</f>
        <v>3643612.62</v>
      </c>
      <c r="E54" s="463">
        <f>+C54+D54</f>
        <v>9013582.1963295378</v>
      </c>
      <c r="F54" s="463">
        <f>SUM(F55:F68)</f>
        <v>8946536.6699999999</v>
      </c>
      <c r="G54" s="463">
        <f>SUM(G55:G68)</f>
        <v>8943916.6699999999</v>
      </c>
      <c r="H54" s="463">
        <f>+E54-F54</f>
        <v>67045.526329537854</v>
      </c>
      <c r="I54" s="460">
        <f>+F54/E54</f>
        <v>0.99256172242409468</v>
      </c>
    </row>
    <row r="55" spans="1:9" ht="22.5" x14ac:dyDescent="0.25">
      <c r="A55" s="494">
        <v>15404</v>
      </c>
      <c r="B55" s="490" t="s">
        <v>674</v>
      </c>
      <c r="C55" s="464">
        <f>'[4]Por organismos'!I59</f>
        <v>989346.29999999993</v>
      </c>
      <c r="D55" s="464">
        <f>'[4]Por organismos'!P59</f>
        <v>178880.76</v>
      </c>
      <c r="E55" s="463">
        <f>+C55+D55</f>
        <v>1168227.06</v>
      </c>
      <c r="F55" s="464">
        <f>'[4]Por organismos'!X59</f>
        <v>1108224.81</v>
      </c>
      <c r="G55" s="464">
        <f>'[4]Por organismos'!AE59</f>
        <v>1108224.81</v>
      </c>
      <c r="H55" s="463">
        <f>+E55-F55</f>
        <v>60002.25</v>
      </c>
      <c r="I55" s="460">
        <f>+F55/E55</f>
        <v>0.94863819538643457</v>
      </c>
    </row>
    <row r="56" spans="1:9" x14ac:dyDescent="0.25">
      <c r="A56" s="494">
        <v>15409</v>
      </c>
      <c r="B56" s="490" t="s">
        <v>673</v>
      </c>
      <c r="C56" s="464">
        <f>'[4]Por organismos'!I60</f>
        <v>3114203.6430924898</v>
      </c>
      <c r="D56" s="464">
        <f>'[4]Por organismos'!P60</f>
        <v>1871144.9</v>
      </c>
      <c r="E56" s="463">
        <f>+C56+D56</f>
        <v>4985348.5430924892</v>
      </c>
      <c r="F56" s="464">
        <f>'[4]Por organismos'!X60</f>
        <v>4984595.2699999996</v>
      </c>
      <c r="G56" s="464">
        <f>'[4]Por organismos'!AE60</f>
        <v>4984595.2699999996</v>
      </c>
      <c r="H56" s="475">
        <f>+E56-F56</f>
        <v>753.27309248968959</v>
      </c>
      <c r="I56" s="460">
        <f>+F56/E56</f>
        <v>0.99984890262215798</v>
      </c>
    </row>
    <row r="57" spans="1:9" ht="22.5" x14ac:dyDescent="0.25">
      <c r="A57" s="494">
        <v>15413</v>
      </c>
      <c r="B57" s="490" t="s">
        <v>672</v>
      </c>
      <c r="C57" s="464">
        <f>'[4]Por organismos'!I61</f>
        <v>19560</v>
      </c>
      <c r="D57" s="464">
        <f>'[4]Por organismos'!P61</f>
        <v>0</v>
      </c>
      <c r="E57" s="463">
        <f>+C57+D57</f>
        <v>19560</v>
      </c>
      <c r="F57" s="464">
        <f>'[4]Por organismos'!X61</f>
        <v>16800</v>
      </c>
      <c r="G57" s="464">
        <f>'[4]Por organismos'!AE61</f>
        <v>16800</v>
      </c>
      <c r="H57" s="475">
        <f>+E57-F57</f>
        <v>2760</v>
      </c>
      <c r="I57" s="460">
        <f>+F57/E57</f>
        <v>0.85889570552147243</v>
      </c>
    </row>
    <row r="58" spans="1:9" x14ac:dyDescent="0.25">
      <c r="A58" s="494">
        <v>15416</v>
      </c>
      <c r="B58" s="490" t="s">
        <v>671</v>
      </c>
      <c r="C58" s="464">
        <f>'[4]Por organismos'!I62</f>
        <v>32640</v>
      </c>
      <c r="D58" s="464">
        <f>'[4]Por organismos'!P62</f>
        <v>0</v>
      </c>
      <c r="E58" s="463">
        <f>+C58+D58</f>
        <v>32640</v>
      </c>
      <c r="F58" s="464">
        <f>'[4]Por organismos'!X62</f>
        <v>30910</v>
      </c>
      <c r="G58" s="464">
        <f>'[4]Por organismos'!AE62</f>
        <v>30910</v>
      </c>
      <c r="H58" s="475">
        <f>+E58-F58</f>
        <v>1730</v>
      </c>
      <c r="I58" s="460">
        <f>+F58/E58</f>
        <v>0.94699754901960786</v>
      </c>
    </row>
    <row r="59" spans="1:9" x14ac:dyDescent="0.25">
      <c r="A59" s="494">
        <v>15417</v>
      </c>
      <c r="B59" s="490" t="s">
        <v>670</v>
      </c>
      <c r="C59" s="464">
        <f>'[4]Por organismos'!I63</f>
        <v>246064</v>
      </c>
      <c r="D59" s="464">
        <f>'[4]Por organismos'!P63</f>
        <v>132704</v>
      </c>
      <c r="E59" s="463">
        <f>+C59+D59</f>
        <v>378768</v>
      </c>
      <c r="F59" s="464">
        <f>'[4]Por organismos'!X63</f>
        <v>378624</v>
      </c>
      <c r="G59" s="464">
        <f>'[4]Por organismos'!AE63</f>
        <v>378624</v>
      </c>
      <c r="H59" s="475">
        <f>+E59-F59</f>
        <v>144</v>
      </c>
      <c r="I59" s="460">
        <f>+F59/E59</f>
        <v>0.99961982004815608</v>
      </c>
    </row>
    <row r="60" spans="1:9" x14ac:dyDescent="0.25">
      <c r="A60" s="494">
        <v>15418</v>
      </c>
      <c r="B60" s="490" t="s">
        <v>669</v>
      </c>
      <c r="C60" s="464">
        <f>'[4]Por organismos'!I64</f>
        <v>0</v>
      </c>
      <c r="D60" s="464">
        <f>'[4]Por organismos'!P64</f>
        <v>185511.97</v>
      </c>
      <c r="E60" s="463">
        <f>+C60+D60</f>
        <v>185511.97</v>
      </c>
      <c r="F60" s="464">
        <f>'[4]Por organismos'!X64</f>
        <v>185511.97</v>
      </c>
      <c r="G60" s="464">
        <f>'[4]Por organismos'!AE64</f>
        <v>185511.97</v>
      </c>
      <c r="H60" s="475">
        <f>+E60-F60</f>
        <v>0</v>
      </c>
      <c r="I60" s="460">
        <f>+F60/E60</f>
        <v>1</v>
      </c>
    </row>
    <row r="61" spans="1:9" x14ac:dyDescent="0.25">
      <c r="A61" s="494">
        <v>15419</v>
      </c>
      <c r="B61" s="490" t="s">
        <v>668</v>
      </c>
      <c r="C61" s="464">
        <f>'[4]Por organismos'!I65</f>
        <v>735240.13323704898</v>
      </c>
      <c r="D61" s="464">
        <f>'[4]Por organismos'!P65</f>
        <v>1122884.49</v>
      </c>
      <c r="E61" s="463">
        <f>+C61+D61</f>
        <v>1858124.623237049</v>
      </c>
      <c r="F61" s="464">
        <f>'[4]Por organismos'!X65</f>
        <v>1858102.62</v>
      </c>
      <c r="G61" s="464">
        <f>'[4]Por organismos'!AE65</f>
        <v>1858102.62</v>
      </c>
      <c r="H61" s="475">
        <f>+E61-F61</f>
        <v>22.003237048862502</v>
      </c>
      <c r="I61" s="460">
        <f>+F61/E61</f>
        <v>0.99998815836312926</v>
      </c>
    </row>
    <row r="62" spans="1:9" x14ac:dyDescent="0.25">
      <c r="A62" s="494">
        <v>15420</v>
      </c>
      <c r="B62" s="490" t="s">
        <v>667</v>
      </c>
      <c r="C62" s="464">
        <f>'[4]Por organismos'!I66</f>
        <v>12352.5</v>
      </c>
      <c r="D62" s="464">
        <f>'[4]Por organismos'!P66</f>
        <v>10047.5</v>
      </c>
      <c r="E62" s="463">
        <f>+C62+D62</f>
        <v>22400</v>
      </c>
      <c r="F62" s="464">
        <f>'[4]Por organismos'!X66</f>
        <v>22360</v>
      </c>
      <c r="G62" s="464">
        <f>'[4]Por organismos'!AE66</f>
        <v>20640</v>
      </c>
      <c r="H62" s="475">
        <f>+E62-F62</f>
        <v>40</v>
      </c>
      <c r="I62" s="460">
        <f>+F62/E62</f>
        <v>0.99821428571428572</v>
      </c>
    </row>
    <row r="63" spans="1:9" x14ac:dyDescent="0.25">
      <c r="A63" s="494">
        <v>15421</v>
      </c>
      <c r="B63" s="490" t="s">
        <v>666</v>
      </c>
      <c r="C63" s="464">
        <f>'[4]Por organismos'!I67</f>
        <v>0</v>
      </c>
      <c r="D63" s="464">
        <f>'[4]Por organismos'!P67</f>
        <v>19520</v>
      </c>
      <c r="E63" s="463">
        <f>+C63+D63</f>
        <v>19520</v>
      </c>
      <c r="F63" s="464">
        <f>'[4]Por organismos'!X67</f>
        <v>19520</v>
      </c>
      <c r="G63" s="464">
        <f>'[4]Por organismos'!AE67</f>
        <v>19520</v>
      </c>
      <c r="H63" s="475">
        <f>+E63-F63</f>
        <v>0</v>
      </c>
      <c r="I63" s="460">
        <f>+F63/E63</f>
        <v>1</v>
      </c>
    </row>
    <row r="64" spans="1:9" x14ac:dyDescent="0.25">
      <c r="A64" s="494">
        <v>15423</v>
      </c>
      <c r="B64" s="490" t="s">
        <v>665</v>
      </c>
      <c r="C64" s="464">
        <f>'[4]Por organismos'!I68</f>
        <v>24190</v>
      </c>
      <c r="D64" s="464">
        <f>'[4]Por organismos'!P68</f>
        <v>2270</v>
      </c>
      <c r="E64" s="463">
        <f>+C64+D64</f>
        <v>26460</v>
      </c>
      <c r="F64" s="464">
        <f>'[4]Por organismos'!X68</f>
        <v>26460</v>
      </c>
      <c r="G64" s="464">
        <f>'[4]Por organismos'!AE68</f>
        <v>26460</v>
      </c>
      <c r="H64" s="463">
        <f>+E64-F64</f>
        <v>0</v>
      </c>
      <c r="I64" s="460">
        <f>+F64/E64</f>
        <v>1</v>
      </c>
    </row>
    <row r="65" spans="1:12" x14ac:dyDescent="0.25">
      <c r="A65" s="494">
        <v>15424</v>
      </c>
      <c r="B65" s="490" t="s">
        <v>664</v>
      </c>
      <c r="C65" s="464">
        <f>'[4]Por organismos'!I69</f>
        <v>16085</v>
      </c>
      <c r="D65" s="464">
        <f>'[4]Por organismos'!P69</f>
        <v>0</v>
      </c>
      <c r="E65" s="463">
        <f>+C65+D65</f>
        <v>16085</v>
      </c>
      <c r="F65" s="464">
        <f>'[4]Por organismos'!X69</f>
        <v>15770</v>
      </c>
      <c r="G65" s="464">
        <f>'[4]Por organismos'!AE69</f>
        <v>15770</v>
      </c>
      <c r="H65" s="463">
        <f>+E65-F65</f>
        <v>315</v>
      </c>
      <c r="I65" s="460">
        <f>+F65/E65</f>
        <v>0.98041653714640975</v>
      </c>
    </row>
    <row r="66" spans="1:12" ht="22.5" x14ac:dyDescent="0.25">
      <c r="A66" s="494">
        <v>15425</v>
      </c>
      <c r="B66" s="490" t="s">
        <v>663</v>
      </c>
      <c r="C66" s="464">
        <f>'[4]Por organismos'!I70</f>
        <v>133588</v>
      </c>
      <c r="D66" s="464">
        <f>'[4]Por organismos'!P70</f>
        <v>77299</v>
      </c>
      <c r="E66" s="463">
        <f>+C66+D66</f>
        <v>210887</v>
      </c>
      <c r="F66" s="464">
        <f>'[4]Por organismos'!X70</f>
        <v>210528</v>
      </c>
      <c r="G66" s="464">
        <f>'[4]Por organismos'!AE70</f>
        <v>210528</v>
      </c>
      <c r="H66" s="475">
        <f>+E66-F66</f>
        <v>359</v>
      </c>
      <c r="I66" s="460">
        <f>+F66/E66</f>
        <v>0.99829766652282981</v>
      </c>
    </row>
    <row r="67" spans="1:12" ht="33.75" x14ac:dyDescent="0.25">
      <c r="A67" s="494">
        <v>15426</v>
      </c>
      <c r="B67" s="490" t="s">
        <v>662</v>
      </c>
      <c r="C67" s="464">
        <f>'[4]Por organismos'!I71</f>
        <v>7760</v>
      </c>
      <c r="D67" s="464">
        <f>'[4]Por organismos'!P71</f>
        <v>4620</v>
      </c>
      <c r="E67" s="463">
        <f>+C67+D67</f>
        <v>12380</v>
      </c>
      <c r="F67" s="464">
        <f>'[4]Por organismos'!X71</f>
        <v>12360</v>
      </c>
      <c r="G67" s="464">
        <f>'[4]Por organismos'!AE71</f>
        <v>12360</v>
      </c>
      <c r="H67" s="475">
        <f>+E67-F67</f>
        <v>20</v>
      </c>
      <c r="I67" s="460">
        <f>+F67/E67</f>
        <v>0.99838449111470118</v>
      </c>
    </row>
    <row r="68" spans="1:12" x14ac:dyDescent="0.25">
      <c r="A68" s="494">
        <v>15427</v>
      </c>
      <c r="B68" s="490" t="s">
        <v>661</v>
      </c>
      <c r="C68" s="464">
        <f>'[4]Por organismos'!I72</f>
        <v>38940</v>
      </c>
      <c r="D68" s="464">
        <f>'[4]Por organismos'!P72</f>
        <v>38730</v>
      </c>
      <c r="E68" s="463">
        <f>+C68+D68</f>
        <v>77670</v>
      </c>
      <c r="F68" s="464">
        <f>'[4]Por organismos'!X72</f>
        <v>76770</v>
      </c>
      <c r="G68" s="464">
        <f>'[4]Por organismos'!AE72</f>
        <v>75870</v>
      </c>
      <c r="H68" s="463">
        <f>+E68-F68</f>
        <v>900</v>
      </c>
      <c r="I68" s="460">
        <f>+F68/E68</f>
        <v>0.98841251448435685</v>
      </c>
    </row>
    <row r="69" spans="1:12" ht="26.25" customHeight="1" x14ac:dyDescent="0.25">
      <c r="A69" s="492">
        <v>159</v>
      </c>
      <c r="B69" s="491" t="s">
        <v>660</v>
      </c>
      <c r="C69" s="463">
        <f>C70</f>
        <v>25139400.038658705</v>
      </c>
      <c r="D69" s="463">
        <f>D70</f>
        <v>-4934565.4400000004</v>
      </c>
      <c r="E69" s="463">
        <f>+C69+D69</f>
        <v>20204834.598658703</v>
      </c>
      <c r="F69" s="463">
        <f>F70</f>
        <v>19043545.259999998</v>
      </c>
      <c r="G69" s="463">
        <f>G70</f>
        <v>18303499.270000003</v>
      </c>
      <c r="H69" s="463">
        <f>+E69-F69</f>
        <v>1161289.3386587054</v>
      </c>
      <c r="I69" s="460">
        <f>+F69/E69</f>
        <v>0.94252418484357214</v>
      </c>
    </row>
    <row r="70" spans="1:12" x14ac:dyDescent="0.25">
      <c r="A70" s="494">
        <v>15901</v>
      </c>
      <c r="B70" s="490" t="s">
        <v>659</v>
      </c>
      <c r="C70" s="464">
        <f>'[4]Por organismos'!I74</f>
        <v>25139400.038658705</v>
      </c>
      <c r="D70" s="464">
        <f>'[4]Por organismos'!P74</f>
        <v>-4934565.4400000004</v>
      </c>
      <c r="E70" s="463">
        <f>+C70+D70</f>
        <v>20204834.598658703</v>
      </c>
      <c r="F70" s="464">
        <f>'[4]Por organismos'!X74</f>
        <v>19043545.259999998</v>
      </c>
      <c r="G70" s="464">
        <f>'[4]Por organismos'!AE74</f>
        <v>18303499.270000003</v>
      </c>
      <c r="H70" s="463">
        <f>+E70-F70</f>
        <v>1161289.3386587054</v>
      </c>
      <c r="I70" s="460">
        <f>+F70/E70</f>
        <v>0.94252418484357214</v>
      </c>
    </row>
    <row r="71" spans="1:12" x14ac:dyDescent="0.25">
      <c r="A71" s="488">
        <v>1600</v>
      </c>
      <c r="B71" s="491" t="s">
        <v>658</v>
      </c>
      <c r="C71" s="463">
        <f>C72</f>
        <v>2239027.0000000005</v>
      </c>
      <c r="D71" s="463">
        <f>D72</f>
        <v>-2169998</v>
      </c>
      <c r="E71" s="463">
        <f>+C71+D71</f>
        <v>69029.000000000466</v>
      </c>
      <c r="F71" s="463">
        <f>F72</f>
        <v>0</v>
      </c>
      <c r="G71" s="463">
        <f>G72</f>
        <v>0</v>
      </c>
      <c r="H71" s="463">
        <f>+E71-F71</f>
        <v>69029.000000000466</v>
      </c>
      <c r="I71" s="460">
        <f>+F71/E71</f>
        <v>0</v>
      </c>
    </row>
    <row r="72" spans="1:12" ht="33.75" x14ac:dyDescent="0.25">
      <c r="A72" s="488">
        <v>161</v>
      </c>
      <c r="B72" s="491" t="s">
        <v>657</v>
      </c>
      <c r="C72" s="463">
        <f>C73</f>
        <v>2239027.0000000005</v>
      </c>
      <c r="D72" s="463">
        <f>D73</f>
        <v>-2169998</v>
      </c>
      <c r="E72" s="463">
        <f>+C72+D72</f>
        <v>69029.000000000466</v>
      </c>
      <c r="F72" s="463">
        <f>F73</f>
        <v>0</v>
      </c>
      <c r="G72" s="463">
        <f>G73</f>
        <v>0</v>
      </c>
      <c r="H72" s="463">
        <f>+E72-F72</f>
        <v>69029.000000000466</v>
      </c>
      <c r="I72" s="460">
        <f>+F72/E72</f>
        <v>0</v>
      </c>
    </row>
    <row r="73" spans="1:12" x14ac:dyDescent="0.25">
      <c r="A73" s="482">
        <v>16101</v>
      </c>
      <c r="B73" s="490" t="s">
        <v>656</v>
      </c>
      <c r="C73" s="464">
        <f>'[4]Por organismos'!I77</f>
        <v>2239027.0000000005</v>
      </c>
      <c r="D73" s="464">
        <v>-2169998</v>
      </c>
      <c r="E73" s="463">
        <f>+C73+D73</f>
        <v>69029.000000000466</v>
      </c>
      <c r="F73" s="464"/>
      <c r="G73" s="464"/>
      <c r="H73" s="463">
        <f>+E73-F73</f>
        <v>69029.000000000466</v>
      </c>
      <c r="I73" s="460">
        <f>+F73/E73</f>
        <v>0</v>
      </c>
    </row>
    <row r="74" spans="1:12" ht="33" customHeight="1" x14ac:dyDescent="0.25">
      <c r="A74" s="499">
        <v>1700</v>
      </c>
      <c r="B74" s="491" t="s">
        <v>655</v>
      </c>
      <c r="C74" s="463">
        <f>C75</f>
        <v>1162574.0552123273</v>
      </c>
      <c r="D74" s="463">
        <f>D75</f>
        <v>681627.59000000008</v>
      </c>
      <c r="E74" s="463">
        <f>+C74+D74</f>
        <v>1844201.6452123274</v>
      </c>
      <c r="F74" s="463">
        <f>F75</f>
        <v>1843493.2699999998</v>
      </c>
      <c r="G74" s="463">
        <f>G75</f>
        <v>1652256.2699999998</v>
      </c>
      <c r="H74" s="463">
        <f>+E74-F74</f>
        <v>708.37521232757717</v>
      </c>
      <c r="I74" s="460">
        <f>+F74/E74</f>
        <v>0.99961589058649492</v>
      </c>
    </row>
    <row r="75" spans="1:12" x14ac:dyDescent="0.25">
      <c r="A75" s="499">
        <v>171</v>
      </c>
      <c r="B75" s="491" t="s">
        <v>654</v>
      </c>
      <c r="C75" s="463">
        <f>SUM(C76:C78)</f>
        <v>1162574.0552123273</v>
      </c>
      <c r="D75" s="463">
        <f>SUM(D76:D78)</f>
        <v>681627.59000000008</v>
      </c>
      <c r="E75" s="463">
        <f>+C75+D75</f>
        <v>1844201.6452123274</v>
      </c>
      <c r="F75" s="463">
        <f>SUM(F76:F78)</f>
        <v>1843493.2699999998</v>
      </c>
      <c r="G75" s="463">
        <f>SUM(G76:G78)</f>
        <v>1652256.2699999998</v>
      </c>
      <c r="H75" s="463">
        <f>+E75-F75</f>
        <v>708.37521232757717</v>
      </c>
      <c r="I75" s="460">
        <f>+F75/E75</f>
        <v>0.99961589058649492</v>
      </c>
    </row>
    <row r="76" spans="1:12" x14ac:dyDescent="0.25">
      <c r="A76" s="494">
        <v>17102</v>
      </c>
      <c r="B76" s="490" t="s">
        <v>653</v>
      </c>
      <c r="C76" s="464">
        <f>'[4]Por organismos'!I80</f>
        <v>495137.48999999993</v>
      </c>
      <c r="D76" s="464">
        <f>'[4]Por organismos'!P80</f>
        <v>376000</v>
      </c>
      <c r="E76" s="463">
        <f>+C76+D76</f>
        <v>871137.49</v>
      </c>
      <c r="F76" s="464">
        <f>'[4]Por organismos'!X80</f>
        <v>870774.11</v>
      </c>
      <c r="G76" s="464">
        <f>'[4]Por organismos'!AE80</f>
        <v>870774.11</v>
      </c>
      <c r="H76" s="475">
        <f>+E76-F76</f>
        <v>363.38000000000466</v>
      </c>
      <c r="I76" s="460">
        <f>+F76/E76</f>
        <v>0.99958286722340461</v>
      </c>
    </row>
    <row r="77" spans="1:12" x14ac:dyDescent="0.25">
      <c r="A77" s="498">
        <v>17104</v>
      </c>
      <c r="B77" s="498" t="s">
        <v>652</v>
      </c>
      <c r="C77" s="464">
        <f>'[4]Por organismos'!I81</f>
        <v>506485.20521232736</v>
      </c>
      <c r="D77" s="464">
        <f>'[4]Por organismos'!P81</f>
        <v>210704.79</v>
      </c>
      <c r="E77" s="463">
        <f>+C77+D77</f>
        <v>717189.99521232734</v>
      </c>
      <c r="F77" s="464">
        <f>'[4]Por organismos'!X81</f>
        <v>717190</v>
      </c>
      <c r="G77" s="464">
        <f>'[4]Por organismos'!AE81</f>
        <v>525953</v>
      </c>
      <c r="H77" s="475">
        <f>+E77-F77</f>
        <v>-4.7876726603135467E-3</v>
      </c>
      <c r="I77" s="460">
        <f>+F77/E77</f>
        <v>1.0000000066755987</v>
      </c>
    </row>
    <row r="78" spans="1:12" ht="22.5" x14ac:dyDescent="0.25">
      <c r="A78" s="498">
        <v>17105</v>
      </c>
      <c r="B78" s="490" t="s">
        <v>651</v>
      </c>
      <c r="C78" s="464">
        <f>'[4]Por organismos'!I82</f>
        <v>160951.36000000002</v>
      </c>
      <c r="D78" s="464">
        <f>'[4]Por organismos'!P82</f>
        <v>94922.8</v>
      </c>
      <c r="E78" s="463">
        <f>+C78+D78</f>
        <v>255874.16000000003</v>
      </c>
      <c r="F78" s="464">
        <f>'[4]Por organismos'!X82</f>
        <v>255529.16</v>
      </c>
      <c r="G78" s="464">
        <f>'[4]Por organismos'!AE82</f>
        <v>255529.16</v>
      </c>
      <c r="H78" s="475">
        <f>+E78-F78</f>
        <v>345.0000000000291</v>
      </c>
      <c r="I78" s="460">
        <f>+F78/E78</f>
        <v>0.99865168096692514</v>
      </c>
    </row>
    <row r="79" spans="1:12" x14ac:dyDescent="0.25">
      <c r="A79" s="494"/>
      <c r="B79" s="490"/>
      <c r="C79" s="464"/>
      <c r="D79" s="464"/>
      <c r="E79" s="463"/>
      <c r="F79" s="464"/>
      <c r="G79" s="464"/>
      <c r="H79" s="463"/>
      <c r="I79" s="460"/>
    </row>
    <row r="80" spans="1:12" x14ac:dyDescent="0.25">
      <c r="A80" s="495">
        <v>2000</v>
      </c>
      <c r="B80" s="491" t="s">
        <v>650</v>
      </c>
      <c r="C80" s="497">
        <f>C81+C98+C104+C107+C122+C133+C137+C142</f>
        <v>32743753.537615076</v>
      </c>
      <c r="D80" s="497">
        <f>D81+D98+D104+D107+D122+D133+D137+D142</f>
        <v>2922204.9199999995</v>
      </c>
      <c r="E80" s="463">
        <f>+C80+D80</f>
        <v>35665958.457615077</v>
      </c>
      <c r="F80" s="480">
        <f>F81+F98+F104+F107+F122+F133+F137+F142</f>
        <v>17918098.590000004</v>
      </c>
      <c r="G80" s="463">
        <f>G81+G98+G104+G107+G122+G133+G137+G142</f>
        <v>16708730.170000002</v>
      </c>
      <c r="H80" s="463">
        <f>+E80-F80</f>
        <v>17747859.867615074</v>
      </c>
      <c r="I80" s="460">
        <f>+F80/E80</f>
        <v>0.50238657153413158</v>
      </c>
      <c r="L80" s="496"/>
    </row>
    <row r="81" spans="1:9" ht="33.75" x14ac:dyDescent="0.25">
      <c r="A81" s="493">
        <v>2100</v>
      </c>
      <c r="B81" s="491" t="s">
        <v>649</v>
      </c>
      <c r="C81" s="463">
        <f>C82+C84+C86+C88+C91+C93+C95</f>
        <v>2532110.0925888894</v>
      </c>
      <c r="D81" s="463">
        <f>D82+D84+D86+D88+D91+D93+D95</f>
        <v>-263781.43</v>
      </c>
      <c r="E81" s="463">
        <f>+C81+D81</f>
        <v>2268328.6625888892</v>
      </c>
      <c r="F81" s="463">
        <f>F82+F84+F86+F88+F91+F93+F95</f>
        <v>984095.03000000014</v>
      </c>
      <c r="G81" s="463">
        <f>G82+G84+G86+G88+G91+G93+G95</f>
        <v>955178.28</v>
      </c>
      <c r="H81" s="463">
        <f>+E81-F81</f>
        <v>1284233.632588889</v>
      </c>
      <c r="I81" s="460">
        <f>+F81/E81</f>
        <v>0.43384146496514869</v>
      </c>
    </row>
    <row r="82" spans="1:9" x14ac:dyDescent="0.25">
      <c r="A82" s="492">
        <v>211</v>
      </c>
      <c r="B82" s="491" t="s">
        <v>648</v>
      </c>
      <c r="C82" s="463">
        <f>C83</f>
        <v>1353734.8075796175</v>
      </c>
      <c r="D82" s="463">
        <f>D83</f>
        <v>-111612</v>
      </c>
      <c r="E82" s="463">
        <f>+C82+D82</f>
        <v>1242122.8075796175</v>
      </c>
      <c r="F82" s="463">
        <f>F83</f>
        <v>425300.65000000008</v>
      </c>
      <c r="G82" s="463">
        <f>G83</f>
        <v>411556.16</v>
      </c>
      <c r="H82" s="463">
        <f>+E82-F82</f>
        <v>816822.15757961734</v>
      </c>
      <c r="I82" s="460">
        <f>+F82/E82</f>
        <v>0.34239822938984171</v>
      </c>
    </row>
    <row r="83" spans="1:9" x14ac:dyDescent="0.25">
      <c r="A83" s="494">
        <v>21101</v>
      </c>
      <c r="B83" s="490" t="s">
        <v>647</v>
      </c>
      <c r="C83" s="464">
        <f>'[4]Por organismos'!I87</f>
        <v>1353734.8075796175</v>
      </c>
      <c r="D83" s="464">
        <f>'[4]Por organismos'!P87</f>
        <v>-111612</v>
      </c>
      <c r="E83" s="463">
        <f>+C83+D83</f>
        <v>1242122.8075796175</v>
      </c>
      <c r="F83" s="464">
        <f>'[4]Por organismos'!X87</f>
        <v>425300.65000000008</v>
      </c>
      <c r="G83" s="464">
        <f>'[4]Por organismos'!AE87</f>
        <v>411556.16</v>
      </c>
      <c r="H83" s="463">
        <f>+E83-F83</f>
        <v>816822.15757961734</v>
      </c>
      <c r="I83" s="460">
        <f>+F83/E83</f>
        <v>0.34239822938984171</v>
      </c>
    </row>
    <row r="84" spans="1:9" ht="22.5" x14ac:dyDescent="0.25">
      <c r="A84" s="492">
        <v>212</v>
      </c>
      <c r="B84" s="491" t="s">
        <v>646</v>
      </c>
      <c r="C84" s="463">
        <f>C85</f>
        <v>195867.23748493221</v>
      </c>
      <c r="D84" s="463">
        <f>D85</f>
        <v>-27860.720000000001</v>
      </c>
      <c r="E84" s="463">
        <f>+C84+D84</f>
        <v>168006.51748493221</v>
      </c>
      <c r="F84" s="463">
        <f>F85</f>
        <v>20133.61</v>
      </c>
      <c r="G84" s="463">
        <f>G85</f>
        <v>20133.61</v>
      </c>
      <c r="H84" s="463">
        <f>+E84-F84</f>
        <v>147872.90748493222</v>
      </c>
      <c r="I84" s="460">
        <f>+F84/E84</f>
        <v>0.11983826759462292</v>
      </c>
    </row>
    <row r="85" spans="1:9" ht="33.75" x14ac:dyDescent="0.25">
      <c r="A85" s="494">
        <v>21201</v>
      </c>
      <c r="B85" s="490" t="s">
        <v>645</v>
      </c>
      <c r="C85" s="464">
        <f>'[4]Por organismos'!I89</f>
        <v>195867.23748493221</v>
      </c>
      <c r="D85" s="464">
        <f>'[4]Por organismos'!P89</f>
        <v>-27860.720000000001</v>
      </c>
      <c r="E85" s="463">
        <f>+C85+D85</f>
        <v>168006.51748493221</v>
      </c>
      <c r="F85" s="464">
        <f>'[4]Por organismos'!X89</f>
        <v>20133.61</v>
      </c>
      <c r="G85" s="464">
        <f>'[4]Por organismos'!AE89</f>
        <v>20133.61</v>
      </c>
      <c r="H85" s="463">
        <f>+E85-F85</f>
        <v>147872.90748493222</v>
      </c>
      <c r="I85" s="460">
        <f>+F85/E85</f>
        <v>0.11983826759462292</v>
      </c>
    </row>
    <row r="86" spans="1:9" ht="45" x14ac:dyDescent="0.25">
      <c r="A86" s="492">
        <v>214</v>
      </c>
      <c r="B86" s="491" t="s">
        <v>644</v>
      </c>
      <c r="C86" s="463">
        <f>C87</f>
        <v>480876.85696951556</v>
      </c>
      <c r="D86" s="463">
        <f>D87</f>
        <v>-98187</v>
      </c>
      <c r="E86" s="463">
        <f>+C86+D86</f>
        <v>382689.85696951556</v>
      </c>
      <c r="F86" s="463">
        <f>F87</f>
        <v>212769.92000000004</v>
      </c>
      <c r="G86" s="463">
        <f>G87</f>
        <v>201927.01</v>
      </c>
      <c r="H86" s="463">
        <f>+E86-F86</f>
        <v>169919.93696951552</v>
      </c>
      <c r="I86" s="460">
        <f>+F86/E86</f>
        <v>0.55598526097583234</v>
      </c>
    </row>
    <row r="87" spans="1:9" ht="22.5" x14ac:dyDescent="0.25">
      <c r="A87" s="494">
        <v>21401</v>
      </c>
      <c r="B87" s="490" t="s">
        <v>643</v>
      </c>
      <c r="C87" s="464">
        <f>'[4]Por organismos'!I91</f>
        <v>480876.85696951556</v>
      </c>
      <c r="D87" s="464">
        <f>'[4]Por organismos'!P91</f>
        <v>-98187</v>
      </c>
      <c r="E87" s="463">
        <f>+C87+D87</f>
        <v>382689.85696951556</v>
      </c>
      <c r="F87" s="464">
        <f>'[4]Por organismos'!X91</f>
        <v>212769.92000000004</v>
      </c>
      <c r="G87" s="464">
        <f>'[4]Por organismos'!AE91</f>
        <v>201927.01</v>
      </c>
      <c r="H87" s="463">
        <f>+E87-F87</f>
        <v>169919.93696951552</v>
      </c>
      <c r="I87" s="460">
        <f>+F87/E87</f>
        <v>0.55598526097583234</v>
      </c>
    </row>
    <row r="88" spans="1:9" x14ac:dyDescent="0.25">
      <c r="A88" s="492">
        <v>215</v>
      </c>
      <c r="B88" s="491" t="s">
        <v>642</v>
      </c>
      <c r="C88" s="463">
        <f>C89+C90</f>
        <v>34390.999994999998</v>
      </c>
      <c r="D88" s="463">
        <f>+D89+D90</f>
        <v>-23277</v>
      </c>
      <c r="E88" s="463">
        <f>+C88+D88</f>
        <v>11113.999994999998</v>
      </c>
      <c r="F88" s="463">
        <f>F89+F90</f>
        <v>10093.120000000001</v>
      </c>
      <c r="G88" s="463">
        <f>G89+G90</f>
        <v>8393.51</v>
      </c>
      <c r="H88" s="463">
        <f>+E88-F88</f>
        <v>1020.8799949999975</v>
      </c>
      <c r="I88" s="460">
        <f>+F88/E88</f>
        <v>0.90814468279113958</v>
      </c>
    </row>
    <row r="89" spans="1:9" x14ac:dyDescent="0.25">
      <c r="A89" s="494">
        <v>21501</v>
      </c>
      <c r="B89" s="490" t="s">
        <v>641</v>
      </c>
      <c r="C89" s="464">
        <f>'[4]Por organismos'!I93</f>
        <v>1500</v>
      </c>
      <c r="D89" s="464">
        <f>'[4]Por organismos'!P93</f>
        <v>0</v>
      </c>
      <c r="E89" s="463">
        <f>+C89+D89</f>
        <v>1500</v>
      </c>
      <c r="F89" s="464">
        <f>'[4]Por organismos'!X93</f>
        <v>480</v>
      </c>
      <c r="G89" s="464">
        <f>'[4]Por organismos'!AE93</f>
        <v>480</v>
      </c>
      <c r="H89" s="463">
        <f>+E89-F89</f>
        <v>1020</v>
      </c>
      <c r="I89" s="460">
        <f>+F89/E89</f>
        <v>0.32</v>
      </c>
    </row>
    <row r="90" spans="1:9" x14ac:dyDescent="0.25">
      <c r="A90" s="494">
        <v>21502</v>
      </c>
      <c r="B90" s="490" t="s">
        <v>640</v>
      </c>
      <c r="C90" s="464">
        <f>'[4]Por organismos'!I94</f>
        <v>32890.999994999998</v>
      </c>
      <c r="D90" s="464">
        <v>-23277</v>
      </c>
      <c r="E90" s="463">
        <f>+C90+D90</f>
        <v>9613.9999949999983</v>
      </c>
      <c r="F90" s="464">
        <f>'[4]Por organismos'!X94</f>
        <v>9613.1200000000008</v>
      </c>
      <c r="G90" s="464">
        <f>'[4]Por organismos'!AE94</f>
        <v>7913.51</v>
      </c>
      <c r="H90" s="463">
        <f>+E90-F90</f>
        <v>0.87999499999750697</v>
      </c>
      <c r="I90" s="460">
        <f>+F90/E90</f>
        <v>0.99990846733924954</v>
      </c>
    </row>
    <row r="91" spans="1:9" x14ac:dyDescent="0.25">
      <c r="A91" s="492">
        <v>216</v>
      </c>
      <c r="B91" s="491" t="s">
        <v>639</v>
      </c>
      <c r="C91" s="463">
        <f>C92</f>
        <v>219162.45134055649</v>
      </c>
      <c r="D91" s="463">
        <f>D92</f>
        <v>4022</v>
      </c>
      <c r="E91" s="463">
        <f>+C91+D91</f>
        <v>223184.45134055649</v>
      </c>
      <c r="F91" s="463">
        <f>F92</f>
        <v>104487.72999999998</v>
      </c>
      <c r="G91" s="463">
        <f>G92</f>
        <v>101857.98999999999</v>
      </c>
      <c r="H91" s="463">
        <f>+E91-F91</f>
        <v>118696.72134055651</v>
      </c>
      <c r="I91" s="460">
        <f>+F91/E91</f>
        <v>0.46816760474304936</v>
      </c>
    </row>
    <row r="92" spans="1:9" x14ac:dyDescent="0.25">
      <c r="A92" s="494">
        <v>21601</v>
      </c>
      <c r="B92" s="490" t="s">
        <v>639</v>
      </c>
      <c r="C92" s="464">
        <f>'[4]Por organismos'!I96</f>
        <v>219162.45134055649</v>
      </c>
      <c r="D92" s="464">
        <f>'[4]Por organismos'!P96</f>
        <v>4022</v>
      </c>
      <c r="E92" s="463">
        <f>+C92+D92</f>
        <v>223184.45134055649</v>
      </c>
      <c r="F92" s="464">
        <f>'[4]Por organismos'!X96</f>
        <v>104487.72999999998</v>
      </c>
      <c r="G92" s="464">
        <f>'[4]Por organismos'!AE96</f>
        <v>101857.98999999999</v>
      </c>
      <c r="H92" s="463">
        <f>+E92-F92</f>
        <v>118696.72134055651</v>
      </c>
      <c r="I92" s="460">
        <f>+F92/E92</f>
        <v>0.46816760474304936</v>
      </c>
    </row>
    <row r="93" spans="1:9" x14ac:dyDescent="0.25">
      <c r="A93" s="492">
        <v>217</v>
      </c>
      <c r="B93" s="491" t="s">
        <v>638</v>
      </c>
      <c r="C93" s="463">
        <f>C94</f>
        <v>0</v>
      </c>
      <c r="D93" s="463">
        <v>0</v>
      </c>
      <c r="E93" s="463">
        <f>+C93+D93</f>
        <v>0</v>
      </c>
      <c r="F93" s="463">
        <f>F94</f>
        <v>0</v>
      </c>
      <c r="G93" s="463">
        <f>G94</f>
        <v>0</v>
      </c>
      <c r="H93" s="463">
        <f>+E93-F93</f>
        <v>0</v>
      </c>
      <c r="I93" s="460"/>
    </row>
    <row r="94" spans="1:9" x14ac:dyDescent="0.25">
      <c r="A94" s="494">
        <v>21701</v>
      </c>
      <c r="B94" s="490" t="s">
        <v>637</v>
      </c>
      <c r="C94" s="464">
        <f>'[4]Por organismos'!I98</f>
        <v>0</v>
      </c>
      <c r="D94" s="464">
        <f>'[4]Por organismos'!P98</f>
        <v>0</v>
      </c>
      <c r="E94" s="463">
        <f>+C94+D94</f>
        <v>0</v>
      </c>
      <c r="F94" s="464">
        <f>'[4]Por organismos'!X98</f>
        <v>0</v>
      </c>
      <c r="G94" s="464">
        <f>'[4]Por organismos'!AE98</f>
        <v>0</v>
      </c>
      <c r="H94" s="463">
        <f>+E94-F94</f>
        <v>0</v>
      </c>
      <c r="I94" s="460"/>
    </row>
    <row r="95" spans="1:9" ht="33.75" x14ac:dyDescent="0.25">
      <c r="A95" s="492">
        <v>218</v>
      </c>
      <c r="B95" s="491" t="s">
        <v>636</v>
      </c>
      <c r="C95" s="463">
        <f>C96+C97</f>
        <v>248077.73921926777</v>
      </c>
      <c r="D95" s="463">
        <f>D96+D97</f>
        <v>-6866.71</v>
      </c>
      <c r="E95" s="463">
        <f>+C95+D95</f>
        <v>241211.02921926777</v>
      </c>
      <c r="F95" s="463">
        <f>F96+F97</f>
        <v>211310</v>
      </c>
      <c r="G95" s="463">
        <f>G96+G97</f>
        <v>211310</v>
      </c>
      <c r="H95" s="463">
        <f>+E95-F95</f>
        <v>29901.029219267773</v>
      </c>
      <c r="I95" s="460">
        <f>+F95/E95</f>
        <v>0.87603788551440209</v>
      </c>
    </row>
    <row r="96" spans="1:9" ht="33.75" x14ac:dyDescent="0.25">
      <c r="A96" s="494">
        <v>21801</v>
      </c>
      <c r="B96" s="490" t="s">
        <v>635</v>
      </c>
      <c r="C96" s="464">
        <f>'[4]Por organismos'!I100</f>
        <v>248077.73921926777</v>
      </c>
      <c r="D96" s="464">
        <f>'[4]Por organismos'!P100</f>
        <v>-6866.71</v>
      </c>
      <c r="E96" s="463">
        <f>+C96+D96</f>
        <v>241211.02921926777</v>
      </c>
      <c r="F96" s="464">
        <f>'[4]Por organismos'!X100</f>
        <v>211310</v>
      </c>
      <c r="G96" s="464">
        <f>'[4]Por organismos'!AE100</f>
        <v>211310</v>
      </c>
      <c r="H96" s="463">
        <f>+E96-F96</f>
        <v>29901.029219267773</v>
      </c>
      <c r="I96" s="460">
        <f>+F96/E96</f>
        <v>0.87603788551440209</v>
      </c>
    </row>
    <row r="97" spans="1:9" x14ac:dyDescent="0.25">
      <c r="A97" s="494">
        <v>21802</v>
      </c>
      <c r="B97" s="490" t="s">
        <v>634</v>
      </c>
      <c r="C97" s="464">
        <f>'[4]Por organismos'!I101</f>
        <v>0</v>
      </c>
      <c r="D97" s="464">
        <f>'[4]Por organismos'!P101</f>
        <v>0</v>
      </c>
      <c r="E97" s="463">
        <f>+C97+D97</f>
        <v>0</v>
      </c>
      <c r="F97" s="464">
        <f>'[4]Por organismos'!X101</f>
        <v>0</v>
      </c>
      <c r="G97" s="464">
        <f>'[4]Por organismos'!AE101</f>
        <v>0</v>
      </c>
      <c r="H97" s="463">
        <f>+E97-F97</f>
        <v>0</v>
      </c>
      <c r="I97" s="460"/>
    </row>
    <row r="98" spans="1:9" x14ac:dyDescent="0.25">
      <c r="A98" s="493">
        <v>2200</v>
      </c>
      <c r="B98" s="491" t="s">
        <v>633</v>
      </c>
      <c r="C98" s="463">
        <f>C99+C102</f>
        <v>515556.00400065101</v>
      </c>
      <c r="D98" s="463">
        <f>D99+D102</f>
        <v>210173.21000000002</v>
      </c>
      <c r="E98" s="463">
        <f>+C98+D98</f>
        <v>725729.21400065103</v>
      </c>
      <c r="F98" s="463">
        <f>F99+F102</f>
        <v>616422.6</v>
      </c>
      <c r="G98" s="463">
        <f>G99+G102</f>
        <v>562187.4</v>
      </c>
      <c r="H98" s="463">
        <f>+E98-F98</f>
        <v>109306.61400065105</v>
      </c>
      <c r="I98" s="460">
        <f>+F98/E98</f>
        <v>0.84938374824669383</v>
      </c>
    </row>
    <row r="99" spans="1:9" x14ac:dyDescent="0.25">
      <c r="A99" s="492">
        <v>221</v>
      </c>
      <c r="B99" s="491" t="s">
        <v>632</v>
      </c>
      <c r="C99" s="463">
        <f>C100+C101</f>
        <v>513486.532000651</v>
      </c>
      <c r="D99" s="463">
        <f>D100+D101</f>
        <v>185499.95</v>
      </c>
      <c r="E99" s="463">
        <f>+C99+D99</f>
        <v>698986.48200065107</v>
      </c>
      <c r="F99" s="463">
        <f>F100+F101</f>
        <v>611150.25</v>
      </c>
      <c r="G99" s="463">
        <f>G100+G101</f>
        <v>556915.05000000005</v>
      </c>
      <c r="H99" s="463">
        <f>+E99-F99</f>
        <v>87836.232000651071</v>
      </c>
      <c r="I99" s="460">
        <f>+F99/E99</f>
        <v>0.87433772431586276</v>
      </c>
    </row>
    <row r="100" spans="1:9" ht="22.5" x14ac:dyDescent="0.25">
      <c r="A100" s="494">
        <v>22101</v>
      </c>
      <c r="B100" s="490" t="s">
        <v>631</v>
      </c>
      <c r="C100" s="464">
        <f>'[4]Por organismos'!I104</f>
        <v>317292.95548414555</v>
      </c>
      <c r="D100" s="464">
        <f>'[4]Por organismos'!P104</f>
        <v>174235.16</v>
      </c>
      <c r="E100" s="463">
        <f>+C100+D100</f>
        <v>491528.11548414559</v>
      </c>
      <c r="F100" s="464">
        <f>'[4]Por organismos'!X104</f>
        <v>453795.75</v>
      </c>
      <c r="G100" s="464">
        <f>'[4]Por organismos'!AE104</f>
        <v>442781.55000000005</v>
      </c>
      <c r="H100" s="463">
        <f>+E100-F100</f>
        <v>37732.365484145586</v>
      </c>
      <c r="I100" s="460">
        <f>+F100/E100</f>
        <v>0.92323457337332582</v>
      </c>
    </row>
    <row r="101" spans="1:9" x14ac:dyDescent="0.25">
      <c r="A101" s="494">
        <v>22106</v>
      </c>
      <c r="B101" s="490" t="s">
        <v>630</v>
      </c>
      <c r="C101" s="464">
        <f>'[4]Por organismos'!I105</f>
        <v>196193.57651650545</v>
      </c>
      <c r="D101" s="464">
        <f>'[4]Por organismos'!P105</f>
        <v>11264.79</v>
      </c>
      <c r="E101" s="463">
        <f>+C101+D101</f>
        <v>207458.36651650546</v>
      </c>
      <c r="F101" s="464">
        <f>'[4]Por organismos'!X105</f>
        <v>157354.5</v>
      </c>
      <c r="G101" s="464">
        <f>'[4]Por organismos'!AE105</f>
        <v>114133.5</v>
      </c>
      <c r="H101" s="463">
        <f>+E101-F101</f>
        <v>50103.866516505455</v>
      </c>
      <c r="I101" s="460">
        <f>+F101/E101</f>
        <v>0.75848712511423744</v>
      </c>
    </row>
    <row r="102" spans="1:9" ht="22.5" customHeight="1" x14ac:dyDescent="0.25">
      <c r="A102" s="492">
        <v>223</v>
      </c>
      <c r="B102" s="491" t="s">
        <v>629</v>
      </c>
      <c r="C102" s="463">
        <f>C103</f>
        <v>2069.4719999999998</v>
      </c>
      <c r="D102" s="463">
        <f>D103</f>
        <v>24673.26</v>
      </c>
      <c r="E102" s="463">
        <f>+C102+D102</f>
        <v>26742.731999999996</v>
      </c>
      <c r="F102" s="463">
        <f>F103</f>
        <v>5272.35</v>
      </c>
      <c r="G102" s="463">
        <f>G103</f>
        <v>5272.35</v>
      </c>
      <c r="H102" s="463">
        <f>+E102-F102</f>
        <v>21470.381999999998</v>
      </c>
      <c r="I102" s="460">
        <f>+F102/E102</f>
        <v>0.19715076230805442</v>
      </c>
    </row>
    <row r="103" spans="1:9" x14ac:dyDescent="0.25">
      <c r="A103" s="494">
        <v>22301</v>
      </c>
      <c r="B103" s="490" t="s">
        <v>629</v>
      </c>
      <c r="C103" s="464">
        <f>'[4]Por organismos'!I107</f>
        <v>2069.4719999999998</v>
      </c>
      <c r="D103" s="464">
        <f>'[4]Por organismos'!P107</f>
        <v>24673.26</v>
      </c>
      <c r="E103" s="463">
        <f>+C103+D103</f>
        <v>26742.731999999996</v>
      </c>
      <c r="F103" s="464">
        <f>'[4]Por organismos'!X107</f>
        <v>5272.35</v>
      </c>
      <c r="G103" s="464">
        <f>'[4]Por organismos'!AE107</f>
        <v>5272.35</v>
      </c>
      <c r="H103" s="463">
        <f>+E103-F103</f>
        <v>21470.381999999998</v>
      </c>
      <c r="I103" s="460">
        <f>+F103/E103</f>
        <v>0.19715076230805442</v>
      </c>
    </row>
    <row r="104" spans="1:9" ht="22.5" x14ac:dyDescent="0.25">
      <c r="A104" s="493">
        <v>2300</v>
      </c>
      <c r="B104" s="491" t="s">
        <v>628</v>
      </c>
      <c r="C104" s="463">
        <f>C105</f>
        <v>7291594.7244469412</v>
      </c>
      <c r="D104" s="463">
        <f>D105</f>
        <v>-858199.75999999989</v>
      </c>
      <c r="E104" s="463">
        <f>+C104+D104</f>
        <v>6433394.9644469414</v>
      </c>
      <c r="F104" s="463">
        <f>F105</f>
        <v>2206068.25</v>
      </c>
      <c r="G104" s="463">
        <f>G105</f>
        <v>1967890.6100000003</v>
      </c>
      <c r="H104" s="463">
        <f>+E104-F104</f>
        <v>4227326.7144469414</v>
      </c>
      <c r="I104" s="460">
        <f>+F104/E104</f>
        <v>0.34290887815709425</v>
      </c>
    </row>
    <row r="105" spans="1:9" ht="22.5" x14ac:dyDescent="0.25">
      <c r="A105" s="492">
        <v>239</v>
      </c>
      <c r="B105" s="491" t="s">
        <v>627</v>
      </c>
      <c r="C105" s="463">
        <f>C106</f>
        <v>7291594.7244469412</v>
      </c>
      <c r="D105" s="463">
        <f>D106</f>
        <v>-858199.75999999989</v>
      </c>
      <c r="E105" s="463">
        <f>+C105+D105</f>
        <v>6433394.9644469414</v>
      </c>
      <c r="F105" s="463">
        <f>F106</f>
        <v>2206068.25</v>
      </c>
      <c r="G105" s="463">
        <f>G106</f>
        <v>1967890.6100000003</v>
      </c>
      <c r="H105" s="463">
        <f>+E105-F105</f>
        <v>4227326.7144469414</v>
      </c>
      <c r="I105" s="460">
        <f>+F105/E105</f>
        <v>0.34290887815709425</v>
      </c>
    </row>
    <row r="106" spans="1:9" ht="22.5" x14ac:dyDescent="0.25">
      <c r="A106" s="494">
        <v>23901</v>
      </c>
      <c r="B106" s="490" t="s">
        <v>626</v>
      </c>
      <c r="C106" s="464">
        <f>'[4]Por organismos'!I110</f>
        <v>7291594.7244469412</v>
      </c>
      <c r="D106" s="464">
        <f>'[4]Por organismos'!P110</f>
        <v>-858199.75999999989</v>
      </c>
      <c r="E106" s="463">
        <f>+C106+D106</f>
        <v>6433394.9644469414</v>
      </c>
      <c r="F106" s="464">
        <f>'[4]Por organismos'!X110</f>
        <v>2206068.25</v>
      </c>
      <c r="G106" s="464">
        <f>'[4]Por organismos'!AE110</f>
        <v>1967890.6100000003</v>
      </c>
      <c r="H106" s="463">
        <f>+E106-F106</f>
        <v>4227326.7144469414</v>
      </c>
      <c r="I106" s="460">
        <f>+F106/E106</f>
        <v>0.34290887815709425</v>
      </c>
    </row>
    <row r="107" spans="1:9" ht="22.5" x14ac:dyDescent="0.25">
      <c r="A107" s="493">
        <v>2400</v>
      </c>
      <c r="B107" s="491" t="s">
        <v>625</v>
      </c>
      <c r="C107" s="463">
        <f>C108+C112+C114+C116+C120+C110+C118</f>
        <v>733994.09585450799</v>
      </c>
      <c r="D107" s="463">
        <f>D108+D112+D114+D116+D120+D110+D118</f>
        <v>235562.38999999998</v>
      </c>
      <c r="E107" s="463">
        <f>+C107+D107</f>
        <v>969556.48585450801</v>
      </c>
      <c r="F107" s="463">
        <f>F108+F112+F114+F116+F120+F110+F118</f>
        <v>569994.24999999988</v>
      </c>
      <c r="G107" s="463">
        <f>G108+G112+G114+G116+G120+G110+G118</f>
        <v>558273.13</v>
      </c>
      <c r="H107" s="463">
        <f>+E107-F107</f>
        <v>399562.23585450812</v>
      </c>
      <c r="I107" s="460">
        <f>+F107/E107</f>
        <v>0.58789174051849247</v>
      </c>
    </row>
    <row r="108" spans="1:9" x14ac:dyDescent="0.25">
      <c r="A108" s="492">
        <v>242</v>
      </c>
      <c r="B108" s="491" t="s">
        <v>624</v>
      </c>
      <c r="C108" s="463">
        <f>C109</f>
        <v>144727.14518984672</v>
      </c>
      <c r="D108" s="463">
        <f>D109</f>
        <v>175000</v>
      </c>
      <c r="E108" s="463">
        <f>+C108+D108</f>
        <v>319727.14518984675</v>
      </c>
      <c r="F108" s="463">
        <f>F109</f>
        <v>47641.04</v>
      </c>
      <c r="G108" s="463">
        <f>G109</f>
        <v>46855.049999999996</v>
      </c>
      <c r="H108" s="463">
        <f>+E108-F108</f>
        <v>272086.10518984677</v>
      </c>
      <c r="I108" s="460">
        <f>+F108/E108</f>
        <v>0.14900530254230315</v>
      </c>
    </row>
    <row r="109" spans="1:9" x14ac:dyDescent="0.25">
      <c r="A109" s="494">
        <v>24201</v>
      </c>
      <c r="B109" s="490" t="s">
        <v>624</v>
      </c>
      <c r="C109" s="464">
        <f>'[4]Por organismos'!I113</f>
        <v>144727.14518984672</v>
      </c>
      <c r="D109" s="464">
        <f>'[4]Por organismos'!P113</f>
        <v>175000</v>
      </c>
      <c r="E109" s="463">
        <f>+C109+D109</f>
        <v>319727.14518984675</v>
      </c>
      <c r="F109" s="464">
        <f>'[4]Por organismos'!X113</f>
        <v>47641.04</v>
      </c>
      <c r="G109" s="464">
        <f>'[4]Por organismos'!AE113</f>
        <v>46855.049999999996</v>
      </c>
      <c r="H109" s="463">
        <f>+E109-F109</f>
        <v>272086.10518984677</v>
      </c>
      <c r="I109" s="460">
        <f>+F109/E109</f>
        <v>0.14900530254230315</v>
      </c>
    </row>
    <row r="110" spans="1:9" x14ac:dyDescent="0.25">
      <c r="A110" s="492">
        <v>243</v>
      </c>
      <c r="B110" s="491" t="s">
        <v>623</v>
      </c>
      <c r="C110" s="463">
        <f>C111</f>
        <v>0</v>
      </c>
      <c r="D110" s="463">
        <v>0</v>
      </c>
      <c r="E110" s="463">
        <f>+C110+D110</f>
        <v>0</v>
      </c>
      <c r="F110" s="463">
        <f>F111</f>
        <v>0</v>
      </c>
      <c r="G110" s="463">
        <f>G111</f>
        <v>0</v>
      </c>
      <c r="H110" s="463">
        <f>+E110-F110</f>
        <v>0</v>
      </c>
      <c r="I110" s="460"/>
    </row>
    <row r="111" spans="1:9" x14ac:dyDescent="0.25">
      <c r="A111" s="494">
        <v>24301</v>
      </c>
      <c r="B111" s="490" t="s">
        <v>623</v>
      </c>
      <c r="C111" s="464">
        <f>'[4]Por organismos'!I115</f>
        <v>0</v>
      </c>
      <c r="D111" s="464">
        <f>'[4]Por organismos'!P115</f>
        <v>0</v>
      </c>
      <c r="E111" s="463">
        <f>+C111+D111</f>
        <v>0</v>
      </c>
      <c r="F111" s="464">
        <f>'[4]Por organismos'!X115</f>
        <v>0</v>
      </c>
      <c r="G111" s="464">
        <f>'[4]Por organismos'!AE115</f>
        <v>0</v>
      </c>
      <c r="H111" s="463">
        <f>+E111-F111</f>
        <v>0</v>
      </c>
      <c r="I111" s="460"/>
    </row>
    <row r="112" spans="1:9" x14ac:dyDescent="0.25">
      <c r="A112" s="492">
        <v>244</v>
      </c>
      <c r="B112" s="491" t="s">
        <v>622</v>
      </c>
      <c r="C112" s="463">
        <f>C113</f>
        <v>0</v>
      </c>
      <c r="D112" s="463">
        <v>0</v>
      </c>
      <c r="E112" s="463">
        <f>+C112+D112</f>
        <v>0</v>
      </c>
      <c r="F112" s="463">
        <f>F113</f>
        <v>0</v>
      </c>
      <c r="G112" s="463">
        <f>G113</f>
        <v>0</v>
      </c>
      <c r="H112" s="463">
        <f>+E112-F112</f>
        <v>0</v>
      </c>
      <c r="I112" s="460"/>
    </row>
    <row r="113" spans="1:9" x14ac:dyDescent="0.25">
      <c r="A113" s="494">
        <v>24401</v>
      </c>
      <c r="B113" s="490" t="s">
        <v>622</v>
      </c>
      <c r="C113" s="464">
        <f>'[4]Por organismos'!I117</f>
        <v>0</v>
      </c>
      <c r="D113" s="464">
        <f>'[4]Por organismos'!P117</f>
        <v>0</v>
      </c>
      <c r="E113" s="463">
        <f>+C113+D113</f>
        <v>0</v>
      </c>
      <c r="F113" s="464">
        <f>'[4]Por organismos'!X117</f>
        <v>0</v>
      </c>
      <c r="G113" s="464">
        <f>'[4]Por organismos'!AE117</f>
        <v>0</v>
      </c>
      <c r="H113" s="463">
        <f>+E113-F113</f>
        <v>0</v>
      </c>
      <c r="I113" s="460"/>
    </row>
    <row r="114" spans="1:9" x14ac:dyDescent="0.25">
      <c r="A114" s="492">
        <v>245</v>
      </c>
      <c r="B114" s="491" t="s">
        <v>621</v>
      </c>
      <c r="C114" s="463">
        <f>C115</f>
        <v>0</v>
      </c>
      <c r="D114" s="463">
        <v>0</v>
      </c>
      <c r="E114" s="463">
        <f>+C114+D114</f>
        <v>0</v>
      </c>
      <c r="F114" s="463">
        <f>F115</f>
        <v>0</v>
      </c>
      <c r="G114" s="463">
        <f>G115</f>
        <v>0</v>
      </c>
      <c r="H114" s="463">
        <f>+E114-F114</f>
        <v>0</v>
      </c>
      <c r="I114" s="460"/>
    </row>
    <row r="115" spans="1:9" x14ac:dyDescent="0.25">
      <c r="A115" s="494">
        <v>24501</v>
      </c>
      <c r="B115" s="490" t="s">
        <v>621</v>
      </c>
      <c r="C115" s="464">
        <f>'[4]Por organismos'!I119</f>
        <v>0</v>
      </c>
      <c r="D115" s="464">
        <f>'[4]Por organismos'!P119</f>
        <v>0</v>
      </c>
      <c r="E115" s="463">
        <f>+C115+D115</f>
        <v>0</v>
      </c>
      <c r="F115" s="464">
        <f>'[4]Por organismos'!X119</f>
        <v>0</v>
      </c>
      <c r="G115" s="464">
        <f>'[4]Por organismos'!AE119</f>
        <v>0</v>
      </c>
      <c r="H115" s="463">
        <f>+E115-F115</f>
        <v>0</v>
      </c>
      <c r="I115" s="460"/>
    </row>
    <row r="116" spans="1:9" x14ac:dyDescent="0.25">
      <c r="A116" s="492">
        <v>246</v>
      </c>
      <c r="B116" s="491" t="s">
        <v>620</v>
      </c>
      <c r="C116" s="463">
        <f>C117</f>
        <v>584166.95066466124</v>
      </c>
      <c r="D116" s="463">
        <f>D117</f>
        <v>50070.93</v>
      </c>
      <c r="E116" s="463">
        <f>+C116+D116</f>
        <v>634237.88066466129</v>
      </c>
      <c r="F116" s="463">
        <f>F117</f>
        <v>509077.74999999994</v>
      </c>
      <c r="G116" s="463">
        <f>G117</f>
        <v>498142.62</v>
      </c>
      <c r="H116" s="463">
        <f>+E116-F116</f>
        <v>125160.13066466135</v>
      </c>
      <c r="I116" s="460">
        <f>+F116/E116</f>
        <v>0.80266058764339732</v>
      </c>
    </row>
    <row r="117" spans="1:9" x14ac:dyDescent="0.25">
      <c r="A117" s="494">
        <v>24601</v>
      </c>
      <c r="B117" s="490" t="s">
        <v>620</v>
      </c>
      <c r="C117" s="464">
        <f>'[4]Por organismos'!I121</f>
        <v>584166.95066466124</v>
      </c>
      <c r="D117" s="464">
        <f>'[4]Por organismos'!P121</f>
        <v>50070.93</v>
      </c>
      <c r="E117" s="463">
        <f>+C117+D117</f>
        <v>634237.88066466129</v>
      </c>
      <c r="F117" s="464">
        <f>'[4]Por organismos'!X121</f>
        <v>509077.74999999994</v>
      </c>
      <c r="G117" s="464">
        <f>'[4]Por organismos'!AE121</f>
        <v>498142.62</v>
      </c>
      <c r="H117" s="463">
        <f>+E117-F117</f>
        <v>125160.13066466135</v>
      </c>
      <c r="I117" s="460">
        <f>+F117/E117</f>
        <v>0.80266058764339732</v>
      </c>
    </row>
    <row r="118" spans="1:9" x14ac:dyDescent="0.25">
      <c r="A118" s="492">
        <v>248</v>
      </c>
      <c r="B118" s="491" t="s">
        <v>619</v>
      </c>
      <c r="C118" s="463">
        <f>C119</f>
        <v>5100</v>
      </c>
      <c r="D118" s="464">
        <f>D119</f>
        <v>0</v>
      </c>
      <c r="E118" s="463">
        <f>+C118+D118</f>
        <v>5100</v>
      </c>
      <c r="F118" s="463">
        <f>F119</f>
        <v>2784</v>
      </c>
      <c r="G118" s="463">
        <f>G119</f>
        <v>2784</v>
      </c>
      <c r="H118" s="463">
        <f>+E118-F118</f>
        <v>2316</v>
      </c>
      <c r="I118" s="460">
        <f>+F118/E118</f>
        <v>0.54588235294117649</v>
      </c>
    </row>
    <row r="119" spans="1:9" x14ac:dyDescent="0.25">
      <c r="A119" s="494">
        <v>24801</v>
      </c>
      <c r="B119" s="490" t="s">
        <v>619</v>
      </c>
      <c r="C119" s="464">
        <f>'[4]Por organismos'!I122</f>
        <v>5100</v>
      </c>
      <c r="D119" s="464">
        <f>'[4]Por organismos'!P122</f>
        <v>0</v>
      </c>
      <c r="E119" s="463">
        <f>+C119+D119</f>
        <v>5100</v>
      </c>
      <c r="F119" s="464">
        <f>'[4]Por organismos'!X122</f>
        <v>2784</v>
      </c>
      <c r="G119" s="464">
        <f>'[4]Por organismos'!AE122</f>
        <v>2784</v>
      </c>
      <c r="H119" s="463">
        <f>+E119-F119</f>
        <v>2316</v>
      </c>
      <c r="I119" s="460">
        <f>+F119/E119</f>
        <v>0.54588235294117649</v>
      </c>
    </row>
    <row r="120" spans="1:9" ht="33.75" customHeight="1" x14ac:dyDescent="0.25">
      <c r="A120" s="492">
        <v>249</v>
      </c>
      <c r="B120" s="491" t="s">
        <v>618</v>
      </c>
      <c r="C120" s="463">
        <f>C121</f>
        <v>0</v>
      </c>
      <c r="D120" s="463">
        <f>D121</f>
        <v>10491.46</v>
      </c>
      <c r="E120" s="463">
        <f>+C120+D120</f>
        <v>10491.46</v>
      </c>
      <c r="F120" s="463">
        <f>F121</f>
        <v>10491.46</v>
      </c>
      <c r="G120" s="463">
        <f>G121</f>
        <v>10491.46</v>
      </c>
      <c r="H120" s="463">
        <f>+E120-F120</f>
        <v>0</v>
      </c>
      <c r="I120" s="460">
        <f>+F120/E120</f>
        <v>1</v>
      </c>
    </row>
    <row r="121" spans="1:9" ht="22.5" x14ac:dyDescent="0.25">
      <c r="A121" s="494">
        <v>24901</v>
      </c>
      <c r="B121" s="490" t="s">
        <v>618</v>
      </c>
      <c r="C121" s="464">
        <f>'[4]Por organismos'!I124</f>
        <v>0</v>
      </c>
      <c r="D121" s="464">
        <f>'[4]Por organismos'!P124</f>
        <v>10491.46</v>
      </c>
      <c r="E121" s="463">
        <f>+C121+D121</f>
        <v>10491.46</v>
      </c>
      <c r="F121" s="464">
        <f>'[4]Por organismos'!X124</f>
        <v>10491.46</v>
      </c>
      <c r="G121" s="464">
        <f>'[4]Por organismos'!AE124</f>
        <v>10491.46</v>
      </c>
      <c r="H121" s="463">
        <f>+E121-F121</f>
        <v>0</v>
      </c>
      <c r="I121" s="460">
        <f>+F121/E121</f>
        <v>1</v>
      </c>
    </row>
    <row r="122" spans="1:9" ht="22.5" x14ac:dyDescent="0.25">
      <c r="A122" s="493">
        <v>2500</v>
      </c>
      <c r="B122" s="491" t="s">
        <v>617</v>
      </c>
      <c r="C122" s="463">
        <f>C123+C125+C127+C129+C131</f>
        <v>8850206.9450112432</v>
      </c>
      <c r="D122" s="463">
        <f>D123+D125+D127+D129+D131</f>
        <v>-1530652.56</v>
      </c>
      <c r="E122" s="463">
        <f>+C122+D122</f>
        <v>7319554.3850112427</v>
      </c>
      <c r="F122" s="463">
        <f>F123+F125+F127+F129+F131</f>
        <v>226065.92000000001</v>
      </c>
      <c r="G122" s="463">
        <f>G123+G125+G127+G129+G131</f>
        <v>226065.92000000001</v>
      </c>
      <c r="H122" s="463">
        <f>+E122-F122</f>
        <v>7093488.4650112428</v>
      </c>
      <c r="I122" s="460">
        <f>+F122/E122</f>
        <v>3.0885202583224303E-2</v>
      </c>
    </row>
    <row r="123" spans="1:9" x14ac:dyDescent="0.25">
      <c r="A123" s="492">
        <v>251</v>
      </c>
      <c r="B123" s="491" t="s">
        <v>616</v>
      </c>
      <c r="C123" s="463">
        <f>C124</f>
        <v>0</v>
      </c>
      <c r="D123" s="463">
        <f>D124</f>
        <v>0</v>
      </c>
      <c r="E123" s="463">
        <f>+C123+D123</f>
        <v>0</v>
      </c>
      <c r="F123" s="463">
        <f>F124</f>
        <v>0</v>
      </c>
      <c r="G123" s="463">
        <f>G124</f>
        <v>0</v>
      </c>
      <c r="H123" s="463">
        <f>+E123-F123</f>
        <v>0</v>
      </c>
      <c r="I123" s="460"/>
    </row>
    <row r="124" spans="1:9" x14ac:dyDescent="0.25">
      <c r="A124" s="494">
        <v>25101</v>
      </c>
      <c r="B124" s="490" t="s">
        <v>616</v>
      </c>
      <c r="C124" s="463">
        <f>'[4]Por organismos'!I127</f>
        <v>0</v>
      </c>
      <c r="D124" s="464">
        <f>'[4]Por organismos'!P127</f>
        <v>0</v>
      </c>
      <c r="E124" s="463">
        <f>+C124+D124</f>
        <v>0</v>
      </c>
      <c r="F124" s="463">
        <f>'[4]Por organismos'!X127</f>
        <v>0</v>
      </c>
      <c r="G124" s="463">
        <f>'[4]Por organismos'!AE127</f>
        <v>0</v>
      </c>
      <c r="H124" s="463">
        <f>+E124-F124</f>
        <v>0</v>
      </c>
      <c r="I124" s="460"/>
    </row>
    <row r="125" spans="1:9" ht="21" customHeight="1" x14ac:dyDescent="0.25">
      <c r="A125" s="492">
        <v>252</v>
      </c>
      <c r="B125" s="491" t="s">
        <v>615</v>
      </c>
      <c r="C125" s="463">
        <f>C126</f>
        <v>0</v>
      </c>
      <c r="D125" s="463">
        <f>D126</f>
        <v>180</v>
      </c>
      <c r="E125" s="463">
        <f>+C125+D125</f>
        <v>180</v>
      </c>
      <c r="F125" s="463">
        <f>F126</f>
        <v>180</v>
      </c>
      <c r="G125" s="463">
        <f>G126</f>
        <v>180</v>
      </c>
      <c r="H125" s="463">
        <f>+E125-F125</f>
        <v>0</v>
      </c>
      <c r="I125" s="460">
        <f>+F125/E125</f>
        <v>1</v>
      </c>
    </row>
    <row r="126" spans="1:9" x14ac:dyDescent="0.25">
      <c r="A126" s="494">
        <v>25201</v>
      </c>
      <c r="B126" s="490" t="s">
        <v>615</v>
      </c>
      <c r="C126" s="464">
        <f>'[4]Por organismos'!I129</f>
        <v>0</v>
      </c>
      <c r="D126" s="464">
        <f>'[4]Por organismos'!P129</f>
        <v>180</v>
      </c>
      <c r="E126" s="463">
        <f>+C126+D126</f>
        <v>180</v>
      </c>
      <c r="F126" s="464">
        <f>'[4]Por organismos'!X129</f>
        <v>180</v>
      </c>
      <c r="G126" s="464">
        <f>'[4]Por organismos'!AE129</f>
        <v>180</v>
      </c>
      <c r="H126" s="463">
        <f>+E126-F126</f>
        <v>0</v>
      </c>
      <c r="I126" s="460">
        <f>+F126/E126</f>
        <v>1</v>
      </c>
    </row>
    <row r="127" spans="1:9" x14ac:dyDescent="0.25">
      <c r="A127" s="492">
        <v>253</v>
      </c>
      <c r="B127" s="491" t="s">
        <v>614</v>
      </c>
      <c r="C127" s="463">
        <f>C128</f>
        <v>20682.75722714129</v>
      </c>
      <c r="D127" s="463">
        <f>D128</f>
        <v>69776.22</v>
      </c>
      <c r="E127" s="463">
        <f>+C127+D127</f>
        <v>90458.977227141295</v>
      </c>
      <c r="F127" s="463">
        <f>F128</f>
        <v>58132.74</v>
      </c>
      <c r="G127" s="463">
        <f>G128</f>
        <v>58132.74</v>
      </c>
      <c r="H127" s="463">
        <f>+E127-F127</f>
        <v>32326.237227141297</v>
      </c>
      <c r="I127" s="460">
        <f>+F127/E127</f>
        <v>0.6426420216318548</v>
      </c>
    </row>
    <row r="128" spans="1:9" x14ac:dyDescent="0.25">
      <c r="A128" s="494">
        <v>25301</v>
      </c>
      <c r="B128" s="490" t="s">
        <v>614</v>
      </c>
      <c r="C128" s="464">
        <f>'[4]Por organismos'!I131</f>
        <v>20682.75722714129</v>
      </c>
      <c r="D128" s="464">
        <f>'[4]Por organismos'!P131</f>
        <v>69776.22</v>
      </c>
      <c r="E128" s="463">
        <f>+C128+D128</f>
        <v>90458.977227141295</v>
      </c>
      <c r="F128" s="464">
        <f>'[4]Por organismos'!X131</f>
        <v>58132.74</v>
      </c>
      <c r="G128" s="464">
        <f>'[4]Por organismos'!AE131</f>
        <v>58132.74</v>
      </c>
      <c r="H128" s="463">
        <f>+E128-F128</f>
        <v>32326.237227141297</v>
      </c>
      <c r="I128" s="460">
        <f>+F128/E128</f>
        <v>0.6426420216318548</v>
      </c>
    </row>
    <row r="129" spans="1:9" ht="23.25" customHeight="1" x14ac:dyDescent="0.25">
      <c r="A129" s="492">
        <v>255</v>
      </c>
      <c r="B129" s="491" t="s">
        <v>613</v>
      </c>
      <c r="C129" s="463">
        <f>C130</f>
        <v>0</v>
      </c>
      <c r="D129" s="463">
        <f>D130</f>
        <v>1984.76</v>
      </c>
      <c r="E129" s="463">
        <f>+C129+D129</f>
        <v>1984.76</v>
      </c>
      <c r="F129" s="463">
        <f>F130</f>
        <v>1984.76</v>
      </c>
      <c r="G129" s="463">
        <f>G130</f>
        <v>1984.76</v>
      </c>
      <c r="H129" s="463">
        <f>+E129-F129</f>
        <v>0</v>
      </c>
      <c r="I129" s="460">
        <f>+F129/E129</f>
        <v>1</v>
      </c>
    </row>
    <row r="130" spans="1:9" ht="22.5" customHeight="1" x14ac:dyDescent="0.25">
      <c r="A130" s="494">
        <v>25501</v>
      </c>
      <c r="B130" s="490" t="s">
        <v>613</v>
      </c>
      <c r="C130" s="464">
        <f>'[4]Por organismos'!I133</f>
        <v>0</v>
      </c>
      <c r="D130" s="464">
        <f>'[4]Por organismos'!P133</f>
        <v>1984.76</v>
      </c>
      <c r="E130" s="463">
        <f>+C130+D130</f>
        <v>1984.76</v>
      </c>
      <c r="F130" s="464">
        <f>'[4]Por organismos'!X133</f>
        <v>1984.76</v>
      </c>
      <c r="G130" s="464">
        <f>'[4]Por organismos'!AE133</f>
        <v>1984.76</v>
      </c>
      <c r="H130" s="463">
        <f>+E130-F130</f>
        <v>0</v>
      </c>
      <c r="I130" s="460">
        <f>+F130/E130</f>
        <v>1</v>
      </c>
    </row>
    <row r="131" spans="1:9" x14ac:dyDescent="0.25">
      <c r="A131" s="492">
        <v>259</v>
      </c>
      <c r="B131" s="491" t="s">
        <v>612</v>
      </c>
      <c r="C131" s="463">
        <f>C132</f>
        <v>8829524.1877841018</v>
      </c>
      <c r="D131" s="463">
        <f>D132</f>
        <v>-1602593.54</v>
      </c>
      <c r="E131" s="463">
        <f>+C131+D131</f>
        <v>7226930.6477841018</v>
      </c>
      <c r="F131" s="463">
        <f>F132</f>
        <v>165768.42000000001</v>
      </c>
      <c r="G131" s="463">
        <f>G132</f>
        <v>165768.42000000001</v>
      </c>
      <c r="H131" s="463">
        <f>+E131-F131</f>
        <v>7061162.2277841019</v>
      </c>
      <c r="I131" s="460">
        <f>+F131/E131</f>
        <v>2.2937596620057146E-2</v>
      </c>
    </row>
    <row r="132" spans="1:9" x14ac:dyDescent="0.25">
      <c r="A132" s="494">
        <v>25901</v>
      </c>
      <c r="B132" s="490" t="s">
        <v>612</v>
      </c>
      <c r="C132" s="464">
        <f>'[4]Por organismos'!I135</f>
        <v>8829524.1877841018</v>
      </c>
      <c r="D132" s="464">
        <f>'[4]Por organismos'!P135</f>
        <v>-1602593.54</v>
      </c>
      <c r="E132" s="463">
        <f>+C132+D132</f>
        <v>7226930.6477841018</v>
      </c>
      <c r="F132" s="464">
        <f>'[4]Por organismos'!X135</f>
        <v>165768.42000000001</v>
      </c>
      <c r="G132" s="464">
        <f>'[4]Por organismos'!AE135</f>
        <v>165768.42000000001</v>
      </c>
      <c r="H132" s="463">
        <f>+E132-F132</f>
        <v>7061162.2277841019</v>
      </c>
      <c r="I132" s="460">
        <f>+F132/E132</f>
        <v>2.2937596620057146E-2</v>
      </c>
    </row>
    <row r="133" spans="1:9" x14ac:dyDescent="0.25">
      <c r="A133" s="493">
        <v>2600</v>
      </c>
      <c r="B133" s="491" t="s">
        <v>611</v>
      </c>
      <c r="C133" s="463">
        <f>C134</f>
        <v>7882079.9040440097</v>
      </c>
      <c r="D133" s="463">
        <f>D134</f>
        <v>2944291.0599999996</v>
      </c>
      <c r="E133" s="463">
        <f>+C133+D133</f>
        <v>10826370.964044008</v>
      </c>
      <c r="F133" s="463">
        <f>F134</f>
        <v>10273233.500000002</v>
      </c>
      <c r="G133" s="463">
        <f>G134</f>
        <v>9483576.6699999999</v>
      </c>
      <c r="H133" s="463">
        <f>+E133-F133</f>
        <v>553137.46404400654</v>
      </c>
      <c r="I133" s="460">
        <f>+F133/E133</f>
        <v>0.9489083215528954</v>
      </c>
    </row>
    <row r="134" spans="1:9" x14ac:dyDescent="0.25">
      <c r="A134" s="492">
        <v>261</v>
      </c>
      <c r="B134" s="491" t="s">
        <v>611</v>
      </c>
      <c r="C134" s="463">
        <f>SUM(C135:C136)</f>
        <v>7882079.9040440097</v>
      </c>
      <c r="D134" s="463">
        <f>SUM(D135:D136)</f>
        <v>2944291.0599999996</v>
      </c>
      <c r="E134" s="463">
        <f>+C134+D134</f>
        <v>10826370.964044008</v>
      </c>
      <c r="F134" s="463">
        <f>SUM(F135:F136)</f>
        <v>10273233.500000002</v>
      </c>
      <c r="G134" s="463">
        <f>SUM(G135:G136)</f>
        <v>9483576.6699999999</v>
      </c>
      <c r="H134" s="463">
        <f>+E134-F134</f>
        <v>553137.46404400654</v>
      </c>
      <c r="I134" s="460">
        <f>+F134/E134</f>
        <v>0.9489083215528954</v>
      </c>
    </row>
    <row r="135" spans="1:9" x14ac:dyDescent="0.25">
      <c r="A135" s="494">
        <v>26101</v>
      </c>
      <c r="B135" s="490" t="s">
        <v>610</v>
      </c>
      <c r="C135" s="464">
        <f>'[4]Por organismos'!I138</f>
        <v>7416609.4737322005</v>
      </c>
      <c r="D135" s="464">
        <f>'[4]Por organismos'!P138</f>
        <v>2666434.7199999997</v>
      </c>
      <c r="E135" s="463">
        <f>+C135+D135</f>
        <v>10083044.1937322</v>
      </c>
      <c r="F135" s="464">
        <f>'[4]Por organismos'!X138</f>
        <v>9566170.6800000016</v>
      </c>
      <c r="G135" s="464">
        <f>'[4]Por organismos'!AE138</f>
        <v>8829081.0299999993</v>
      </c>
      <c r="H135" s="463">
        <f>+E135-F135</f>
        <v>516873.51373219863</v>
      </c>
      <c r="I135" s="460">
        <f>+F135/E135</f>
        <v>0.94873834689195391</v>
      </c>
    </row>
    <row r="136" spans="1:9" x14ac:dyDescent="0.25">
      <c r="A136" s="494">
        <v>26102</v>
      </c>
      <c r="B136" s="490" t="s">
        <v>609</v>
      </c>
      <c r="C136" s="464">
        <f>'[4]Por organismos'!I139</f>
        <v>465470.430311809</v>
      </c>
      <c r="D136" s="464">
        <f>'[4]Por organismos'!P139</f>
        <v>277856.34000000003</v>
      </c>
      <c r="E136" s="463">
        <f>+C136+D136</f>
        <v>743326.77031180903</v>
      </c>
      <c r="F136" s="464">
        <f>'[4]Por organismos'!X139</f>
        <v>707062.82000000007</v>
      </c>
      <c r="G136" s="464">
        <f>'[4]Por organismos'!AE139</f>
        <v>654495.64</v>
      </c>
      <c r="H136" s="463">
        <f>+E136-F136</f>
        <v>36263.950311808963</v>
      </c>
      <c r="I136" s="460">
        <f>+F136/E136</f>
        <v>0.95121398588053396</v>
      </c>
    </row>
    <row r="137" spans="1:9" ht="33.75" customHeight="1" x14ac:dyDescent="0.25">
      <c r="A137" s="493">
        <v>2700</v>
      </c>
      <c r="B137" s="491" t="s">
        <v>608</v>
      </c>
      <c r="C137" s="463">
        <f>C138+C140</f>
        <v>2391286.6141817095</v>
      </c>
      <c r="D137" s="463">
        <f>D138+D140</f>
        <v>75367</v>
      </c>
      <c r="E137" s="463">
        <f>+C137+D137</f>
        <v>2466653.6141817095</v>
      </c>
      <c r="F137" s="463">
        <f>F138+F140</f>
        <v>570968.38</v>
      </c>
      <c r="G137" s="463">
        <f>G138+G140</f>
        <v>570547.76</v>
      </c>
      <c r="H137" s="463">
        <f>+E137-F137</f>
        <v>1895685.2341817096</v>
      </c>
      <c r="I137" s="460">
        <f>+F137/E137</f>
        <v>0.23147489242806138</v>
      </c>
    </row>
    <row r="138" spans="1:9" x14ac:dyDescent="0.25">
      <c r="A138" s="492">
        <v>271</v>
      </c>
      <c r="B138" s="491" t="s">
        <v>607</v>
      </c>
      <c r="C138" s="463">
        <f>C139</f>
        <v>2195656.5958342836</v>
      </c>
      <c r="D138" s="463">
        <f>D139</f>
        <v>-94451</v>
      </c>
      <c r="E138" s="463">
        <f>+C138+D138</f>
        <v>2101205.5958342836</v>
      </c>
      <c r="F138" s="463">
        <f>F139</f>
        <v>286758.23</v>
      </c>
      <c r="G138" s="463">
        <f>G139</f>
        <v>286758.23</v>
      </c>
      <c r="H138" s="463">
        <f>+E138-F138</f>
        <v>1814447.3658342836</v>
      </c>
      <c r="I138" s="460">
        <f>+F138/E138</f>
        <v>0.13647318975758896</v>
      </c>
    </row>
    <row r="139" spans="1:9" x14ac:dyDescent="0.25">
      <c r="A139" s="494">
        <v>27101</v>
      </c>
      <c r="B139" s="490" t="s">
        <v>607</v>
      </c>
      <c r="C139" s="464">
        <f>'[4]Por organismos'!I142</f>
        <v>2195656.5958342836</v>
      </c>
      <c r="D139" s="464">
        <f>'[4]Por organismos'!P142</f>
        <v>-94451</v>
      </c>
      <c r="E139" s="463">
        <f>+C139+D139</f>
        <v>2101205.5958342836</v>
      </c>
      <c r="F139" s="464">
        <f>'[4]Por organismos'!X142</f>
        <v>286758.23</v>
      </c>
      <c r="G139" s="464">
        <f>'[4]Por organismos'!AE142</f>
        <v>286758.23</v>
      </c>
      <c r="H139" s="463">
        <f>+E139-F139</f>
        <v>1814447.3658342836</v>
      </c>
      <c r="I139" s="460">
        <f>+F139/E139</f>
        <v>0.13647318975758896</v>
      </c>
    </row>
    <row r="140" spans="1:9" ht="26.25" customHeight="1" x14ac:dyDescent="0.25">
      <c r="A140" s="492">
        <v>272</v>
      </c>
      <c r="B140" s="491" t="s">
        <v>606</v>
      </c>
      <c r="C140" s="463">
        <f>C141</f>
        <v>195630.01834742585</v>
      </c>
      <c r="D140" s="463">
        <f>D141</f>
        <v>169818</v>
      </c>
      <c r="E140" s="463">
        <f>+C140+D140</f>
        <v>365448.01834742585</v>
      </c>
      <c r="F140" s="463">
        <f>F141</f>
        <v>284210.15000000002</v>
      </c>
      <c r="G140" s="463">
        <f>G141</f>
        <v>283789.53000000003</v>
      </c>
      <c r="H140" s="463">
        <f>+E140-F140</f>
        <v>81237.868347425829</v>
      </c>
      <c r="I140" s="460">
        <f>+F140/E140</f>
        <v>0.77770335514531586</v>
      </c>
    </row>
    <row r="141" spans="1:9" ht="20.25" customHeight="1" x14ac:dyDescent="0.25">
      <c r="A141" s="494">
        <v>27201</v>
      </c>
      <c r="B141" s="490" t="s">
        <v>606</v>
      </c>
      <c r="C141" s="464">
        <f>'[4]Por organismos'!I144</f>
        <v>195630.01834742585</v>
      </c>
      <c r="D141" s="464">
        <f>'[4]Por organismos'!P144</f>
        <v>169818</v>
      </c>
      <c r="E141" s="463">
        <f>+C141+D141</f>
        <v>365448.01834742585</v>
      </c>
      <c r="F141" s="464">
        <f>'[4]Por organismos'!X144</f>
        <v>284210.15000000002</v>
      </c>
      <c r="G141" s="464">
        <f>'[4]Por organismos'!AE144</f>
        <v>283789.53000000003</v>
      </c>
      <c r="H141" s="463">
        <f>+E141-F141</f>
        <v>81237.868347425829</v>
      </c>
      <c r="I141" s="460">
        <f>+F141/E141</f>
        <v>0.77770335514531586</v>
      </c>
    </row>
    <row r="142" spans="1:9" ht="20.25" customHeight="1" x14ac:dyDescent="0.25">
      <c r="A142" s="493">
        <v>2900</v>
      </c>
      <c r="B142" s="491" t="s">
        <v>605</v>
      </c>
      <c r="C142" s="463">
        <f>C143+C145+C147+C149+C153+C155+C151</f>
        <v>2546925.1574871233</v>
      </c>
      <c r="D142" s="463">
        <f>D143+D145+D147+D149+D153+D155+D151</f>
        <v>2109445.0099999998</v>
      </c>
      <c r="E142" s="463">
        <f>+C142+D142</f>
        <v>4656370.167487123</v>
      </c>
      <c r="F142" s="463">
        <f>F143+F145+F147+F149+F153+F155+F151</f>
        <v>2471250.66</v>
      </c>
      <c r="G142" s="463">
        <f>G143+G145+G147+G149+G153+G155+G151</f>
        <v>2385010.4000000004</v>
      </c>
      <c r="H142" s="463">
        <f>+E142-F142</f>
        <v>2185119.5074871229</v>
      </c>
      <c r="I142" s="460">
        <f>+F142/E142</f>
        <v>0.53072469995091609</v>
      </c>
    </row>
    <row r="143" spans="1:9" x14ac:dyDescent="0.25">
      <c r="A143" s="492">
        <v>291</v>
      </c>
      <c r="B143" s="491" t="s">
        <v>604</v>
      </c>
      <c r="C143" s="463">
        <f>C144</f>
        <v>286258.94043185533</v>
      </c>
      <c r="D143" s="463">
        <f>D144</f>
        <v>-27913</v>
      </c>
      <c r="E143" s="463">
        <f>+C143+D143</f>
        <v>258345.94043185533</v>
      </c>
      <c r="F143" s="463">
        <f>F144</f>
        <v>53379.39</v>
      </c>
      <c r="G143" s="463">
        <f>G144</f>
        <v>46599.040000000001</v>
      </c>
      <c r="H143" s="463">
        <f>+E143-F143</f>
        <v>204966.55043185531</v>
      </c>
      <c r="I143" s="460">
        <f>+F143/E143</f>
        <v>0.20661981338189458</v>
      </c>
    </row>
    <row r="144" spans="1:9" x14ac:dyDescent="0.25">
      <c r="A144" s="494">
        <v>29101</v>
      </c>
      <c r="B144" s="490" t="s">
        <v>604</v>
      </c>
      <c r="C144" s="464">
        <f>'[4]Por organismos'!I147</f>
        <v>286258.94043185533</v>
      </c>
      <c r="D144" s="464">
        <f>'[4]Por organismos'!P147</f>
        <v>-27913</v>
      </c>
      <c r="E144" s="463">
        <f>+C144+D144</f>
        <v>258345.94043185533</v>
      </c>
      <c r="F144" s="464">
        <f>'[4]Por organismos'!X147</f>
        <v>53379.39</v>
      </c>
      <c r="G144" s="464">
        <f>'[4]Por organismos'!AE147</f>
        <v>46599.040000000001</v>
      </c>
      <c r="H144" s="463">
        <f>+E144-F144</f>
        <v>204966.55043185531</v>
      </c>
      <c r="I144" s="460">
        <f>+F144/E144</f>
        <v>0.20661981338189458</v>
      </c>
    </row>
    <row r="145" spans="1:9" ht="22.5" x14ac:dyDescent="0.25">
      <c r="A145" s="492">
        <v>292</v>
      </c>
      <c r="B145" s="491" t="s">
        <v>603</v>
      </c>
      <c r="C145" s="463">
        <f>C146</f>
        <v>25661.058085330857</v>
      </c>
      <c r="D145" s="463">
        <f>D146</f>
        <v>18239.27</v>
      </c>
      <c r="E145" s="463">
        <f>+C145+D145</f>
        <v>43900.328085330853</v>
      </c>
      <c r="F145" s="463">
        <f>F146</f>
        <v>43090.74</v>
      </c>
      <c r="G145" s="463">
        <f>G146</f>
        <v>43090.74</v>
      </c>
      <c r="H145" s="463">
        <f>+E145-F145</f>
        <v>809.58808533085539</v>
      </c>
      <c r="I145" s="460">
        <f>+F145/E145</f>
        <v>0.98155849578715615</v>
      </c>
    </row>
    <row r="146" spans="1:9" x14ac:dyDescent="0.25">
      <c r="A146" s="494">
        <v>29201</v>
      </c>
      <c r="B146" s="490" t="s">
        <v>603</v>
      </c>
      <c r="C146" s="464">
        <f>'[4]Por organismos'!I149</f>
        <v>25661.058085330857</v>
      </c>
      <c r="D146" s="464">
        <f>'[4]Por organismos'!P149</f>
        <v>18239.27</v>
      </c>
      <c r="E146" s="463">
        <f>+C146+D146</f>
        <v>43900.328085330853</v>
      </c>
      <c r="F146" s="464">
        <f>'[4]Por organismos'!X149</f>
        <v>43090.74</v>
      </c>
      <c r="G146" s="464">
        <f>'[4]Por organismos'!AE149</f>
        <v>43090.74</v>
      </c>
      <c r="H146" s="475">
        <f>+E146-F146</f>
        <v>809.58808533085539</v>
      </c>
      <c r="I146" s="460">
        <f>+F146/E146</f>
        <v>0.98155849578715615</v>
      </c>
    </row>
    <row r="147" spans="1:9" ht="41.25" customHeight="1" x14ac:dyDescent="0.25">
      <c r="A147" s="492">
        <v>293</v>
      </c>
      <c r="B147" s="491" t="s">
        <v>602</v>
      </c>
      <c r="C147" s="463">
        <f>C148</f>
        <v>5072.4631271976868</v>
      </c>
      <c r="D147" s="463">
        <f>D148</f>
        <v>3550</v>
      </c>
      <c r="E147" s="463">
        <f>+C147+D147</f>
        <v>8622.4631271976868</v>
      </c>
      <c r="F147" s="463">
        <f>F148</f>
        <v>8371.4700000000012</v>
      </c>
      <c r="G147" s="463">
        <f>G148</f>
        <v>8371.4700000000012</v>
      </c>
      <c r="H147" s="463">
        <f>+E147-F147</f>
        <v>250.99312719768568</v>
      </c>
      <c r="I147" s="460">
        <f>+F147/E147</f>
        <v>0.97089078567283371</v>
      </c>
    </row>
    <row r="148" spans="1:9" ht="33.75" x14ac:dyDescent="0.25">
      <c r="A148" s="494">
        <v>29301</v>
      </c>
      <c r="B148" s="490" t="s">
        <v>601</v>
      </c>
      <c r="C148" s="464">
        <f>'[4]Por organismos'!I151</f>
        <v>5072.4631271976868</v>
      </c>
      <c r="D148" s="464">
        <f>'[4]Por organismos'!P151</f>
        <v>3550</v>
      </c>
      <c r="E148" s="463">
        <f>+C148+D148</f>
        <v>8622.4631271976868</v>
      </c>
      <c r="F148" s="464">
        <f>'[4]Por organismos'!X151</f>
        <v>8371.4700000000012</v>
      </c>
      <c r="G148" s="464">
        <f>'[4]Por organismos'!AE151</f>
        <v>8371.4700000000012</v>
      </c>
      <c r="H148" s="463">
        <f>+E148-F148</f>
        <v>250.99312719768568</v>
      </c>
      <c r="I148" s="460">
        <f>+F148/E148</f>
        <v>0.97089078567283371</v>
      </c>
    </row>
    <row r="149" spans="1:9" ht="48.75" customHeight="1" x14ac:dyDescent="0.25">
      <c r="A149" s="492">
        <v>294</v>
      </c>
      <c r="B149" s="491" t="s">
        <v>600</v>
      </c>
      <c r="C149" s="463">
        <f>C150</f>
        <v>73641.078574689542</v>
      </c>
      <c r="D149" s="463">
        <f>D150</f>
        <v>163187</v>
      </c>
      <c r="E149" s="463">
        <f>+C149+D149</f>
        <v>236828.07857468954</v>
      </c>
      <c r="F149" s="463">
        <f>F150</f>
        <v>30148.29</v>
      </c>
      <c r="G149" s="463">
        <f>G150</f>
        <v>29068.29</v>
      </c>
      <c r="H149" s="463">
        <f>+E149-F149</f>
        <v>206679.78857468953</v>
      </c>
      <c r="I149" s="460">
        <f>+F149/E149</f>
        <v>0.12730031920810436</v>
      </c>
    </row>
    <row r="150" spans="1:9" ht="22.5" x14ac:dyDescent="0.25">
      <c r="A150" s="494">
        <v>29401</v>
      </c>
      <c r="B150" s="490" t="s">
        <v>599</v>
      </c>
      <c r="C150" s="464">
        <f>'[4]Por organismos'!I153</f>
        <v>73641.078574689542</v>
      </c>
      <c r="D150" s="464">
        <f>'[4]Por organismos'!P153</f>
        <v>163187</v>
      </c>
      <c r="E150" s="463">
        <f>+C150+D150</f>
        <v>236828.07857468954</v>
      </c>
      <c r="F150" s="464">
        <f>'[4]Por organismos'!X153</f>
        <v>30148.29</v>
      </c>
      <c r="G150" s="464">
        <f>'[4]Por organismos'!AE153</f>
        <v>29068.29</v>
      </c>
      <c r="H150" s="463">
        <f>+E150-F150</f>
        <v>206679.78857468953</v>
      </c>
      <c r="I150" s="460">
        <f>+F150/E150</f>
        <v>0.12730031920810436</v>
      </c>
    </row>
    <row r="151" spans="1:9" ht="45" customHeight="1" x14ac:dyDescent="0.25">
      <c r="A151" s="492">
        <v>295</v>
      </c>
      <c r="B151" s="491" t="s">
        <v>598</v>
      </c>
      <c r="C151" s="463">
        <f>C152</f>
        <v>4000</v>
      </c>
      <c r="D151" s="463">
        <f>D152</f>
        <v>0</v>
      </c>
      <c r="E151" s="463">
        <f>+C151+D151</f>
        <v>4000</v>
      </c>
      <c r="F151" s="463">
        <f>F152</f>
        <v>0</v>
      </c>
      <c r="G151" s="463">
        <f>G152</f>
        <v>0</v>
      </c>
      <c r="H151" s="463">
        <f>+E151-F151</f>
        <v>4000</v>
      </c>
      <c r="I151" s="460">
        <f>+F151/E151</f>
        <v>0</v>
      </c>
    </row>
    <row r="152" spans="1:9" ht="22.5" x14ac:dyDescent="0.25">
      <c r="A152" s="494">
        <v>29501</v>
      </c>
      <c r="B152" s="490" t="s">
        <v>597</v>
      </c>
      <c r="C152" s="464">
        <f>'[4]Por organismos'!I155</f>
        <v>4000</v>
      </c>
      <c r="D152" s="464">
        <f>'[4]Por organismos'!P155</f>
        <v>0</v>
      </c>
      <c r="E152" s="463">
        <f>+C152+D152</f>
        <v>4000</v>
      </c>
      <c r="F152" s="464">
        <f>'[4]Por organismos'!X155</f>
        <v>0</v>
      </c>
      <c r="G152" s="464">
        <f>'[4]Por organismos'!AE155</f>
        <v>0</v>
      </c>
      <c r="H152" s="463">
        <f>+E152-F152</f>
        <v>4000</v>
      </c>
      <c r="I152" s="460">
        <f>+F152/E152</f>
        <v>0</v>
      </c>
    </row>
    <row r="153" spans="1:9" ht="22.5" x14ac:dyDescent="0.25">
      <c r="A153" s="492">
        <v>296</v>
      </c>
      <c r="B153" s="491" t="s">
        <v>596</v>
      </c>
      <c r="C153" s="463">
        <f>C154</f>
        <v>1271548.8443943597</v>
      </c>
      <c r="D153" s="463">
        <f>D154</f>
        <v>812429.08000000007</v>
      </c>
      <c r="E153" s="463">
        <f>+C153+D153</f>
        <v>2083977.9243943598</v>
      </c>
      <c r="F153" s="463">
        <f>F154</f>
        <v>1136362.51</v>
      </c>
      <c r="G153" s="463">
        <f>G154</f>
        <v>1065511.22</v>
      </c>
      <c r="H153" s="463">
        <f>+E153-F153</f>
        <v>947615.4143943598</v>
      </c>
      <c r="I153" s="460">
        <f>+F153/E153</f>
        <v>0.54528529150818461</v>
      </c>
    </row>
    <row r="154" spans="1:9" ht="27" customHeight="1" x14ac:dyDescent="0.25">
      <c r="A154" s="494">
        <v>29601</v>
      </c>
      <c r="B154" s="490" t="s">
        <v>596</v>
      </c>
      <c r="C154" s="464">
        <f>'[4]Por organismos'!I157</f>
        <v>1271548.8443943597</v>
      </c>
      <c r="D154" s="464">
        <f>'[4]Por organismos'!P157</f>
        <v>812429.08000000007</v>
      </c>
      <c r="E154" s="463">
        <f>+C154+D154</f>
        <v>2083977.9243943598</v>
      </c>
      <c r="F154" s="464">
        <f>'[4]Por organismos'!X157</f>
        <v>1136362.51</v>
      </c>
      <c r="G154" s="464">
        <f>'[4]Por organismos'!AE157</f>
        <v>1065511.22</v>
      </c>
      <c r="H154" s="463">
        <f>+E154-F154</f>
        <v>947615.4143943598</v>
      </c>
      <c r="I154" s="460">
        <f>+F154/E154</f>
        <v>0.54528529150818461</v>
      </c>
    </row>
    <row r="155" spans="1:9" ht="33.75" x14ac:dyDescent="0.25">
      <c r="A155" s="492">
        <v>298</v>
      </c>
      <c r="B155" s="491" t="s">
        <v>595</v>
      </c>
      <c r="C155" s="463">
        <f>C156</f>
        <v>880742.77287368989</v>
      </c>
      <c r="D155" s="463">
        <f>D156</f>
        <v>1139952.6599999999</v>
      </c>
      <c r="E155" s="463">
        <f>+C155+D155</f>
        <v>2020695.4328736898</v>
      </c>
      <c r="F155" s="463">
        <f>F156</f>
        <v>1199898.26</v>
      </c>
      <c r="G155" s="463">
        <f>G156</f>
        <v>1192369.6400000001</v>
      </c>
      <c r="H155" s="463">
        <f>+E155-F155</f>
        <v>820797.17287368979</v>
      </c>
      <c r="I155" s="460">
        <f>+F155/E155</f>
        <v>0.59380460829447701</v>
      </c>
    </row>
    <row r="156" spans="1:9" ht="33.75" x14ac:dyDescent="0.25">
      <c r="A156" s="494">
        <v>29801</v>
      </c>
      <c r="B156" s="490" t="s">
        <v>595</v>
      </c>
      <c r="C156" s="464">
        <f>'[4]Por organismos'!I159</f>
        <v>880742.77287368989</v>
      </c>
      <c r="D156" s="464">
        <f>'[4]Por organismos'!P159</f>
        <v>1139952.6599999999</v>
      </c>
      <c r="E156" s="463">
        <f>+C156+D156</f>
        <v>2020695.4328736898</v>
      </c>
      <c r="F156" s="464">
        <f>'[4]Por organismos'!X159</f>
        <v>1199898.26</v>
      </c>
      <c r="G156" s="464">
        <f>'[4]Por organismos'!AE159</f>
        <v>1192369.6400000001</v>
      </c>
      <c r="H156" s="463">
        <f>+E156-F156</f>
        <v>820797.17287368979</v>
      </c>
      <c r="I156" s="460">
        <f>+F156/E156</f>
        <v>0.59380460829447701</v>
      </c>
    </row>
    <row r="157" spans="1:9" x14ac:dyDescent="0.25">
      <c r="A157" s="494"/>
      <c r="B157" s="490"/>
      <c r="C157" s="464">
        <v>0</v>
      </c>
      <c r="D157" s="464">
        <v>0</v>
      </c>
      <c r="E157" s="463">
        <f>+C157+D157</f>
        <v>0</v>
      </c>
      <c r="F157" s="464">
        <v>0</v>
      </c>
      <c r="G157" s="464">
        <v>0</v>
      </c>
      <c r="H157" s="463">
        <f>+E157-F157</f>
        <v>0</v>
      </c>
      <c r="I157" s="460"/>
    </row>
    <row r="158" spans="1:9" x14ac:dyDescent="0.25">
      <c r="A158" s="495">
        <v>3000</v>
      </c>
      <c r="B158" s="491" t="s">
        <v>594</v>
      </c>
      <c r="C158" s="463">
        <f>C159+C176+C190+C209+C218+C235+C244+C259+C268</f>
        <v>188213199.19262657</v>
      </c>
      <c r="D158" s="463">
        <f>D159+D176+D190+D209+D218+D235+D244+D259+D268</f>
        <v>-3884571.6399999997</v>
      </c>
      <c r="E158" s="463">
        <f>+C158+D158</f>
        <v>184328627.55262658</v>
      </c>
      <c r="F158" s="480">
        <f>F159+F176+F190+F209+F218+F235+F244+F259+F268</f>
        <v>165188326.43000004</v>
      </c>
      <c r="G158" s="463">
        <f>G159+G176+G190+G209+G218+G235+G244+G259+G268</f>
        <v>141449477.61000001</v>
      </c>
      <c r="H158" s="463">
        <f>+E158-F158</f>
        <v>19140301.122626543</v>
      </c>
      <c r="I158" s="460">
        <f>+F158/E158</f>
        <v>0.89616208086200877</v>
      </c>
    </row>
    <row r="159" spans="1:9" x14ac:dyDescent="0.25">
      <c r="A159" s="493">
        <v>3100</v>
      </c>
      <c r="B159" s="491" t="s">
        <v>593</v>
      </c>
      <c r="C159" s="463">
        <f>C160+C162+C164+C166+C168+C170+C172+C174</f>
        <v>119789910.95852274</v>
      </c>
      <c r="D159" s="463">
        <f>D160+D162+D164+D166+D168+D170+D172+D174</f>
        <v>-1692222.2899999996</v>
      </c>
      <c r="E159" s="463">
        <f>+C159+D159</f>
        <v>118097688.66852273</v>
      </c>
      <c r="F159" s="463">
        <f>F160+F162+F164+F166+F168+F170+F172+F174</f>
        <v>110979789.72999999</v>
      </c>
      <c r="G159" s="463">
        <f>G160+G162+G164+G166+G168+G170+G172+G174</f>
        <v>110166026.39</v>
      </c>
      <c r="H159" s="463">
        <f>+E159-F159</f>
        <v>7117898.9385227412</v>
      </c>
      <c r="I159" s="460">
        <f>+F159/E159</f>
        <v>0.93972871934436164</v>
      </c>
    </row>
    <row r="160" spans="1:9" x14ac:dyDescent="0.25">
      <c r="A160" s="492">
        <v>311</v>
      </c>
      <c r="B160" s="491" t="s">
        <v>592</v>
      </c>
      <c r="C160" s="463">
        <f>C161</f>
        <v>118949256.67709199</v>
      </c>
      <c r="D160" s="463">
        <f>D161</f>
        <v>-1732620.4399999997</v>
      </c>
      <c r="E160" s="463">
        <f>+C160+D160</f>
        <v>117216636.23709199</v>
      </c>
      <c r="F160" s="463">
        <f>F161</f>
        <v>110165894.03</v>
      </c>
      <c r="G160" s="463">
        <f>G161</f>
        <v>109550043.67</v>
      </c>
      <c r="H160" s="463">
        <f>+E160-F160</f>
        <v>7050742.2070919871</v>
      </c>
      <c r="I160" s="460">
        <f>+F160/E160</f>
        <v>0.93984862188989471</v>
      </c>
    </row>
    <row r="161" spans="1:9" x14ac:dyDescent="0.25">
      <c r="A161" s="494">
        <v>31101</v>
      </c>
      <c r="B161" s="490" t="s">
        <v>592</v>
      </c>
      <c r="C161" s="464">
        <f>'[4]Por organismos'!I164</f>
        <v>118949256.67709199</v>
      </c>
      <c r="D161" s="464">
        <f>'[4]Por organismos'!P164</f>
        <v>-1732620.4399999997</v>
      </c>
      <c r="E161" s="463">
        <f>+C161+D161</f>
        <v>117216636.23709199</v>
      </c>
      <c r="F161" s="464">
        <f>'[4]Por organismos'!X164</f>
        <v>110165894.03</v>
      </c>
      <c r="G161" s="464">
        <f>'[4]Por organismos'!AE164</f>
        <v>109550043.67</v>
      </c>
      <c r="H161" s="463">
        <f>+E161-F161</f>
        <v>7050742.2070919871</v>
      </c>
      <c r="I161" s="460">
        <f>+F161/E161</f>
        <v>0.93984862188989471</v>
      </c>
    </row>
    <row r="162" spans="1:9" x14ac:dyDescent="0.25">
      <c r="A162" s="492">
        <v>312</v>
      </c>
      <c r="B162" s="491" t="s">
        <v>591</v>
      </c>
      <c r="C162" s="463">
        <f>C163</f>
        <v>4499.7</v>
      </c>
      <c r="D162" s="463">
        <f>D163</f>
        <v>-1799</v>
      </c>
      <c r="E162" s="463">
        <f>+C162+D162</f>
        <v>2700.7</v>
      </c>
      <c r="F162" s="463">
        <f>F163</f>
        <v>2700</v>
      </c>
      <c r="G162" s="463">
        <f>G163</f>
        <v>2700</v>
      </c>
      <c r="H162" s="463">
        <f>+E162-F162</f>
        <v>0.6999999999998181</v>
      </c>
      <c r="I162" s="460">
        <f>+F162/E162</f>
        <v>0.99974080793868259</v>
      </c>
    </row>
    <row r="163" spans="1:9" x14ac:dyDescent="0.25">
      <c r="A163" s="494">
        <v>31201</v>
      </c>
      <c r="B163" s="490" t="s">
        <v>591</v>
      </c>
      <c r="C163" s="464">
        <f>'[4]Por organismos'!I166</f>
        <v>4499.7</v>
      </c>
      <c r="D163" s="464">
        <f>'[4]Por organismos'!P166</f>
        <v>-1799</v>
      </c>
      <c r="E163" s="463">
        <f>+C163+D163</f>
        <v>2700.7</v>
      </c>
      <c r="F163" s="464">
        <f>'[4]Por organismos'!X166</f>
        <v>2700</v>
      </c>
      <c r="G163" s="464">
        <f>'[4]Por organismos'!AE166</f>
        <v>2700</v>
      </c>
      <c r="H163" s="463">
        <f>+E163-F163</f>
        <v>0.6999999999998181</v>
      </c>
      <c r="I163" s="460">
        <f>+F163/E163</f>
        <v>0.99974080793868259</v>
      </c>
    </row>
    <row r="164" spans="1:9" x14ac:dyDescent="0.25">
      <c r="A164" s="492">
        <v>313</v>
      </c>
      <c r="B164" s="491" t="s">
        <v>590</v>
      </c>
      <c r="C164" s="463">
        <f>C165</f>
        <v>52320</v>
      </c>
      <c r="D164" s="463">
        <f>D165</f>
        <v>-240</v>
      </c>
      <c r="E164" s="463">
        <f>+C164+D164</f>
        <v>52080</v>
      </c>
      <c r="F164" s="463">
        <f>F165</f>
        <v>45898.63</v>
      </c>
      <c r="G164" s="463">
        <f>G165</f>
        <v>44598.63</v>
      </c>
      <c r="H164" s="463">
        <f>+E164-F164</f>
        <v>6181.3700000000026</v>
      </c>
      <c r="I164" s="460">
        <f>+F164/E164</f>
        <v>0.88131009984639008</v>
      </c>
    </row>
    <row r="165" spans="1:9" x14ac:dyDescent="0.25">
      <c r="A165" s="494">
        <v>31301</v>
      </c>
      <c r="B165" s="490" t="s">
        <v>589</v>
      </c>
      <c r="C165" s="464">
        <f>'[4]Por organismos'!I168</f>
        <v>52320</v>
      </c>
      <c r="D165" s="464">
        <f>'[4]Por organismos'!P168</f>
        <v>-240</v>
      </c>
      <c r="E165" s="463">
        <f>+C165+D165</f>
        <v>52080</v>
      </c>
      <c r="F165" s="464">
        <f>'[4]Por organismos'!X168</f>
        <v>45898.63</v>
      </c>
      <c r="G165" s="464">
        <f>'[4]Por organismos'!AE168</f>
        <v>44598.63</v>
      </c>
      <c r="H165" s="463">
        <f>+E165-F165</f>
        <v>6181.3700000000026</v>
      </c>
      <c r="I165" s="460">
        <f>+F165/E165</f>
        <v>0.88131009984639008</v>
      </c>
    </row>
    <row r="166" spans="1:9" x14ac:dyDescent="0.25">
      <c r="A166" s="492">
        <v>314</v>
      </c>
      <c r="B166" s="491" t="s">
        <v>588</v>
      </c>
      <c r="C166" s="463">
        <f>C167</f>
        <v>454510.68341397285</v>
      </c>
      <c r="D166" s="463">
        <f>D167</f>
        <v>122354.01</v>
      </c>
      <c r="E166" s="463">
        <f>+C166+D166</f>
        <v>576864.69341397285</v>
      </c>
      <c r="F166" s="463">
        <f>F167</f>
        <v>576720.96000000008</v>
      </c>
      <c r="G166" s="463">
        <f>G167</f>
        <v>408353.97000000003</v>
      </c>
      <c r="H166" s="463">
        <f>+E166-F166</f>
        <v>143.73341397277545</v>
      </c>
      <c r="I166" s="460">
        <f>+F166/E166</f>
        <v>0.99975083686761601</v>
      </c>
    </row>
    <row r="167" spans="1:9" x14ac:dyDescent="0.25">
      <c r="A167" s="494">
        <v>31401</v>
      </c>
      <c r="B167" s="490" t="s">
        <v>588</v>
      </c>
      <c r="C167" s="464">
        <f>'[4]Por organismos'!I170</f>
        <v>454510.68341397285</v>
      </c>
      <c r="D167" s="464">
        <f>'[4]Por organismos'!P170</f>
        <v>122354.01</v>
      </c>
      <c r="E167" s="463">
        <f>+C167+D167</f>
        <v>576864.69341397285</v>
      </c>
      <c r="F167" s="464">
        <f>'[4]Por organismos'!X170</f>
        <v>576720.96000000008</v>
      </c>
      <c r="G167" s="464">
        <f>'[4]Por organismos'!AE170</f>
        <v>408353.97000000003</v>
      </c>
      <c r="H167" s="475">
        <f>+E167-F167</f>
        <v>143.73341397277545</v>
      </c>
      <c r="I167" s="460">
        <f>+F167/E167</f>
        <v>0.99975083686761601</v>
      </c>
    </row>
    <row r="168" spans="1:9" x14ac:dyDescent="0.25">
      <c r="A168" s="492">
        <v>315</v>
      </c>
      <c r="B168" s="491" t="s">
        <v>587</v>
      </c>
      <c r="C168" s="463">
        <f>C169</f>
        <v>2000</v>
      </c>
      <c r="D168" s="463">
        <f>D169</f>
        <v>139.59</v>
      </c>
      <c r="E168" s="463">
        <f>+C168+D168</f>
        <v>2139.59</v>
      </c>
      <c r="F168" s="463">
        <f>F169</f>
        <v>2139.59</v>
      </c>
      <c r="G168" s="463">
        <f>G169</f>
        <v>2139.59</v>
      </c>
      <c r="H168" s="463">
        <f>+E168-F168</f>
        <v>0</v>
      </c>
      <c r="I168" s="460">
        <f>+F168/E168</f>
        <v>1</v>
      </c>
    </row>
    <row r="169" spans="1:9" x14ac:dyDescent="0.25">
      <c r="A169" s="494">
        <v>31501</v>
      </c>
      <c r="B169" s="490" t="s">
        <v>587</v>
      </c>
      <c r="C169" s="464">
        <f>'[4]Por organismos'!I172</f>
        <v>2000</v>
      </c>
      <c r="D169" s="464">
        <f>'[4]Por organismos'!P172</f>
        <v>139.59</v>
      </c>
      <c r="E169" s="463">
        <f>+C169+D169</f>
        <v>2139.59</v>
      </c>
      <c r="F169" s="464">
        <f>'[4]Por organismos'!X172</f>
        <v>2139.59</v>
      </c>
      <c r="G169" s="464">
        <f>'[4]Por organismos'!AE172</f>
        <v>2139.59</v>
      </c>
      <c r="H169" s="463">
        <f>+E169-F169</f>
        <v>0</v>
      </c>
      <c r="I169" s="460">
        <f>+F169/E169</f>
        <v>1</v>
      </c>
    </row>
    <row r="170" spans="1:9" ht="22.5" customHeight="1" x14ac:dyDescent="0.25">
      <c r="A170" s="492">
        <v>316</v>
      </c>
      <c r="B170" s="491" t="s">
        <v>586</v>
      </c>
      <c r="C170" s="463">
        <f>C171</f>
        <v>0</v>
      </c>
      <c r="D170" s="463">
        <f>D171</f>
        <v>0</v>
      </c>
      <c r="E170" s="463">
        <f>+C170+D170</f>
        <v>0</v>
      </c>
      <c r="F170" s="463">
        <f>F171</f>
        <v>0</v>
      </c>
      <c r="G170" s="463">
        <f>G171</f>
        <v>0</v>
      </c>
      <c r="H170" s="463">
        <f>+E170-F170</f>
        <v>0</v>
      </c>
      <c r="I170" s="460"/>
    </row>
    <row r="171" spans="1:9" x14ac:dyDescent="0.25">
      <c r="A171" s="494">
        <v>31601</v>
      </c>
      <c r="B171" s="490" t="s">
        <v>586</v>
      </c>
      <c r="C171" s="464">
        <f>'[4]Por organismos'!I174</f>
        <v>0</v>
      </c>
      <c r="D171" s="464">
        <f>'[4]Por organismos'!P174</f>
        <v>0</v>
      </c>
      <c r="E171" s="463">
        <f>+C171+D171</f>
        <v>0</v>
      </c>
      <c r="F171" s="464">
        <f>'[4]Por organismos'!X174</f>
        <v>0</v>
      </c>
      <c r="G171" s="464">
        <f>'[4]Por organismos'!AE174</f>
        <v>0</v>
      </c>
      <c r="H171" s="463">
        <f>+E171-F171</f>
        <v>0</v>
      </c>
      <c r="I171" s="460"/>
    </row>
    <row r="172" spans="1:9" ht="33.75" x14ac:dyDescent="0.25">
      <c r="A172" s="492">
        <v>317</v>
      </c>
      <c r="B172" s="491" t="s">
        <v>585</v>
      </c>
      <c r="C172" s="463">
        <f>C173</f>
        <v>280179.50885809446</v>
      </c>
      <c r="D172" s="463">
        <f>D173</f>
        <v>-76433.45</v>
      </c>
      <c r="E172" s="463">
        <f>+C172+D172</f>
        <v>203746.05885809445</v>
      </c>
      <c r="F172" s="463">
        <f>F173</f>
        <v>166667.16999999998</v>
      </c>
      <c r="G172" s="463">
        <f>G173</f>
        <v>138651.18</v>
      </c>
      <c r="H172" s="463">
        <f>+E172-F172</f>
        <v>37078.888858094462</v>
      </c>
      <c r="I172" s="460">
        <f>+F172/E172</f>
        <v>0.81801420323953722</v>
      </c>
    </row>
    <row r="173" spans="1:9" ht="33.75" customHeight="1" x14ac:dyDescent="0.25">
      <c r="A173" s="494">
        <v>31701</v>
      </c>
      <c r="B173" s="490" t="s">
        <v>585</v>
      </c>
      <c r="C173" s="464">
        <f>'[4]Por organismos'!I176</f>
        <v>280179.50885809446</v>
      </c>
      <c r="D173" s="464">
        <f>'[4]Por organismos'!P176</f>
        <v>-76433.45</v>
      </c>
      <c r="E173" s="463">
        <f>+C173+D173</f>
        <v>203746.05885809445</v>
      </c>
      <c r="F173" s="464">
        <f>'[4]Por organismos'!X176</f>
        <v>166667.16999999998</v>
      </c>
      <c r="G173" s="464">
        <f>'[4]Por organismos'!AE176</f>
        <v>138651.18</v>
      </c>
      <c r="H173" s="463">
        <f>+E173-F173</f>
        <v>37078.888858094462</v>
      </c>
      <c r="I173" s="460">
        <f>+F173/E173</f>
        <v>0.81801420323953722</v>
      </c>
    </row>
    <row r="174" spans="1:9" x14ac:dyDescent="0.25">
      <c r="A174" s="492">
        <v>318</v>
      </c>
      <c r="B174" s="491" t="s">
        <v>584</v>
      </c>
      <c r="C174" s="463">
        <f>C175</f>
        <v>47144.389158681741</v>
      </c>
      <c r="D174" s="463">
        <f>D175</f>
        <v>-3623</v>
      </c>
      <c r="E174" s="463">
        <f>+C174+D174</f>
        <v>43521.389158681741</v>
      </c>
      <c r="F174" s="463">
        <f>F175</f>
        <v>19769.349999999999</v>
      </c>
      <c r="G174" s="463">
        <f>G175</f>
        <v>19539.349999999999</v>
      </c>
      <c r="H174" s="463">
        <f>+E174-F174</f>
        <v>23752.039158681742</v>
      </c>
      <c r="I174" s="460">
        <f>+F174/E174</f>
        <v>0.4542444619108939</v>
      </c>
    </row>
    <row r="175" spans="1:9" x14ac:dyDescent="0.25">
      <c r="A175" s="494">
        <v>31801</v>
      </c>
      <c r="B175" s="490" t="s">
        <v>583</v>
      </c>
      <c r="C175" s="464">
        <f>'[4]Por organismos'!I178</f>
        <v>47144.389158681741</v>
      </c>
      <c r="D175" s="464">
        <f>'[4]Por organismos'!P178</f>
        <v>-3623</v>
      </c>
      <c r="E175" s="463">
        <f>+C175+D175</f>
        <v>43521.389158681741</v>
      </c>
      <c r="F175" s="464">
        <f>'[4]Por organismos'!X178</f>
        <v>19769.349999999999</v>
      </c>
      <c r="G175" s="464">
        <f>'[4]Por organismos'!AE178</f>
        <v>19539.349999999999</v>
      </c>
      <c r="H175" s="463">
        <f>+E175-F175</f>
        <v>23752.039158681742</v>
      </c>
      <c r="I175" s="460">
        <f>+F175/E175</f>
        <v>0.4542444619108939</v>
      </c>
    </row>
    <row r="176" spans="1:9" x14ac:dyDescent="0.25">
      <c r="A176" s="493">
        <v>3200</v>
      </c>
      <c r="B176" s="491" t="s">
        <v>582</v>
      </c>
      <c r="C176" s="463">
        <f>C177+C179+C181+C184+C186+C188</f>
        <v>6189840.4854979319</v>
      </c>
      <c r="D176" s="463">
        <f>D177+D179+D181+D184+D186+D188</f>
        <v>24901.809999999987</v>
      </c>
      <c r="E176" s="463">
        <f>+C176+D176</f>
        <v>6214742.2954979315</v>
      </c>
      <c r="F176" s="463">
        <f>F177+F179+F181+F184+F186+F188</f>
        <v>5400471.29</v>
      </c>
      <c r="G176" s="463">
        <f>G177+G179+G181+G184+G186+G188</f>
        <v>3679155.0900000003</v>
      </c>
      <c r="H176" s="463">
        <f>+E176-F176</f>
        <v>814271.0054979315</v>
      </c>
      <c r="I176" s="460">
        <f>+F176/E176</f>
        <v>0.86897751076697038</v>
      </c>
    </row>
    <row r="177" spans="1:9" x14ac:dyDescent="0.25">
      <c r="A177" s="492">
        <v>321</v>
      </c>
      <c r="B177" s="491" t="s">
        <v>581</v>
      </c>
      <c r="C177" s="463">
        <f>C178</f>
        <v>821017.94536813302</v>
      </c>
      <c r="D177" s="463">
        <f>D178</f>
        <v>-299017.95</v>
      </c>
      <c r="E177" s="463">
        <f>+C177+D177</f>
        <v>521999.99536813301</v>
      </c>
      <c r="F177" s="463">
        <f>F178</f>
        <v>290000</v>
      </c>
      <c r="G177" s="463">
        <f>G178</f>
        <v>0</v>
      </c>
      <c r="H177" s="463">
        <f>+E177-F177</f>
        <v>231999.99536813301</v>
      </c>
      <c r="I177" s="460">
        <f>+F177/E177</f>
        <v>0.55555556048517141</v>
      </c>
    </row>
    <row r="178" spans="1:9" x14ac:dyDescent="0.25">
      <c r="A178" s="494">
        <v>32101</v>
      </c>
      <c r="B178" s="490" t="s">
        <v>581</v>
      </c>
      <c r="C178" s="464">
        <f>'[4]Por organismos'!I181</f>
        <v>821017.94536813302</v>
      </c>
      <c r="D178" s="464">
        <f>'[4]Por organismos'!P181</f>
        <v>-299017.95</v>
      </c>
      <c r="E178" s="463">
        <f>+C178+D178</f>
        <v>521999.99536813301</v>
      </c>
      <c r="F178" s="464">
        <f>'[4]Por organismos'!X181</f>
        <v>290000</v>
      </c>
      <c r="G178" s="464">
        <f>'[4]Por organismos'!AE181</f>
        <v>0</v>
      </c>
      <c r="H178" s="463">
        <f>+E178-F178</f>
        <v>231999.99536813301</v>
      </c>
      <c r="I178" s="460">
        <f>+F178/E178</f>
        <v>0.55555556048517141</v>
      </c>
    </row>
    <row r="179" spans="1:9" x14ac:dyDescent="0.25">
      <c r="A179" s="492">
        <v>322</v>
      </c>
      <c r="B179" s="491" t="s">
        <v>580</v>
      </c>
      <c r="C179" s="463">
        <f>C180</f>
        <v>2833272.2726400988</v>
      </c>
      <c r="D179" s="463">
        <f>D180</f>
        <v>53773.959999999992</v>
      </c>
      <c r="E179" s="463">
        <f>+C179+D179</f>
        <v>2887046.2326400988</v>
      </c>
      <c r="F179" s="463">
        <f>F180</f>
        <v>2589913.0099999998</v>
      </c>
      <c r="G179" s="463">
        <f>G180</f>
        <v>1661523.29</v>
      </c>
      <c r="H179" s="463">
        <f>+E179-F179</f>
        <v>297133.222640099</v>
      </c>
      <c r="I179" s="460">
        <f>+F179/E179</f>
        <v>0.89708054575614415</v>
      </c>
    </row>
    <row r="180" spans="1:9" x14ac:dyDescent="0.25">
      <c r="A180" s="494">
        <v>32201</v>
      </c>
      <c r="B180" s="490" t="s">
        <v>580</v>
      </c>
      <c r="C180" s="464">
        <f>'[4]Por organismos'!I183</f>
        <v>2833272.2726400988</v>
      </c>
      <c r="D180" s="464">
        <f>'[4]Por organismos'!P183</f>
        <v>53773.959999999992</v>
      </c>
      <c r="E180" s="463">
        <f>+C180+D180</f>
        <v>2887046.2326400988</v>
      </c>
      <c r="F180" s="464">
        <f>'[4]Por organismos'!X183</f>
        <v>2589913.0099999998</v>
      </c>
      <c r="G180" s="464">
        <f>'[4]Por organismos'!AE183</f>
        <v>1661523.29</v>
      </c>
      <c r="H180" s="463">
        <f>+E180-F180</f>
        <v>297133.222640099</v>
      </c>
      <c r="I180" s="460">
        <f>+F180/E180</f>
        <v>0.89708054575614415</v>
      </c>
    </row>
    <row r="181" spans="1:9" ht="49.5" customHeight="1" x14ac:dyDescent="0.25">
      <c r="A181" s="492">
        <v>323</v>
      </c>
      <c r="B181" s="491" t="s">
        <v>579</v>
      </c>
      <c r="C181" s="463">
        <f>C182+C183</f>
        <v>783089.83800008637</v>
      </c>
      <c r="D181" s="463">
        <f>D182+D183</f>
        <v>238817.51</v>
      </c>
      <c r="E181" s="463">
        <f>+C181+D181</f>
        <v>1021907.3480000864</v>
      </c>
      <c r="F181" s="463">
        <f>F182+F183</f>
        <v>1018148.24</v>
      </c>
      <c r="G181" s="463">
        <f>G182+G183</f>
        <v>803646.56</v>
      </c>
      <c r="H181" s="463">
        <f>+E181-F181</f>
        <v>3759.1080000863876</v>
      </c>
      <c r="I181" s="460">
        <f>+F181/E181</f>
        <v>0.99632147864731269</v>
      </c>
    </row>
    <row r="182" spans="1:9" ht="22.5" x14ac:dyDescent="0.25">
      <c r="A182" s="494">
        <v>32301</v>
      </c>
      <c r="B182" s="490" t="s">
        <v>578</v>
      </c>
      <c r="C182" s="464">
        <f>'[4]Por organismos'!I185</f>
        <v>63698.352189013938</v>
      </c>
      <c r="D182" s="464">
        <f>'[4]Por organismos'!P185</f>
        <v>15500</v>
      </c>
      <c r="E182" s="463">
        <f>+C182+D182</f>
        <v>79198.352189013938</v>
      </c>
      <c r="F182" s="464">
        <f>'[4]Por organismos'!X185</f>
        <v>76246.8</v>
      </c>
      <c r="G182" s="464">
        <f>'[4]Por organismos'!AE185</f>
        <v>76276.800000000003</v>
      </c>
      <c r="H182" s="463">
        <f>+E182-F182</f>
        <v>2951.5521890139353</v>
      </c>
      <c r="I182" s="460">
        <f>+F182/E182</f>
        <v>0.96273215152292824</v>
      </c>
    </row>
    <row r="183" spans="1:9" ht="22.5" x14ac:dyDescent="0.25">
      <c r="A183" s="494">
        <v>32302</v>
      </c>
      <c r="B183" s="490" t="s">
        <v>577</v>
      </c>
      <c r="C183" s="464">
        <f>'[4]Por organismos'!I186</f>
        <v>719391.4858110724</v>
      </c>
      <c r="D183" s="464">
        <f>'[4]Por organismos'!P186</f>
        <v>223317.51</v>
      </c>
      <c r="E183" s="463">
        <f>+C183+D183</f>
        <v>942708.99581107241</v>
      </c>
      <c r="F183" s="464">
        <f>'[4]Por organismos'!X186</f>
        <v>941901.44</v>
      </c>
      <c r="G183" s="464">
        <f>'[4]Por organismos'!AE186</f>
        <v>727369.76</v>
      </c>
      <c r="H183" s="475">
        <f>+E183-F183</f>
        <v>807.55581107246689</v>
      </c>
      <c r="I183" s="460">
        <f>+F183/E183</f>
        <v>0.9991433668134484</v>
      </c>
    </row>
    <row r="184" spans="1:9" x14ac:dyDescent="0.25">
      <c r="A184" s="492">
        <v>325</v>
      </c>
      <c r="B184" s="491" t="s">
        <v>576</v>
      </c>
      <c r="C184" s="463">
        <f>C185</f>
        <v>8000</v>
      </c>
      <c r="D184" s="463">
        <f>D185</f>
        <v>0</v>
      </c>
      <c r="E184" s="463">
        <f>+C184+D184</f>
        <v>8000</v>
      </c>
      <c r="F184" s="463">
        <f>F185</f>
        <v>0</v>
      </c>
      <c r="G184" s="463">
        <f>G185</f>
        <v>0</v>
      </c>
      <c r="H184" s="463">
        <f>+E184-F184</f>
        <v>8000</v>
      </c>
      <c r="I184" s="460">
        <f>+F184/E184</f>
        <v>0</v>
      </c>
    </row>
    <row r="185" spans="1:9" ht="22.5" x14ac:dyDescent="0.25">
      <c r="A185" s="494">
        <v>32501</v>
      </c>
      <c r="B185" s="490" t="s">
        <v>575</v>
      </c>
      <c r="C185" s="464">
        <f>'[4]Por organismos'!I188</f>
        <v>8000</v>
      </c>
      <c r="D185" s="464">
        <f>'[4]Por organismos'!P188</f>
        <v>0</v>
      </c>
      <c r="E185" s="463">
        <f>+C185+D185</f>
        <v>8000</v>
      </c>
      <c r="F185" s="464">
        <f>'[4]Por organismos'!X188</f>
        <v>0</v>
      </c>
      <c r="G185" s="464">
        <f>'[4]Por organismos'!AE188</f>
        <v>0</v>
      </c>
      <c r="H185" s="463">
        <f>+E185-F185</f>
        <v>8000</v>
      </c>
      <c r="I185" s="460">
        <f>+F185/E185</f>
        <v>0</v>
      </c>
    </row>
    <row r="186" spans="1:9" ht="33.75" x14ac:dyDescent="0.25">
      <c r="A186" s="492">
        <v>326</v>
      </c>
      <c r="B186" s="491" t="s">
        <v>574</v>
      </c>
      <c r="C186" s="463">
        <f>C187</f>
        <v>1735503.5389947654</v>
      </c>
      <c r="D186" s="463">
        <f>D187</f>
        <v>38989.979999999996</v>
      </c>
      <c r="E186" s="463">
        <f>+C186+D186</f>
        <v>1774493.5189947654</v>
      </c>
      <c r="F186" s="463">
        <f>F187</f>
        <v>1501114.84</v>
      </c>
      <c r="G186" s="463">
        <f>G187</f>
        <v>1212690.04</v>
      </c>
      <c r="H186" s="463">
        <f>+E186-F186</f>
        <v>273378.67899476527</v>
      </c>
      <c r="I186" s="460">
        <f>+F186/E186</f>
        <v>0.84593988308865065</v>
      </c>
    </row>
    <row r="187" spans="1:9" ht="22.5" x14ac:dyDescent="0.25">
      <c r="A187" s="494">
        <v>32601</v>
      </c>
      <c r="B187" s="490" t="s">
        <v>573</v>
      </c>
      <c r="C187" s="464">
        <f>'[4]Por organismos'!I190</f>
        <v>1735503.5389947654</v>
      </c>
      <c r="D187" s="464">
        <f>'[4]Por organismos'!P190</f>
        <v>38989.979999999996</v>
      </c>
      <c r="E187" s="463">
        <f>+C187+D187</f>
        <v>1774493.5189947654</v>
      </c>
      <c r="F187" s="464">
        <f>'[4]Por organismos'!X190</f>
        <v>1501114.84</v>
      </c>
      <c r="G187" s="464">
        <f>'[4]Por organismos'!AE190</f>
        <v>1212690.04</v>
      </c>
      <c r="H187" s="463">
        <f>+E187-F187</f>
        <v>273378.67899476527</v>
      </c>
      <c r="I187" s="460">
        <f>+F187/E187</f>
        <v>0.84593988308865065</v>
      </c>
    </row>
    <row r="188" spans="1:9" x14ac:dyDescent="0.25">
      <c r="A188" s="492">
        <v>329</v>
      </c>
      <c r="B188" s="491" t="s">
        <v>572</v>
      </c>
      <c r="C188" s="463">
        <f>C189</f>
        <v>8956.8904948483978</v>
      </c>
      <c r="D188" s="463">
        <f>D189</f>
        <v>-7661.69</v>
      </c>
      <c r="E188" s="463">
        <f>+C188+D188</f>
        <v>1295.2004948483982</v>
      </c>
      <c r="F188" s="463">
        <f>F189</f>
        <v>1295.2</v>
      </c>
      <c r="G188" s="463">
        <f>G189</f>
        <v>1295.2</v>
      </c>
      <c r="H188" s="463">
        <f>+E188-F188</f>
        <v>4.9484839814795123E-4</v>
      </c>
      <c r="I188" s="460">
        <f>+F188/E188</f>
        <v>0.99999961793683667</v>
      </c>
    </row>
    <row r="189" spans="1:9" x14ac:dyDescent="0.25">
      <c r="A189" s="494">
        <v>32901</v>
      </c>
      <c r="B189" s="490" t="s">
        <v>572</v>
      </c>
      <c r="C189" s="464">
        <f>'[4]Por organismos'!I192</f>
        <v>8956.8904948483978</v>
      </c>
      <c r="D189" s="464">
        <f>'[4]Por organismos'!P192</f>
        <v>-7661.69</v>
      </c>
      <c r="E189" s="463">
        <f>+C189+D189</f>
        <v>1295.2004948483982</v>
      </c>
      <c r="F189" s="464">
        <f>'[4]Por organismos'!X192</f>
        <v>1295.2</v>
      </c>
      <c r="G189" s="464">
        <f>'[4]Por organismos'!AE192</f>
        <v>1295.2</v>
      </c>
      <c r="H189" s="463">
        <f>+E189-F189</f>
        <v>4.9484839814795123E-4</v>
      </c>
      <c r="I189" s="460">
        <f>+F189/E189</f>
        <v>0.99999961793683667</v>
      </c>
    </row>
    <row r="190" spans="1:9" ht="22.5" x14ac:dyDescent="0.25">
      <c r="A190" s="493">
        <v>3300</v>
      </c>
      <c r="B190" s="491" t="s">
        <v>571</v>
      </c>
      <c r="C190" s="463">
        <f>C191+C193+C195+C198+C200+C205+C207</f>
        <v>15233054.221186515</v>
      </c>
      <c r="D190" s="463">
        <f>D191+D193+D195+D198+D200+D205+D207</f>
        <v>-2908320.7</v>
      </c>
      <c r="E190" s="463">
        <f>+C190+D190</f>
        <v>12324733.521186516</v>
      </c>
      <c r="F190" s="463">
        <f>F191+F193+F195+F198+F200+F205+F207</f>
        <v>9051715.3399999999</v>
      </c>
      <c r="G190" s="463">
        <f>G191+G193+G195+G198+G200+G205+G207</f>
        <v>8232587.8100000005</v>
      </c>
      <c r="H190" s="463">
        <f>+E190-F190</f>
        <v>3273018.1811865158</v>
      </c>
      <c r="I190" s="460">
        <f>+F190/E190</f>
        <v>0.73443497374120759</v>
      </c>
    </row>
    <row r="191" spans="1:9" ht="33.75" x14ac:dyDescent="0.25">
      <c r="A191" s="492">
        <v>331</v>
      </c>
      <c r="B191" s="491" t="s">
        <v>570</v>
      </c>
      <c r="C191" s="463">
        <f>C192</f>
        <v>8154532.223311414</v>
      </c>
      <c r="D191" s="463">
        <f>D192</f>
        <v>-1681402.93</v>
      </c>
      <c r="E191" s="463">
        <f>+C191+D191</f>
        <v>6473129.2933114143</v>
      </c>
      <c r="F191" s="463">
        <f>F192</f>
        <v>5582888.4000000004</v>
      </c>
      <c r="G191" s="463">
        <f>G192</f>
        <v>5022285.01</v>
      </c>
      <c r="H191" s="463">
        <f>+E191-F191</f>
        <v>890240.89331141394</v>
      </c>
      <c r="I191" s="460">
        <f>+F191/E191</f>
        <v>0.86247132523194214</v>
      </c>
    </row>
    <row r="192" spans="1:9" ht="33.75" x14ac:dyDescent="0.25">
      <c r="A192" s="482">
        <v>33101</v>
      </c>
      <c r="B192" s="481" t="s">
        <v>570</v>
      </c>
      <c r="C192" s="464">
        <f>'[4]Por organismos'!I195</f>
        <v>8154532.223311414</v>
      </c>
      <c r="D192" s="464">
        <f>'[4]Por organismos'!P195</f>
        <v>-1681402.93</v>
      </c>
      <c r="E192" s="463">
        <f>+C192+D192</f>
        <v>6473129.2933114143</v>
      </c>
      <c r="F192" s="464">
        <f>'[4]Por organismos'!X195</f>
        <v>5582888.4000000004</v>
      </c>
      <c r="G192" s="464">
        <f>'[4]Por organismos'!AE195</f>
        <v>5022285.01</v>
      </c>
      <c r="H192" s="463">
        <f>+E192-F192</f>
        <v>890240.89331141394</v>
      </c>
      <c r="I192" s="460">
        <f>+F192/E192</f>
        <v>0.86247132523194214</v>
      </c>
    </row>
    <row r="193" spans="1:9" ht="33.75" x14ac:dyDescent="0.25">
      <c r="A193" s="485">
        <v>332</v>
      </c>
      <c r="B193" s="489" t="s">
        <v>569</v>
      </c>
      <c r="C193" s="463">
        <f>C194</f>
        <v>802004.97529560095</v>
      </c>
      <c r="D193" s="463">
        <f>D194</f>
        <v>66414.799999999988</v>
      </c>
      <c r="E193" s="463">
        <f>+C193+D193</f>
        <v>868419.77529560099</v>
      </c>
      <c r="F193" s="463">
        <f>F194</f>
        <v>347550.22000000003</v>
      </c>
      <c r="G193" s="463">
        <f>G194</f>
        <v>347550.22000000003</v>
      </c>
      <c r="H193" s="463">
        <f>+E193-F193</f>
        <v>520869.55529560096</v>
      </c>
      <c r="I193" s="460">
        <f>+F193/E193</f>
        <v>0.40020993289990153</v>
      </c>
    </row>
    <row r="194" spans="1:9" ht="22.5" x14ac:dyDescent="0.25">
      <c r="A194" s="482">
        <v>33201</v>
      </c>
      <c r="B194" s="481" t="s">
        <v>568</v>
      </c>
      <c r="C194" s="464">
        <f>'[4]Por organismos'!I197</f>
        <v>802004.97529560095</v>
      </c>
      <c r="D194" s="464">
        <f>'[4]Por organismos'!P197</f>
        <v>66414.799999999988</v>
      </c>
      <c r="E194" s="463">
        <f>+C194+D194</f>
        <v>868419.77529560099</v>
      </c>
      <c r="F194" s="464">
        <f>'[4]Por organismos'!X197</f>
        <v>347550.22000000003</v>
      </c>
      <c r="G194" s="464">
        <f>'[4]Por organismos'!AE197</f>
        <v>347550.22000000003</v>
      </c>
      <c r="H194" s="463">
        <f>+E194-F194</f>
        <v>520869.55529560096</v>
      </c>
      <c r="I194" s="460">
        <f>+F194/E194</f>
        <v>0.40020993289990153</v>
      </c>
    </row>
    <row r="195" spans="1:9" ht="45" x14ac:dyDescent="0.25">
      <c r="A195" s="485">
        <v>333</v>
      </c>
      <c r="B195" s="489" t="s">
        <v>567</v>
      </c>
      <c r="C195" s="463">
        <f>C196+C197</f>
        <v>1216167.0288552761</v>
      </c>
      <c r="D195" s="463">
        <f>D196+D197</f>
        <v>223740.79999999999</v>
      </c>
      <c r="E195" s="463">
        <f>+C195+D195</f>
        <v>1439907.8288552761</v>
      </c>
      <c r="F195" s="463">
        <f>F196+F197</f>
        <v>1069993.28</v>
      </c>
      <c r="G195" s="463">
        <f>G196+G197</f>
        <v>974989.28</v>
      </c>
      <c r="H195" s="463">
        <f>+E195-F195</f>
        <v>369914.54885527608</v>
      </c>
      <c r="I195" s="460">
        <f>+F195/E195</f>
        <v>0.74309845294100707</v>
      </c>
    </row>
    <row r="196" spans="1:9" x14ac:dyDescent="0.25">
      <c r="A196" s="482">
        <v>33301</v>
      </c>
      <c r="B196" s="481" t="s">
        <v>566</v>
      </c>
      <c r="C196" s="464">
        <f>'[4]Por organismos'!I199</f>
        <v>996167.02885527606</v>
      </c>
      <c r="D196" s="464">
        <f>'[4]Por organismos'!P199</f>
        <v>356740.8</v>
      </c>
      <c r="E196" s="463">
        <f>+C196+D196</f>
        <v>1352907.8288552761</v>
      </c>
      <c r="F196" s="464">
        <f>'[4]Por organismos'!X199</f>
        <v>982993.28</v>
      </c>
      <c r="G196" s="464">
        <f>'[4]Por organismos'!AE199</f>
        <v>887989.28</v>
      </c>
      <c r="H196" s="463">
        <f>+E196-F196</f>
        <v>369914.54885527608</v>
      </c>
      <c r="I196" s="460">
        <f>+F196/E196</f>
        <v>0.72657815930574621</v>
      </c>
    </row>
    <row r="197" spans="1:9" x14ac:dyDescent="0.25">
      <c r="A197" s="482">
        <v>33302</v>
      </c>
      <c r="B197" s="481" t="s">
        <v>565</v>
      </c>
      <c r="C197" s="464">
        <f>'[4]Por organismos'!I200</f>
        <v>220000</v>
      </c>
      <c r="D197" s="464">
        <f>'[4]Por organismos'!P200</f>
        <v>-133000</v>
      </c>
      <c r="E197" s="463">
        <f>+C197+D197</f>
        <v>87000</v>
      </c>
      <c r="F197" s="464">
        <f>'[4]Por organismos'!X200</f>
        <v>87000</v>
      </c>
      <c r="G197" s="464">
        <f>'[4]Por organismos'!AE200</f>
        <v>87000</v>
      </c>
      <c r="H197" s="463">
        <f>+E197-F197</f>
        <v>0</v>
      </c>
      <c r="I197" s="460">
        <f>+F197/E197</f>
        <v>1</v>
      </c>
    </row>
    <row r="198" spans="1:9" x14ac:dyDescent="0.25">
      <c r="A198" s="485">
        <v>334</v>
      </c>
      <c r="B198" s="489" t="s">
        <v>564</v>
      </c>
      <c r="C198" s="463">
        <f>C199</f>
        <v>273721.98072186206</v>
      </c>
      <c r="D198" s="463">
        <f>D199</f>
        <v>-230721.97999999998</v>
      </c>
      <c r="E198" s="463">
        <f>+C198+D198</f>
        <v>43000.000721862074</v>
      </c>
      <c r="F198" s="463">
        <f>F199</f>
        <v>41837.64</v>
      </c>
      <c r="G198" s="463">
        <f>G199</f>
        <v>41837.64</v>
      </c>
      <c r="H198" s="463">
        <f>+E198-F198</f>
        <v>1162.3607218620746</v>
      </c>
      <c r="I198" s="460">
        <f>+F198/E198</f>
        <v>0.97296835575932661</v>
      </c>
    </row>
    <row r="199" spans="1:9" x14ac:dyDescent="0.25">
      <c r="A199" s="482">
        <v>33401</v>
      </c>
      <c r="B199" s="481" t="s">
        <v>564</v>
      </c>
      <c r="C199" s="464">
        <f>'[4]Por organismos'!I202</f>
        <v>273721.98072186206</v>
      </c>
      <c r="D199" s="464">
        <f>'[4]Por organismos'!P202</f>
        <v>-230721.97999999998</v>
      </c>
      <c r="E199" s="463">
        <f>+C199+D199</f>
        <v>43000.000721862074</v>
      </c>
      <c r="F199" s="464">
        <f>'[4]Por organismos'!X202</f>
        <v>41837.64</v>
      </c>
      <c r="G199" s="464">
        <f>'[4]Por organismos'!AE202</f>
        <v>41837.64</v>
      </c>
      <c r="H199" s="463">
        <f>+E199-F199</f>
        <v>1162.3607218620746</v>
      </c>
      <c r="I199" s="460">
        <f>+F199/E199</f>
        <v>0.97296835575932661</v>
      </c>
    </row>
    <row r="200" spans="1:9" ht="33.75" x14ac:dyDescent="0.25">
      <c r="A200" s="485">
        <v>336</v>
      </c>
      <c r="B200" s="489" t="s">
        <v>563</v>
      </c>
      <c r="C200" s="463">
        <f>C201+C202+C203+C204</f>
        <v>1796806.347495879</v>
      </c>
      <c r="D200" s="463">
        <f>D201+D202+D203+D204</f>
        <v>-246846.56</v>
      </c>
      <c r="E200" s="463">
        <f>+C200+D200</f>
        <v>1549959.787495879</v>
      </c>
      <c r="F200" s="463">
        <f>F201+F202+F203+F204</f>
        <v>1039442.2900000003</v>
      </c>
      <c r="G200" s="463">
        <f>G201+G202+G203+G204</f>
        <v>948792.68000000017</v>
      </c>
      <c r="H200" s="463">
        <f>+E200-F200</f>
        <v>510517.49749587872</v>
      </c>
      <c r="I200" s="460">
        <f>+F200/E200</f>
        <v>0.67062532743467318</v>
      </c>
    </row>
    <row r="201" spans="1:9" x14ac:dyDescent="0.25">
      <c r="A201" s="482">
        <v>33601</v>
      </c>
      <c r="B201" s="481" t="s">
        <v>562</v>
      </c>
      <c r="C201" s="464">
        <f>'[4]Por organismos'!I204</f>
        <v>0</v>
      </c>
      <c r="D201" s="464">
        <f>'[4]Por organismos'!P204</f>
        <v>0</v>
      </c>
      <c r="E201" s="463">
        <f>+C201+D201</f>
        <v>0</v>
      </c>
      <c r="F201" s="464">
        <f>'[4]Por organismos'!X204</f>
        <v>0</v>
      </c>
      <c r="G201" s="464">
        <f>'[4]Por organismos'!AE204</f>
        <v>0</v>
      </c>
      <c r="H201" s="463">
        <f>+E201-F201</f>
        <v>0</v>
      </c>
      <c r="I201" s="460"/>
    </row>
    <row r="202" spans="1:9" x14ac:dyDescent="0.25">
      <c r="A202" s="482">
        <v>33603</v>
      </c>
      <c r="B202" s="481" t="s">
        <v>561</v>
      </c>
      <c r="C202" s="464">
        <f>'[4]Por organismos'!I205</f>
        <v>1356806.347495879</v>
      </c>
      <c r="D202" s="464">
        <f>'[4]Por organismos'!P205</f>
        <v>-82823.11</v>
      </c>
      <c r="E202" s="463">
        <f>+C202+D202</f>
        <v>1273983.2374958789</v>
      </c>
      <c r="F202" s="464">
        <f>'[4]Por organismos'!X205</f>
        <v>800350.43000000017</v>
      </c>
      <c r="G202" s="464">
        <f>'[4]Por organismos'!AE205</f>
        <v>709701.43000000017</v>
      </c>
      <c r="H202" s="463">
        <f>+E202-F202</f>
        <v>473632.80749587878</v>
      </c>
      <c r="I202" s="460">
        <f>+F202/E202</f>
        <v>0.62822681370059164</v>
      </c>
    </row>
    <row r="203" spans="1:9" x14ac:dyDescent="0.25">
      <c r="A203" s="482">
        <v>33605</v>
      </c>
      <c r="B203" s="481" t="s">
        <v>560</v>
      </c>
      <c r="C203" s="464">
        <f>'[4]Por organismos'!I206</f>
        <v>330000</v>
      </c>
      <c r="D203" s="464">
        <f>'[4]Por organismos'!P206</f>
        <v>-164023.45000000001</v>
      </c>
      <c r="E203" s="463">
        <f>+C203+D203</f>
        <v>165976.54999999999</v>
      </c>
      <c r="F203" s="464">
        <f>'[4]Por organismos'!X206</f>
        <v>165976.54999999999</v>
      </c>
      <c r="G203" s="464">
        <f>'[4]Por organismos'!AE206</f>
        <v>165975.95000000001</v>
      </c>
      <c r="H203" s="463">
        <f>+E203-F203</f>
        <v>0</v>
      </c>
      <c r="I203" s="460">
        <f>+F203/E203</f>
        <v>1</v>
      </c>
    </row>
    <row r="204" spans="1:9" ht="22.5" x14ac:dyDescent="0.25">
      <c r="A204" s="482">
        <v>33608</v>
      </c>
      <c r="B204" s="481" t="s">
        <v>559</v>
      </c>
      <c r="C204" s="464">
        <f>'[4]Por organismos'!I207</f>
        <v>110000</v>
      </c>
      <c r="D204" s="464">
        <f>'[4]Por organismos'!P207</f>
        <v>0</v>
      </c>
      <c r="E204" s="463">
        <f>+C204+D204</f>
        <v>110000</v>
      </c>
      <c r="F204" s="464">
        <f>'[4]Por organismos'!X207</f>
        <v>73115.31</v>
      </c>
      <c r="G204" s="464">
        <f>'[4]Por organismos'!AE207</f>
        <v>73115.3</v>
      </c>
      <c r="H204" s="463">
        <f>+E204-F204</f>
        <v>36884.69</v>
      </c>
      <c r="I204" s="460">
        <f>+F204/E204</f>
        <v>0.66468463636363639</v>
      </c>
    </row>
    <row r="205" spans="1:9" x14ac:dyDescent="0.25">
      <c r="A205" s="485">
        <v>338</v>
      </c>
      <c r="B205" s="489" t="s">
        <v>558</v>
      </c>
      <c r="C205" s="463">
        <f>C206</f>
        <v>1514741.6655064828</v>
      </c>
      <c r="D205" s="463">
        <f>D206</f>
        <v>-131449.82999999999</v>
      </c>
      <c r="E205" s="463">
        <f>+C205+D205</f>
        <v>1383291.8355064827</v>
      </c>
      <c r="F205" s="463">
        <f>F206</f>
        <v>402979.11</v>
      </c>
      <c r="G205" s="463">
        <f>G206</f>
        <v>330108.57999999996</v>
      </c>
      <c r="H205" s="463">
        <f>+E205-F205</f>
        <v>980312.72550648276</v>
      </c>
      <c r="I205" s="460">
        <f>+F205/E205</f>
        <v>0.29131893911052542</v>
      </c>
    </row>
    <row r="206" spans="1:9" x14ac:dyDescent="0.25">
      <c r="A206" s="482">
        <v>33801</v>
      </c>
      <c r="B206" s="481" t="s">
        <v>558</v>
      </c>
      <c r="C206" s="464">
        <f>'[4]Por organismos'!I209</f>
        <v>1514741.6655064828</v>
      </c>
      <c r="D206" s="464">
        <f>'[4]Por organismos'!P209</f>
        <v>-131449.82999999999</v>
      </c>
      <c r="E206" s="463">
        <f>+C206+D206</f>
        <v>1383291.8355064827</v>
      </c>
      <c r="F206" s="464">
        <f>'[4]Por organismos'!X209</f>
        <v>402979.11</v>
      </c>
      <c r="G206" s="464">
        <f>'[4]Por organismos'!AE209</f>
        <v>330108.57999999996</v>
      </c>
      <c r="H206" s="463">
        <f>+E206-F206</f>
        <v>980312.72550648276</v>
      </c>
      <c r="I206" s="460">
        <f>+F206/E206</f>
        <v>0.29131893911052542</v>
      </c>
    </row>
    <row r="207" spans="1:9" ht="22.5" x14ac:dyDescent="0.25">
      <c r="A207" s="485">
        <v>339</v>
      </c>
      <c r="B207" s="489" t="s">
        <v>557</v>
      </c>
      <c r="C207" s="463">
        <f>C208</f>
        <v>1475080</v>
      </c>
      <c r="D207" s="463">
        <f>D208</f>
        <v>-908055</v>
      </c>
      <c r="E207" s="463">
        <f>+C207+D207</f>
        <v>567025</v>
      </c>
      <c r="F207" s="463">
        <f>F208</f>
        <v>567024.4</v>
      </c>
      <c r="G207" s="463">
        <f>G208</f>
        <v>567024.4</v>
      </c>
      <c r="H207" s="463">
        <f>+E207-F207</f>
        <v>0.59999999997671694</v>
      </c>
      <c r="I207" s="460">
        <f>+F207/E207</f>
        <v>0.99999894184559768</v>
      </c>
    </row>
    <row r="208" spans="1:9" ht="22.5" x14ac:dyDescent="0.25">
      <c r="A208" s="482">
        <v>33901</v>
      </c>
      <c r="B208" s="481" t="s">
        <v>557</v>
      </c>
      <c r="C208" s="464">
        <f>'[4]Por organismos'!I211</f>
        <v>1475080</v>
      </c>
      <c r="D208" s="464">
        <f>'[4]Por organismos'!P211</f>
        <v>-908055</v>
      </c>
      <c r="E208" s="463">
        <f>+C208+D208</f>
        <v>567025</v>
      </c>
      <c r="F208" s="464">
        <f>'[4]Por organismos'!X211</f>
        <v>567024.4</v>
      </c>
      <c r="G208" s="464">
        <f>'[4]Por organismos'!AE211</f>
        <v>567024.4</v>
      </c>
      <c r="H208" s="463">
        <f>+E208-F208</f>
        <v>0.59999999997671694</v>
      </c>
      <c r="I208" s="460">
        <f>+F208/E208</f>
        <v>0.99999894184559768</v>
      </c>
    </row>
    <row r="209" spans="1:9" ht="33.75" customHeight="1" x14ac:dyDescent="0.25">
      <c r="A209" s="486">
        <v>3400</v>
      </c>
      <c r="B209" s="489" t="s">
        <v>556</v>
      </c>
      <c r="C209" s="463">
        <f>C210+C212+C214+C216</f>
        <v>19927345.69716461</v>
      </c>
      <c r="D209" s="463">
        <f>D210+D212+D214+D216</f>
        <v>-8617678.2699999996</v>
      </c>
      <c r="E209" s="463">
        <f>+C209+D209</f>
        <v>11309667.42716461</v>
      </c>
      <c r="F209" s="463">
        <f>F210+F212+F214+F216</f>
        <v>5995545.6099999994</v>
      </c>
      <c r="G209" s="463">
        <f>G210+G212+G214+G216</f>
        <v>4777118.96</v>
      </c>
      <c r="H209" s="463">
        <f>+E209-F209</f>
        <v>5314121.8171646111</v>
      </c>
      <c r="I209" s="460">
        <f>+F209/E209</f>
        <v>0.53012572196414376</v>
      </c>
    </row>
    <row r="210" spans="1:9" x14ac:dyDescent="0.25">
      <c r="A210" s="485">
        <v>341</v>
      </c>
      <c r="B210" s="489" t="s">
        <v>555</v>
      </c>
      <c r="C210" s="463">
        <f>C211</f>
        <v>532627.75791335572</v>
      </c>
      <c r="D210" s="463">
        <f>D211</f>
        <v>202575.47999999998</v>
      </c>
      <c r="E210" s="463">
        <f>+C210+D210</f>
        <v>735203.2379133557</v>
      </c>
      <c r="F210" s="463">
        <f>F211</f>
        <v>730721.79</v>
      </c>
      <c r="G210" s="463">
        <f>G211</f>
        <v>726187.41999999993</v>
      </c>
      <c r="H210" s="463">
        <f>+E210-F210</f>
        <v>4481.4479133556597</v>
      </c>
      <c r="I210" s="460">
        <f>+F210/E210</f>
        <v>0.99390447745296273</v>
      </c>
    </row>
    <row r="211" spans="1:9" x14ac:dyDescent="0.25">
      <c r="A211" s="482">
        <v>34101</v>
      </c>
      <c r="B211" s="481" t="s">
        <v>555</v>
      </c>
      <c r="C211" s="464">
        <f>'[4]Por organismos'!I214</f>
        <v>532627.75791335572</v>
      </c>
      <c r="D211" s="464">
        <f>'[4]Por organismos'!P214</f>
        <v>202575.47999999998</v>
      </c>
      <c r="E211" s="463">
        <f>+C211+D211</f>
        <v>735203.2379133557</v>
      </c>
      <c r="F211" s="464">
        <f>'[4]Por organismos'!X214</f>
        <v>730721.79</v>
      </c>
      <c r="G211" s="464">
        <f>'[4]Por organismos'!AE214</f>
        <v>726187.41999999993</v>
      </c>
      <c r="H211" s="463">
        <f>+E211-F211</f>
        <v>4481.4479133556597</v>
      </c>
      <c r="I211" s="460">
        <f>+F211/E211</f>
        <v>0.99390447745296273</v>
      </c>
    </row>
    <row r="212" spans="1:9" ht="22.5" x14ac:dyDescent="0.25">
      <c r="A212" s="485">
        <v>343</v>
      </c>
      <c r="B212" s="489" t="s">
        <v>554</v>
      </c>
      <c r="C212" s="463">
        <f>C213</f>
        <v>16156777.059225969</v>
      </c>
      <c r="D212" s="463">
        <f>D213</f>
        <v>-6980965.4199999999</v>
      </c>
      <c r="E212" s="463">
        <f>+C212+D212</f>
        <v>9175811.6392259691</v>
      </c>
      <c r="F212" s="463">
        <f>F213</f>
        <v>4708149.5299999993</v>
      </c>
      <c r="G212" s="463">
        <f>G213</f>
        <v>3494257.25</v>
      </c>
      <c r="H212" s="463">
        <f>+E212-F212</f>
        <v>4467662.1092259698</v>
      </c>
      <c r="I212" s="460">
        <f>+F212/E212</f>
        <v>0.51310442226963127</v>
      </c>
    </row>
    <row r="213" spans="1:9" ht="22.5" x14ac:dyDescent="0.25">
      <c r="A213" s="482">
        <v>34301</v>
      </c>
      <c r="B213" s="481" t="s">
        <v>554</v>
      </c>
      <c r="C213" s="464">
        <f>'[4]Por organismos'!I216</f>
        <v>16156777.059225969</v>
      </c>
      <c r="D213" s="464">
        <f>'[4]Por organismos'!P216</f>
        <v>-6980965.4199999999</v>
      </c>
      <c r="E213" s="463">
        <f>+C213+D213</f>
        <v>9175811.6392259691</v>
      </c>
      <c r="F213" s="464">
        <f>'[4]Por organismos'!X216</f>
        <v>4708149.5299999993</v>
      </c>
      <c r="G213" s="464">
        <f>'[4]Por organismos'!AE216</f>
        <v>3494257.25</v>
      </c>
      <c r="H213" s="463">
        <f>+E213-F213</f>
        <v>4467662.1092259698</v>
      </c>
      <c r="I213" s="460">
        <f>+F213/E213</f>
        <v>0.51310442226963127</v>
      </c>
    </row>
    <row r="214" spans="1:9" ht="32.25" customHeight="1" x14ac:dyDescent="0.25">
      <c r="A214" s="485">
        <v>344</v>
      </c>
      <c r="B214" s="489" t="s">
        <v>553</v>
      </c>
      <c r="C214" s="463">
        <f>C215</f>
        <v>3183103.0349420137</v>
      </c>
      <c r="D214" s="463">
        <f>D215</f>
        <v>-1830878.3299999998</v>
      </c>
      <c r="E214" s="463">
        <f>+C214+D214</f>
        <v>1352224.7049420138</v>
      </c>
      <c r="F214" s="463">
        <f>F215</f>
        <v>536616.69999999995</v>
      </c>
      <c r="G214" s="463">
        <f>G215</f>
        <v>536616.69999999995</v>
      </c>
      <c r="H214" s="463">
        <f>+E214-F214</f>
        <v>815608.00494201388</v>
      </c>
      <c r="I214" s="460">
        <f>+F214/E214</f>
        <v>0.39683988765980366</v>
      </c>
    </row>
    <row r="215" spans="1:9" ht="22.5" customHeight="1" x14ac:dyDescent="0.25">
      <c r="A215" s="482">
        <v>34401</v>
      </c>
      <c r="B215" s="481" t="s">
        <v>553</v>
      </c>
      <c r="C215" s="464">
        <f>'[4]Por organismos'!I218</f>
        <v>3183103.0349420137</v>
      </c>
      <c r="D215" s="464">
        <f>'[4]Por organismos'!P218</f>
        <v>-1830878.3299999998</v>
      </c>
      <c r="E215" s="463">
        <f>+C215+D215</f>
        <v>1352224.7049420138</v>
      </c>
      <c r="F215" s="464">
        <f>'[4]Por organismos'!X218</f>
        <v>536616.69999999995</v>
      </c>
      <c r="G215" s="464">
        <f>'[4]Por organismos'!AE218</f>
        <v>536616.69999999995</v>
      </c>
      <c r="H215" s="463">
        <f>+E215-F215</f>
        <v>815608.00494201388</v>
      </c>
      <c r="I215" s="460">
        <f>+F215/E215</f>
        <v>0.39683988765980366</v>
      </c>
    </row>
    <row r="216" spans="1:9" x14ac:dyDescent="0.25">
      <c r="A216" s="485">
        <v>347</v>
      </c>
      <c r="B216" s="489" t="s">
        <v>552</v>
      </c>
      <c r="C216" s="463">
        <f>C217</f>
        <v>54837.845083272652</v>
      </c>
      <c r="D216" s="463">
        <f>D217</f>
        <v>-8410</v>
      </c>
      <c r="E216" s="463">
        <f>+C216+D216</f>
        <v>46427.845083272652</v>
      </c>
      <c r="F216" s="463">
        <f>F217</f>
        <v>20057.59</v>
      </c>
      <c r="G216" s="463">
        <f>G217</f>
        <v>20057.59</v>
      </c>
      <c r="H216" s="463">
        <f>+E216-F216</f>
        <v>26370.255083272652</v>
      </c>
      <c r="I216" s="460">
        <f>+F216/E216</f>
        <v>0.43201638938927384</v>
      </c>
    </row>
    <row r="217" spans="1:9" x14ac:dyDescent="0.25">
      <c r="A217" s="482">
        <v>34701</v>
      </c>
      <c r="B217" s="481" t="s">
        <v>552</v>
      </c>
      <c r="C217" s="464">
        <f>'[4]Por organismos'!I220</f>
        <v>54837.845083272652</v>
      </c>
      <c r="D217" s="464">
        <f>'[4]Por organismos'!P220</f>
        <v>-8410</v>
      </c>
      <c r="E217" s="463">
        <f>+C217+D217</f>
        <v>46427.845083272652</v>
      </c>
      <c r="F217" s="464">
        <f>'[4]Por organismos'!X220</f>
        <v>20057.59</v>
      </c>
      <c r="G217" s="464">
        <f>'[4]Por organismos'!AE220</f>
        <v>20057.59</v>
      </c>
      <c r="H217" s="463">
        <f>+E217-F217</f>
        <v>26370.255083272652</v>
      </c>
      <c r="I217" s="460">
        <f>+F217/E217</f>
        <v>0.43201638938927384</v>
      </c>
    </row>
    <row r="218" spans="1:9" ht="22.5" x14ac:dyDescent="0.25">
      <c r="A218" s="486">
        <v>3500</v>
      </c>
      <c r="B218" s="489" t="s">
        <v>551</v>
      </c>
      <c r="C218" s="463">
        <f>C219+C221+C223+C226+C228+C231+C233</f>
        <v>9094613.4361911993</v>
      </c>
      <c r="D218" s="463">
        <f>D219+D221+D223+D226+D228+D231+D233</f>
        <v>2665215.29</v>
      </c>
      <c r="E218" s="463">
        <f>+C218+D218</f>
        <v>11759828.7261912</v>
      </c>
      <c r="F218" s="463">
        <f>F219+F221+F223+F226+F228+F231+F233</f>
        <v>10411725.640000001</v>
      </c>
      <c r="G218" s="463">
        <f>G219+G221+G223+G226+G228+G231+G233</f>
        <v>8987824.3499999996</v>
      </c>
      <c r="H218" s="463">
        <f>+E218-F218</f>
        <v>1348103.0861911997</v>
      </c>
      <c r="I218" s="460">
        <f>+F218/E218</f>
        <v>0.88536371425301985</v>
      </c>
    </row>
    <row r="219" spans="1:9" ht="24.75" customHeight="1" x14ac:dyDescent="0.25">
      <c r="A219" s="485">
        <v>351</v>
      </c>
      <c r="B219" s="489" t="s">
        <v>550</v>
      </c>
      <c r="C219" s="463">
        <f>C220</f>
        <v>625605.89482619159</v>
      </c>
      <c r="D219" s="463">
        <f>D220</f>
        <v>2038916.9999999998</v>
      </c>
      <c r="E219" s="463">
        <f>+C219+D219</f>
        <v>2664522.8948261915</v>
      </c>
      <c r="F219" s="463">
        <f>F220</f>
        <v>2230851.75</v>
      </c>
      <c r="G219" s="463">
        <f>G220</f>
        <v>2230388.58</v>
      </c>
      <c r="H219" s="463">
        <f>+E219-F219</f>
        <v>433671.14482619148</v>
      </c>
      <c r="I219" s="460">
        <f>+F219/E219</f>
        <v>0.83724247756764725</v>
      </c>
    </row>
    <row r="220" spans="1:9" ht="24.75" customHeight="1" x14ac:dyDescent="0.25">
      <c r="A220" s="482">
        <v>35101</v>
      </c>
      <c r="B220" s="481" t="s">
        <v>550</v>
      </c>
      <c r="C220" s="464">
        <f>'[4]Por organismos'!I223</f>
        <v>625605.89482619159</v>
      </c>
      <c r="D220" s="464">
        <f>'[4]Por organismos'!P223</f>
        <v>2038916.9999999998</v>
      </c>
      <c r="E220" s="463">
        <f>+C220+D220</f>
        <v>2664522.8948261915</v>
      </c>
      <c r="F220" s="464">
        <f>'[4]Por organismos'!X223</f>
        <v>2230851.75</v>
      </c>
      <c r="G220" s="464">
        <f>'[4]Por organismos'!AE223</f>
        <v>2230388.58</v>
      </c>
      <c r="H220" s="463">
        <f>+E220-F220</f>
        <v>433671.14482619148</v>
      </c>
      <c r="I220" s="460">
        <f>+F220/E220</f>
        <v>0.83724247756764725</v>
      </c>
    </row>
    <row r="221" spans="1:9" ht="45" x14ac:dyDescent="0.25">
      <c r="A221" s="485">
        <v>352</v>
      </c>
      <c r="B221" s="489" t="s">
        <v>549</v>
      </c>
      <c r="C221" s="463">
        <f>C222</f>
        <v>227268.72168248426</v>
      </c>
      <c r="D221" s="463">
        <f>D222</f>
        <v>253932.63</v>
      </c>
      <c r="E221" s="463">
        <f>+C221+D221</f>
        <v>481201.35168248427</v>
      </c>
      <c r="F221" s="463">
        <f>F222</f>
        <v>464363.54</v>
      </c>
      <c r="G221" s="463">
        <f>G222</f>
        <v>454963.52999999997</v>
      </c>
      <c r="H221" s="463">
        <f>+E221-F221</f>
        <v>16837.811682484287</v>
      </c>
      <c r="I221" s="460">
        <f>+F221/E221</f>
        <v>0.96500880219140672</v>
      </c>
    </row>
    <row r="222" spans="1:9" ht="22.5" x14ac:dyDescent="0.25">
      <c r="A222" s="482">
        <v>35201</v>
      </c>
      <c r="B222" s="481" t="s">
        <v>548</v>
      </c>
      <c r="C222" s="464">
        <f>'[4]Por organismos'!I225</f>
        <v>227268.72168248426</v>
      </c>
      <c r="D222" s="464">
        <f>'[4]Por organismos'!P225</f>
        <v>253932.63</v>
      </c>
      <c r="E222" s="463">
        <f>+C222+D222</f>
        <v>481201.35168248427</v>
      </c>
      <c r="F222" s="464">
        <f>'[4]Por organismos'!X225</f>
        <v>464363.54</v>
      </c>
      <c r="G222" s="464">
        <f>'[4]Por organismos'!AE225</f>
        <v>454963.52999999997</v>
      </c>
      <c r="H222" s="463">
        <f>+E222-F222</f>
        <v>16837.811682484287</v>
      </c>
      <c r="I222" s="460">
        <f>+F222/E222</f>
        <v>0.96500880219140672</v>
      </c>
    </row>
    <row r="223" spans="1:9" ht="45" x14ac:dyDescent="0.25">
      <c r="A223" s="485">
        <v>353</v>
      </c>
      <c r="B223" s="489" t="s">
        <v>547</v>
      </c>
      <c r="C223" s="463">
        <f>C224+C225</f>
        <v>26892.473712043469</v>
      </c>
      <c r="D223" s="463">
        <f>D224+D225</f>
        <v>-12320</v>
      </c>
      <c r="E223" s="463">
        <f>+C223+D223</f>
        <v>14572.473712043469</v>
      </c>
      <c r="F223" s="463">
        <f>F224+F225</f>
        <v>5575.98</v>
      </c>
      <c r="G223" s="463">
        <f>G224+G225</f>
        <v>4575.9799999999996</v>
      </c>
      <c r="H223" s="463">
        <f>+E223-F223</f>
        <v>8996.4937120434697</v>
      </c>
      <c r="I223" s="460">
        <f>+F223/E223</f>
        <v>0.38263784928921935</v>
      </c>
    </row>
    <row r="224" spans="1:9" x14ac:dyDescent="0.25">
      <c r="A224" s="482">
        <v>35301</v>
      </c>
      <c r="B224" s="481" t="s">
        <v>546</v>
      </c>
      <c r="C224" s="464">
        <f>'[4]Por organismos'!I227</f>
        <v>0</v>
      </c>
      <c r="D224" s="464">
        <f>'[4]Por organismos'!P227</f>
        <v>0</v>
      </c>
      <c r="E224" s="463">
        <f>+C224+D224</f>
        <v>0</v>
      </c>
      <c r="F224" s="464">
        <f>'[4]Por organismos'!X227</f>
        <v>0</v>
      </c>
      <c r="G224" s="464">
        <f>'[4]Por organismos'!AE227</f>
        <v>0</v>
      </c>
      <c r="H224" s="463">
        <f>+E224-F224</f>
        <v>0</v>
      </c>
      <c r="I224" s="460"/>
    </row>
    <row r="225" spans="1:9" ht="22.5" x14ac:dyDescent="0.25">
      <c r="A225" s="482">
        <v>35302</v>
      </c>
      <c r="B225" s="481" t="s">
        <v>545</v>
      </c>
      <c r="C225" s="464">
        <f>'[4]Por organismos'!I228</f>
        <v>26892.473712043469</v>
      </c>
      <c r="D225" s="464">
        <f>'[4]Por organismos'!P228</f>
        <v>-12320</v>
      </c>
      <c r="E225" s="463">
        <f>+C225+D225</f>
        <v>14572.473712043469</v>
      </c>
      <c r="F225" s="464">
        <f>'[4]Por organismos'!X228</f>
        <v>5575.98</v>
      </c>
      <c r="G225" s="464">
        <f>'[4]Por organismos'!AE228</f>
        <v>4575.9799999999996</v>
      </c>
      <c r="H225" s="463">
        <f>+E225-F225</f>
        <v>8996.4937120434697</v>
      </c>
      <c r="I225" s="460">
        <f>+F225/E225</f>
        <v>0.38263784928921935</v>
      </c>
    </row>
    <row r="226" spans="1:9" ht="22.5" x14ac:dyDescent="0.25">
      <c r="A226" s="485">
        <v>355</v>
      </c>
      <c r="B226" s="489" t="s">
        <v>544</v>
      </c>
      <c r="C226" s="463">
        <f>C227</f>
        <v>1945721.3565302466</v>
      </c>
      <c r="D226" s="463">
        <f>D227</f>
        <v>-364837.32</v>
      </c>
      <c r="E226" s="463">
        <f>+C226+D226</f>
        <v>1580884.0365302465</v>
      </c>
      <c r="F226" s="463">
        <f>F227</f>
        <v>1013106.47</v>
      </c>
      <c r="G226" s="463">
        <f>G227</f>
        <v>922254.90000000014</v>
      </c>
      <c r="H226" s="463">
        <f>+E226-F226</f>
        <v>567777.56653024652</v>
      </c>
      <c r="I226" s="460">
        <f>+F226/E226</f>
        <v>0.64084806133129457</v>
      </c>
    </row>
    <row r="227" spans="1:9" ht="22.5" x14ac:dyDescent="0.25">
      <c r="A227" s="482">
        <v>35501</v>
      </c>
      <c r="B227" s="481" t="s">
        <v>544</v>
      </c>
      <c r="C227" s="464">
        <f>'[4]Por organismos'!I230</f>
        <v>1945721.3565302466</v>
      </c>
      <c r="D227" s="464">
        <f>'[4]Por organismos'!P230</f>
        <v>-364837.32</v>
      </c>
      <c r="E227" s="463">
        <f>+C227+D227</f>
        <v>1580884.0365302465</v>
      </c>
      <c r="F227" s="464">
        <f>'[4]Por organismos'!X230</f>
        <v>1013106.47</v>
      </c>
      <c r="G227" s="464">
        <f>'[4]Por organismos'!AE230</f>
        <v>922254.90000000014</v>
      </c>
      <c r="H227" s="463">
        <f>+E227-F227</f>
        <v>567777.56653024652</v>
      </c>
      <c r="I227" s="460">
        <f>+F227/E227</f>
        <v>0.64084806133129457</v>
      </c>
    </row>
    <row r="228" spans="1:9" ht="47.25" customHeight="1" x14ac:dyDescent="0.25">
      <c r="A228" s="485">
        <v>357</v>
      </c>
      <c r="B228" s="489" t="s">
        <v>543</v>
      </c>
      <c r="C228" s="463">
        <f>C229+C230</f>
        <v>5777889.2501959652</v>
      </c>
      <c r="D228" s="463">
        <f>D229+D230</f>
        <v>828821.60000000033</v>
      </c>
      <c r="E228" s="463">
        <f>+C228+D228</f>
        <v>6606710.8501959657</v>
      </c>
      <c r="F228" s="463">
        <f>F229+F230</f>
        <v>6333380.3600000003</v>
      </c>
      <c r="G228" s="463">
        <f>G229+G230</f>
        <v>5030993.82</v>
      </c>
      <c r="H228" s="463">
        <f>+E228-F228</f>
        <v>273330.49019596539</v>
      </c>
      <c r="I228" s="460">
        <f>+F228/E228</f>
        <v>0.95862835586517947</v>
      </c>
    </row>
    <row r="229" spans="1:9" ht="22.5" x14ac:dyDescent="0.25">
      <c r="A229" s="482">
        <v>35701</v>
      </c>
      <c r="B229" s="481" t="s">
        <v>542</v>
      </c>
      <c r="C229" s="464">
        <f>'[4]Por organismos'!I232</f>
        <v>5777889.2501959652</v>
      </c>
      <c r="D229" s="464">
        <f>'[4]Por organismos'!P232</f>
        <v>828821.60000000033</v>
      </c>
      <c r="E229" s="463">
        <f>+C229+D229</f>
        <v>6606710.8501959657</v>
      </c>
      <c r="F229" s="464">
        <f>'[4]Por organismos'!X232</f>
        <v>6333380.3600000003</v>
      </c>
      <c r="G229" s="464">
        <f>'[4]Por organismos'!AE232</f>
        <v>5030993.82</v>
      </c>
      <c r="H229" s="463">
        <f>+E229-F229</f>
        <v>273330.49019596539</v>
      </c>
      <c r="I229" s="460">
        <f>+F229/E229</f>
        <v>0.95862835586517947</v>
      </c>
    </row>
    <row r="230" spans="1:9" ht="33.75" x14ac:dyDescent="0.25">
      <c r="A230" s="482">
        <v>35702</v>
      </c>
      <c r="B230" s="481" t="s">
        <v>541</v>
      </c>
      <c r="C230" s="464">
        <f>'[4]Por organismos'!I233</f>
        <v>0</v>
      </c>
      <c r="D230" s="464">
        <f>'[4]Por organismos'!P233</f>
        <v>0</v>
      </c>
      <c r="E230" s="463">
        <f>+C230+D230</f>
        <v>0</v>
      </c>
      <c r="F230" s="464">
        <f>'[4]Por organismos'!X233</f>
        <v>0</v>
      </c>
      <c r="G230" s="464">
        <f>'[4]Por organismos'!AE233</f>
        <v>0</v>
      </c>
      <c r="H230" s="463">
        <f>+E230-F230</f>
        <v>0</v>
      </c>
      <c r="I230" s="460"/>
    </row>
    <row r="231" spans="1:9" ht="24.75" customHeight="1" x14ac:dyDescent="0.25">
      <c r="A231" s="485">
        <v>358</v>
      </c>
      <c r="B231" s="489" t="s">
        <v>540</v>
      </c>
      <c r="C231" s="463">
        <f>C232</f>
        <v>298701.15631097928</v>
      </c>
      <c r="D231" s="463">
        <f>D232</f>
        <v>-28168.89</v>
      </c>
      <c r="E231" s="463">
        <f>+C231+D231</f>
        <v>270532.26631097926</v>
      </c>
      <c r="F231" s="463">
        <f>F232</f>
        <v>270473.36</v>
      </c>
      <c r="G231" s="463">
        <f>G232</f>
        <v>250673.36000000002</v>
      </c>
      <c r="H231" s="463">
        <f>+E231-F231</f>
        <v>58.906310979276896</v>
      </c>
      <c r="I231" s="460">
        <f>+F231/E231</f>
        <v>0.99978225772554774</v>
      </c>
    </row>
    <row r="232" spans="1:9" x14ac:dyDescent="0.25">
      <c r="A232" s="482">
        <v>35801</v>
      </c>
      <c r="B232" s="481" t="s">
        <v>540</v>
      </c>
      <c r="C232" s="464">
        <f>'[4]Por organismos'!I235</f>
        <v>298701.15631097928</v>
      </c>
      <c r="D232" s="464">
        <f>'[4]Por organismos'!P235</f>
        <v>-28168.89</v>
      </c>
      <c r="E232" s="463">
        <f>+C232+D232</f>
        <v>270532.26631097926</v>
      </c>
      <c r="F232" s="464">
        <f>'[4]Por organismos'!X235</f>
        <v>270473.36</v>
      </c>
      <c r="G232" s="464">
        <f>'[4]Por organismos'!AE235</f>
        <v>250673.36000000002</v>
      </c>
      <c r="H232" s="475">
        <f>+E232-F232</f>
        <v>58.906310979276896</v>
      </c>
      <c r="I232" s="460">
        <f>+F232/E232</f>
        <v>0.99978225772554774</v>
      </c>
    </row>
    <row r="233" spans="1:9" x14ac:dyDescent="0.25">
      <c r="A233" s="485">
        <v>359</v>
      </c>
      <c r="B233" s="489" t="s">
        <v>539</v>
      </c>
      <c r="C233" s="463">
        <f>C234</f>
        <v>192534.58293328926</v>
      </c>
      <c r="D233" s="463">
        <f>D234</f>
        <v>-51129.729999999996</v>
      </c>
      <c r="E233" s="463">
        <f>+C233+D233</f>
        <v>141404.85293328925</v>
      </c>
      <c r="F233" s="463">
        <f>F234</f>
        <v>93974.180000000008</v>
      </c>
      <c r="G233" s="463">
        <f>G234</f>
        <v>93974.180000000008</v>
      </c>
      <c r="H233" s="463">
        <f>+E233-F233</f>
        <v>47430.672933289243</v>
      </c>
      <c r="I233" s="460">
        <f>+F233/E233</f>
        <v>0.66457535261773748</v>
      </c>
    </row>
    <row r="234" spans="1:9" x14ac:dyDescent="0.25">
      <c r="A234" s="482">
        <v>35901</v>
      </c>
      <c r="B234" s="481" t="s">
        <v>539</v>
      </c>
      <c r="C234" s="464">
        <f>'[4]Por organismos'!I237</f>
        <v>192534.58293328926</v>
      </c>
      <c r="D234" s="464">
        <f>'[4]Por organismos'!P237</f>
        <v>-51129.729999999996</v>
      </c>
      <c r="E234" s="463">
        <f>+C234+D234</f>
        <v>141404.85293328925</v>
      </c>
      <c r="F234" s="464">
        <f>'[4]Por organismos'!X237</f>
        <v>93974.180000000008</v>
      </c>
      <c r="G234" s="464">
        <f>'[4]Por organismos'!AE237</f>
        <v>93974.180000000008</v>
      </c>
      <c r="H234" s="463">
        <f>+E234-F234</f>
        <v>47430.672933289243</v>
      </c>
      <c r="I234" s="460">
        <f>+F234/E234</f>
        <v>0.66457535261773748</v>
      </c>
    </row>
    <row r="235" spans="1:9" ht="22.5" x14ac:dyDescent="0.25">
      <c r="A235" s="486">
        <v>3600</v>
      </c>
      <c r="B235" s="489" t="s">
        <v>538</v>
      </c>
      <c r="C235" s="463">
        <f>C236+C238+C240+C242</f>
        <v>1571081.2150268822</v>
      </c>
      <c r="D235" s="463">
        <f>D236+D238+D240+D242</f>
        <v>-232249.85</v>
      </c>
      <c r="E235" s="463">
        <f>+C235+D235</f>
        <v>1338831.3650268822</v>
      </c>
      <c r="F235" s="463">
        <f>F236+F238+F240+F242</f>
        <v>925224.3</v>
      </c>
      <c r="G235" s="463">
        <f>G236+G238+G240+G242</f>
        <v>295515.3</v>
      </c>
      <c r="H235" s="463">
        <f>+E235-F235</f>
        <v>413607.0650268821</v>
      </c>
      <c r="I235" s="460">
        <f>+F235/E235</f>
        <v>0.69106858725364761</v>
      </c>
    </row>
    <row r="236" spans="1:9" ht="45" x14ac:dyDescent="0.25">
      <c r="A236" s="485">
        <v>361</v>
      </c>
      <c r="B236" s="489" t="s">
        <v>537</v>
      </c>
      <c r="C236" s="463">
        <f>C237</f>
        <v>1300762.7760579486</v>
      </c>
      <c r="D236" s="463">
        <f>D237</f>
        <v>-48667.59</v>
      </c>
      <c r="E236" s="463">
        <f>+C236+D236</f>
        <v>1252095.1860579485</v>
      </c>
      <c r="F236" s="463">
        <f>F237</f>
        <v>923075.3</v>
      </c>
      <c r="G236" s="463">
        <f>G237</f>
        <v>295515.3</v>
      </c>
      <c r="H236" s="463">
        <f>+E236-F236</f>
        <v>329019.88605794846</v>
      </c>
      <c r="I236" s="460">
        <f>+F236/E236</f>
        <v>0.73722454193452913</v>
      </c>
    </row>
    <row r="237" spans="1:9" ht="45" x14ac:dyDescent="0.25">
      <c r="A237" s="482">
        <v>36101</v>
      </c>
      <c r="B237" s="481" t="s">
        <v>537</v>
      </c>
      <c r="C237" s="464">
        <f>'[4]Por organismos'!I240</f>
        <v>1300762.7760579486</v>
      </c>
      <c r="D237" s="464">
        <f>'[4]Por organismos'!P240</f>
        <v>-48667.59</v>
      </c>
      <c r="E237" s="463">
        <f>+C237+D237</f>
        <v>1252095.1860579485</v>
      </c>
      <c r="F237" s="464">
        <f>'[4]Por organismos'!X240</f>
        <v>923075.3</v>
      </c>
      <c r="G237" s="464">
        <f>'[4]Por organismos'!AE240</f>
        <v>295515.3</v>
      </c>
      <c r="H237" s="463">
        <f>+E237-F237</f>
        <v>329019.88605794846</v>
      </c>
      <c r="I237" s="460">
        <f>+F237/E237</f>
        <v>0.73722454193452913</v>
      </c>
    </row>
    <row r="238" spans="1:9" x14ac:dyDescent="0.25">
      <c r="A238" s="485">
        <v>364</v>
      </c>
      <c r="B238" s="489" t="s">
        <v>536</v>
      </c>
      <c r="C238" s="463">
        <f>C239</f>
        <v>447.76522196754536</v>
      </c>
      <c r="D238" s="463">
        <f>D239</f>
        <v>0</v>
      </c>
      <c r="E238" s="463">
        <f>+C238+D238</f>
        <v>447.76522196754536</v>
      </c>
      <c r="F238" s="463">
        <f>F239</f>
        <v>0</v>
      </c>
      <c r="G238" s="463">
        <f>G239</f>
        <v>0</v>
      </c>
      <c r="H238" s="463">
        <f>+E238-F238</f>
        <v>447.76522196754536</v>
      </c>
      <c r="I238" s="460">
        <f>+F238/E238</f>
        <v>0</v>
      </c>
    </row>
    <row r="239" spans="1:9" x14ac:dyDescent="0.25">
      <c r="A239" s="482">
        <v>36401</v>
      </c>
      <c r="B239" s="481" t="s">
        <v>536</v>
      </c>
      <c r="C239" s="464">
        <f>'[4]Por organismos'!I242</f>
        <v>447.76522196754536</v>
      </c>
      <c r="D239" s="464">
        <f>'[4]Por organismos'!P242</f>
        <v>0</v>
      </c>
      <c r="E239" s="463">
        <f>+C239+D239</f>
        <v>447.76522196754536</v>
      </c>
      <c r="F239" s="464">
        <f>'[4]Por organismos'!X242</f>
        <v>0</v>
      </c>
      <c r="G239" s="464">
        <f>'[4]Por organismos'!AE242</f>
        <v>0</v>
      </c>
      <c r="H239" s="463">
        <f>+E239-F239</f>
        <v>447.76522196754536</v>
      </c>
      <c r="I239" s="460">
        <f>+F239/E239</f>
        <v>0</v>
      </c>
    </row>
    <row r="240" spans="1:9" ht="25.5" customHeight="1" x14ac:dyDescent="0.25">
      <c r="A240" s="485">
        <v>365</v>
      </c>
      <c r="B240" s="489" t="s">
        <v>535</v>
      </c>
      <c r="C240" s="463">
        <f>C241</f>
        <v>83092</v>
      </c>
      <c r="D240" s="463">
        <f>D241</f>
        <v>0</v>
      </c>
      <c r="E240" s="463">
        <f>+C240+D240</f>
        <v>83092</v>
      </c>
      <c r="F240" s="463">
        <f>F241</f>
        <v>0</v>
      </c>
      <c r="G240" s="463">
        <f>G241</f>
        <v>0</v>
      </c>
      <c r="H240" s="463">
        <f>+E240-F240</f>
        <v>83092</v>
      </c>
      <c r="I240" s="460">
        <f>+F240/E240</f>
        <v>0</v>
      </c>
    </row>
    <row r="241" spans="1:9" ht="22.5" x14ac:dyDescent="0.25">
      <c r="A241" s="482">
        <v>36501</v>
      </c>
      <c r="B241" s="481" t="s">
        <v>535</v>
      </c>
      <c r="C241" s="464">
        <f>'[4]Por organismos'!I244</f>
        <v>83092</v>
      </c>
      <c r="D241" s="464">
        <f>'[4]Por organismos'!P244</f>
        <v>0</v>
      </c>
      <c r="E241" s="463">
        <f>+C241+D241</f>
        <v>83092</v>
      </c>
      <c r="F241" s="464">
        <f>'[4]Por organismos'!X244</f>
        <v>0</v>
      </c>
      <c r="G241" s="464">
        <f>'[4]Por organismos'!AE244</f>
        <v>0</v>
      </c>
      <c r="H241" s="463">
        <f>+E241-F241</f>
        <v>83092</v>
      </c>
      <c r="I241" s="460">
        <f>+F241/E241</f>
        <v>0</v>
      </c>
    </row>
    <row r="242" spans="1:9" x14ac:dyDescent="0.25">
      <c r="A242" s="485">
        <v>369</v>
      </c>
      <c r="B242" s="489" t="s">
        <v>534</v>
      </c>
      <c r="C242" s="463">
        <f>C243</f>
        <v>186778.67374696615</v>
      </c>
      <c r="D242" s="463">
        <f>D243</f>
        <v>-183582.26</v>
      </c>
      <c r="E242" s="463">
        <f>+C242+D242</f>
        <v>3196.4137469661364</v>
      </c>
      <c r="F242" s="463">
        <f>F243</f>
        <v>2149</v>
      </c>
      <c r="G242" s="463">
        <f>G243</f>
        <v>0</v>
      </c>
      <c r="H242" s="463">
        <f>+E242-F242</f>
        <v>1047.4137469661364</v>
      </c>
      <c r="I242" s="460">
        <f>+F242/E242</f>
        <v>0.67231596724288745</v>
      </c>
    </row>
    <row r="243" spans="1:9" x14ac:dyDescent="0.25">
      <c r="A243" s="482">
        <v>36901</v>
      </c>
      <c r="B243" s="481" t="s">
        <v>534</v>
      </c>
      <c r="C243" s="464">
        <f>'[4]Por organismos'!I246</f>
        <v>186778.67374696615</v>
      </c>
      <c r="D243" s="464">
        <f>'[4]Por organismos'!P246</f>
        <v>-183582.26</v>
      </c>
      <c r="E243" s="463">
        <f>+C243+D243</f>
        <v>3196.4137469661364</v>
      </c>
      <c r="F243" s="464">
        <f>'[4]Por organismos'!X246</f>
        <v>2149</v>
      </c>
      <c r="G243" s="464">
        <f>'[4]Por organismos'!AE246</f>
        <v>0</v>
      </c>
      <c r="H243" s="463">
        <f>+E243-F243</f>
        <v>1047.4137469661364</v>
      </c>
      <c r="I243" s="460">
        <f>+F243/E243</f>
        <v>0.67231596724288745</v>
      </c>
    </row>
    <row r="244" spans="1:9" x14ac:dyDescent="0.25">
      <c r="A244" s="486">
        <v>3700</v>
      </c>
      <c r="B244" s="489" t="s">
        <v>533</v>
      </c>
      <c r="C244" s="463">
        <f>C245+C248+C250+C253+C255+C257</f>
        <v>3284689.3688056255</v>
      </c>
      <c r="D244" s="463">
        <f>D245+D248+D250+D253+D255+D257</f>
        <v>-960031.94</v>
      </c>
      <c r="E244" s="463">
        <f>+C244+D244</f>
        <v>2324657.4288056255</v>
      </c>
      <c r="F244" s="463">
        <f>F245+F248+F250+F253+F255+F257</f>
        <v>2069000.7400000002</v>
      </c>
      <c r="G244" s="463">
        <f>G245+G248+G250+G253+G255+G257</f>
        <v>2068850.7400000002</v>
      </c>
      <c r="H244" s="463">
        <f>+E244-F244</f>
        <v>255656.68880562531</v>
      </c>
      <c r="I244" s="460">
        <f>+F244/E244</f>
        <v>0.89002392970349276</v>
      </c>
    </row>
    <row r="245" spans="1:9" x14ac:dyDescent="0.25">
      <c r="A245" s="485">
        <v>371</v>
      </c>
      <c r="B245" s="489" t="s">
        <v>532</v>
      </c>
      <c r="C245" s="463">
        <f>C246+C247</f>
        <v>737688.4952638715</v>
      </c>
      <c r="D245" s="463">
        <f>D246+D247</f>
        <v>-565870</v>
      </c>
      <c r="E245" s="463">
        <f>+C245+D245</f>
        <v>171818.4952638715</v>
      </c>
      <c r="F245" s="463">
        <f>F246+F247</f>
        <v>104553.99</v>
      </c>
      <c r="G245" s="463">
        <f>G246+G247</f>
        <v>104553.99</v>
      </c>
      <c r="H245" s="463">
        <f>+E245-F245</f>
        <v>67264.505263871499</v>
      </c>
      <c r="I245" s="460">
        <f>+F245/E245</f>
        <v>0.60851417560973542</v>
      </c>
    </row>
    <row r="246" spans="1:9" x14ac:dyDescent="0.25">
      <c r="A246" s="482">
        <v>37101</v>
      </c>
      <c r="B246" s="481" t="s">
        <v>532</v>
      </c>
      <c r="C246" s="464">
        <f>'[4]Por organismos'!I249</f>
        <v>737688.4952638715</v>
      </c>
      <c r="D246" s="464">
        <f>'[4]Por organismos'!P249</f>
        <v>-565870</v>
      </c>
      <c r="E246" s="463">
        <f>+C246+D246</f>
        <v>171818.4952638715</v>
      </c>
      <c r="F246" s="464">
        <f>'[4]Por organismos'!X249</f>
        <v>104553.99</v>
      </c>
      <c r="G246" s="464">
        <f>'[4]Por organismos'!AE249</f>
        <v>104553.99</v>
      </c>
      <c r="H246" s="463">
        <f>+E246-F246</f>
        <v>67264.505263871499</v>
      </c>
      <c r="I246" s="460">
        <f>+F246/E246</f>
        <v>0.60851417560973542</v>
      </c>
    </row>
    <row r="247" spans="1:9" ht="33.75" x14ac:dyDescent="0.25">
      <c r="A247" s="482">
        <v>37104</v>
      </c>
      <c r="B247" s="481" t="s">
        <v>531</v>
      </c>
      <c r="C247" s="464">
        <f>'[4]Por organismos'!I250</f>
        <v>0</v>
      </c>
      <c r="D247" s="464">
        <f>'[4]Por organismos'!P250</f>
        <v>0</v>
      </c>
      <c r="E247" s="463">
        <f>+C247+D247</f>
        <v>0</v>
      </c>
      <c r="F247" s="464">
        <f>'[4]Por organismos'!X250</f>
        <v>0</v>
      </c>
      <c r="G247" s="464">
        <f>'[4]Por organismos'!AE250</f>
        <v>0</v>
      </c>
      <c r="H247" s="463">
        <f>+E247-F247</f>
        <v>0</v>
      </c>
      <c r="I247" s="460"/>
    </row>
    <row r="248" spans="1:9" x14ac:dyDescent="0.25">
      <c r="A248" s="485">
        <v>372</v>
      </c>
      <c r="B248" s="489" t="s">
        <v>530</v>
      </c>
      <c r="C248" s="463">
        <f>C249</f>
        <v>82500</v>
      </c>
      <c r="D248" s="463">
        <f>D249</f>
        <v>-1162</v>
      </c>
      <c r="E248" s="463">
        <f>+C248+D248</f>
        <v>81338</v>
      </c>
      <c r="F248" s="463">
        <f>F249</f>
        <v>25024.880000000001</v>
      </c>
      <c r="G248" s="463">
        <f>G249</f>
        <v>25024.880000000001</v>
      </c>
      <c r="H248" s="463">
        <f>+E248-F248</f>
        <v>56313.119999999995</v>
      </c>
      <c r="I248" s="460">
        <f>+F248/E248</f>
        <v>0.30766529789274388</v>
      </c>
    </row>
    <row r="249" spans="1:9" x14ac:dyDescent="0.25">
      <c r="A249" s="482">
        <v>37201</v>
      </c>
      <c r="B249" s="481" t="s">
        <v>530</v>
      </c>
      <c r="C249" s="464">
        <f>'[4]Por organismos'!I252</f>
        <v>82500</v>
      </c>
      <c r="D249" s="464">
        <f>'[4]Por organismos'!P252</f>
        <v>-1162</v>
      </c>
      <c r="E249" s="463">
        <f>+C249+D249</f>
        <v>81338</v>
      </c>
      <c r="F249" s="464">
        <f>'[4]Por organismos'!X252</f>
        <v>25024.880000000001</v>
      </c>
      <c r="G249" s="464">
        <f>'[4]Por organismos'!AE252</f>
        <v>25024.880000000001</v>
      </c>
      <c r="H249" s="463">
        <f>+E249-F249</f>
        <v>56313.119999999995</v>
      </c>
      <c r="I249" s="460">
        <f>+F249/E249</f>
        <v>0.30766529789274388</v>
      </c>
    </row>
    <row r="250" spans="1:9" x14ac:dyDescent="0.25">
      <c r="A250" s="485">
        <v>375</v>
      </c>
      <c r="B250" s="489" t="s">
        <v>529</v>
      </c>
      <c r="C250" s="463">
        <f>C251+C252</f>
        <v>2249000.8735417542</v>
      </c>
      <c r="D250" s="463">
        <f>D251+D252</f>
        <v>-222999.94</v>
      </c>
      <c r="E250" s="463">
        <f>+C250+D250</f>
        <v>2026000.9335417543</v>
      </c>
      <c r="F250" s="463">
        <f>F251+F252</f>
        <v>1930746.87</v>
      </c>
      <c r="G250" s="463">
        <f>G251+G252</f>
        <v>1930596.87</v>
      </c>
      <c r="H250" s="463">
        <f>+E250-F250</f>
        <v>95254.063541754149</v>
      </c>
      <c r="I250" s="460">
        <f>+F250/E250</f>
        <v>0.95298419563152137</v>
      </c>
    </row>
    <row r="251" spans="1:9" x14ac:dyDescent="0.25">
      <c r="A251" s="482">
        <v>37501</v>
      </c>
      <c r="B251" s="481" t="s">
        <v>529</v>
      </c>
      <c r="C251" s="464">
        <f>'[4]Por organismos'!I254</f>
        <v>1476757.4780398991</v>
      </c>
      <c r="D251" s="464">
        <f>'[4]Por organismos'!P254</f>
        <v>31249.440000000002</v>
      </c>
      <c r="E251" s="463">
        <f>+C251+D251</f>
        <v>1508006.9180398991</v>
      </c>
      <c r="F251" s="464">
        <f>'[4]Por organismos'!X254</f>
        <v>1459646.87</v>
      </c>
      <c r="G251" s="464">
        <f>'[4]Por organismos'!AE254</f>
        <v>1456546.87</v>
      </c>
      <c r="H251" s="463">
        <f>+E251-F251</f>
        <v>48360.048039898975</v>
      </c>
      <c r="I251" s="460">
        <f>+F251/E251</f>
        <v>0.96793114974382399</v>
      </c>
    </row>
    <row r="252" spans="1:9" x14ac:dyDescent="0.25">
      <c r="A252" s="482">
        <v>37502</v>
      </c>
      <c r="B252" s="481" t="s">
        <v>528</v>
      </c>
      <c r="C252" s="464">
        <f>'[4]Por organismos'!I255</f>
        <v>772243.39550185495</v>
      </c>
      <c r="D252" s="464">
        <f>'[4]Por organismos'!P255</f>
        <v>-254249.38</v>
      </c>
      <c r="E252" s="463">
        <f>+C252+D252</f>
        <v>517994.01550185494</v>
      </c>
      <c r="F252" s="464">
        <f>'[4]Por organismos'!X255</f>
        <v>471100</v>
      </c>
      <c r="G252" s="464">
        <f>'[4]Por organismos'!AE255</f>
        <v>474050</v>
      </c>
      <c r="H252" s="463">
        <f>+E252-F252</f>
        <v>46894.015501854941</v>
      </c>
      <c r="I252" s="460">
        <f>+F252/E252</f>
        <v>0.909469966643491</v>
      </c>
    </row>
    <row r="253" spans="1:9" x14ac:dyDescent="0.25">
      <c r="A253" s="485">
        <v>376</v>
      </c>
      <c r="B253" s="489" t="s">
        <v>527</v>
      </c>
      <c r="C253" s="463">
        <f>C254</f>
        <v>135000</v>
      </c>
      <c r="D253" s="463">
        <f>D254</f>
        <v>-135000</v>
      </c>
      <c r="E253" s="463">
        <f>+C253+D253</f>
        <v>0</v>
      </c>
      <c r="F253" s="463">
        <f>F254</f>
        <v>0</v>
      </c>
      <c r="G253" s="463">
        <f>G254</f>
        <v>0</v>
      </c>
      <c r="H253" s="463">
        <f>+E253-F253</f>
        <v>0</v>
      </c>
      <c r="I253" s="460"/>
    </row>
    <row r="254" spans="1:9" x14ac:dyDescent="0.25">
      <c r="A254" s="482">
        <v>37601</v>
      </c>
      <c r="B254" s="481" t="s">
        <v>527</v>
      </c>
      <c r="C254" s="464">
        <f>'[4]Por organismos'!I257</f>
        <v>135000</v>
      </c>
      <c r="D254" s="464">
        <f>'[4]Por organismos'!P257</f>
        <v>-135000</v>
      </c>
      <c r="E254" s="463">
        <f>+C254+D254</f>
        <v>0</v>
      </c>
      <c r="F254" s="464">
        <f>'[4]Por organismos'!X257</f>
        <v>0</v>
      </c>
      <c r="G254" s="464">
        <f>'[4]Por organismos'!AE257</f>
        <v>0</v>
      </c>
      <c r="H254" s="463">
        <f>+E254-F254</f>
        <v>0</v>
      </c>
      <c r="I254" s="460"/>
    </row>
    <row r="255" spans="1:9" ht="31.5" customHeight="1" x14ac:dyDescent="0.25">
      <c r="A255" s="485">
        <v>378</v>
      </c>
      <c r="B255" s="489" t="s">
        <v>526</v>
      </c>
      <c r="C255" s="463">
        <f>C256</f>
        <v>13500</v>
      </c>
      <c r="D255" s="463">
        <f>D256</f>
        <v>0</v>
      </c>
      <c r="E255" s="463">
        <f>+C255+D255</f>
        <v>13500</v>
      </c>
      <c r="F255" s="463">
        <f>F256</f>
        <v>0</v>
      </c>
      <c r="G255" s="463">
        <f>G256</f>
        <v>0</v>
      </c>
      <c r="H255" s="463">
        <f>+E255-F255</f>
        <v>13500</v>
      </c>
      <c r="I255" s="460">
        <f>+F255/E255</f>
        <v>0</v>
      </c>
    </row>
    <row r="256" spans="1:9" x14ac:dyDescent="0.25">
      <c r="A256" s="482">
        <v>37801</v>
      </c>
      <c r="B256" s="481" t="s">
        <v>526</v>
      </c>
      <c r="C256" s="464">
        <f>'[4]Por organismos'!I259</f>
        <v>13500</v>
      </c>
      <c r="D256" s="464">
        <f>'[4]Por organismos'!P259</f>
        <v>0</v>
      </c>
      <c r="E256" s="463">
        <f>+C256+D256</f>
        <v>13500</v>
      </c>
      <c r="F256" s="464">
        <f>'[4]Por organismos'!X259</f>
        <v>0</v>
      </c>
      <c r="G256" s="464">
        <f>'[4]Por organismos'!AE259</f>
        <v>0</v>
      </c>
      <c r="H256" s="463">
        <f>+E256-F256</f>
        <v>13500</v>
      </c>
      <c r="I256" s="460">
        <f>+F256/E256</f>
        <v>0</v>
      </c>
    </row>
    <row r="257" spans="1:9" ht="25.5" customHeight="1" x14ac:dyDescent="0.25">
      <c r="A257" s="485">
        <v>379</v>
      </c>
      <c r="B257" s="489" t="s">
        <v>525</v>
      </c>
      <c r="C257" s="463">
        <f>C258</f>
        <v>67000</v>
      </c>
      <c r="D257" s="463">
        <f>D258</f>
        <v>-35000</v>
      </c>
      <c r="E257" s="463">
        <f>+C257+D257</f>
        <v>32000</v>
      </c>
      <c r="F257" s="463">
        <f>F258</f>
        <v>8675</v>
      </c>
      <c r="G257" s="463">
        <f>G258</f>
        <v>8675</v>
      </c>
      <c r="H257" s="463">
        <f>+E257-F257</f>
        <v>23325</v>
      </c>
      <c r="I257" s="460">
        <f>+F257/E257</f>
        <v>0.27109375000000002</v>
      </c>
    </row>
    <row r="258" spans="1:9" x14ac:dyDescent="0.25">
      <c r="A258" s="482">
        <v>37901</v>
      </c>
      <c r="B258" s="481" t="s">
        <v>524</v>
      </c>
      <c r="C258" s="464">
        <f>'[4]Por organismos'!I261</f>
        <v>67000</v>
      </c>
      <c r="D258" s="464">
        <f>'[4]Por organismos'!P261</f>
        <v>-35000</v>
      </c>
      <c r="E258" s="463">
        <f>+C258+D258</f>
        <v>32000</v>
      </c>
      <c r="F258" s="464">
        <f>'[4]Por organismos'!X261</f>
        <v>8675</v>
      </c>
      <c r="G258" s="464">
        <f>'[4]Por organismos'!AE261</f>
        <v>8675</v>
      </c>
      <c r="H258" s="463">
        <f>+E258-F258</f>
        <v>23325</v>
      </c>
      <c r="I258" s="460">
        <f>+F258/E258</f>
        <v>0.27109375000000002</v>
      </c>
    </row>
    <row r="259" spans="1:9" x14ac:dyDescent="0.25">
      <c r="A259" s="486">
        <v>3800</v>
      </c>
      <c r="B259" s="489" t="s">
        <v>523</v>
      </c>
      <c r="C259" s="463">
        <f>C260+C262+C264+C266</f>
        <v>156050</v>
      </c>
      <c r="D259" s="463">
        <f>D260+D262+D264+D266</f>
        <v>-128120</v>
      </c>
      <c r="E259" s="463">
        <f>+C259+D259</f>
        <v>27930</v>
      </c>
      <c r="F259" s="463">
        <f>F260+F262+F264+F266</f>
        <v>3810</v>
      </c>
      <c r="G259" s="463">
        <f>G260+G262+G264+G266</f>
        <v>3810</v>
      </c>
      <c r="H259" s="463">
        <f>+E259-F259</f>
        <v>24120</v>
      </c>
      <c r="I259" s="460">
        <f>+F259/E259</f>
        <v>0.13641245972073041</v>
      </c>
    </row>
    <row r="260" spans="1:9" x14ac:dyDescent="0.25">
      <c r="A260" s="485">
        <v>381</v>
      </c>
      <c r="B260" s="489" t="s">
        <v>522</v>
      </c>
      <c r="C260" s="463">
        <f>C261</f>
        <v>24450</v>
      </c>
      <c r="D260" s="463">
        <f>D261</f>
        <v>0</v>
      </c>
      <c r="E260" s="463">
        <f>+C260+D260</f>
        <v>24450</v>
      </c>
      <c r="F260" s="463">
        <f>F261</f>
        <v>330</v>
      </c>
      <c r="G260" s="463">
        <f>G261</f>
        <v>330</v>
      </c>
      <c r="H260" s="463">
        <f>+E260-F260</f>
        <v>24120</v>
      </c>
      <c r="I260" s="460">
        <f>+F260/E260</f>
        <v>1.3496932515337423E-2</v>
      </c>
    </row>
    <row r="261" spans="1:9" x14ac:dyDescent="0.25">
      <c r="A261" s="482">
        <v>38101</v>
      </c>
      <c r="B261" s="481" t="s">
        <v>522</v>
      </c>
      <c r="C261" s="464">
        <f>'[4]Por organismos'!I264</f>
        <v>24450</v>
      </c>
      <c r="D261" s="464">
        <f>'[4]Por organismos'!P264</f>
        <v>0</v>
      </c>
      <c r="E261" s="463">
        <f>+C261+D261</f>
        <v>24450</v>
      </c>
      <c r="F261" s="464">
        <f>'[4]Por organismos'!X264</f>
        <v>330</v>
      </c>
      <c r="G261" s="464">
        <f>'[4]Por organismos'!AE264</f>
        <v>330</v>
      </c>
      <c r="H261" s="463">
        <f>+E261-F261</f>
        <v>24120</v>
      </c>
      <c r="I261" s="460">
        <f>+F261/E261</f>
        <v>1.3496932515337423E-2</v>
      </c>
    </row>
    <row r="262" spans="1:9" x14ac:dyDescent="0.25">
      <c r="A262" s="485">
        <v>382</v>
      </c>
      <c r="B262" s="489" t="s">
        <v>521</v>
      </c>
      <c r="C262" s="463">
        <f>C263</f>
        <v>0</v>
      </c>
      <c r="D262" s="463">
        <v>0</v>
      </c>
      <c r="E262" s="463">
        <f>+C262+D262</f>
        <v>0</v>
      </c>
      <c r="F262" s="463">
        <f>F263</f>
        <v>0</v>
      </c>
      <c r="G262" s="463">
        <f>G263</f>
        <v>0</v>
      </c>
      <c r="H262" s="463">
        <f>+E262-F262</f>
        <v>0</v>
      </c>
      <c r="I262" s="460"/>
    </row>
    <row r="263" spans="1:9" x14ac:dyDescent="0.25">
      <c r="A263" s="482">
        <v>38201</v>
      </c>
      <c r="B263" s="481" t="s">
        <v>521</v>
      </c>
      <c r="C263" s="464">
        <f>'[4]Por organismos'!I266</f>
        <v>0</v>
      </c>
      <c r="D263" s="464">
        <f>'[4]Por organismos'!P266</f>
        <v>0</v>
      </c>
      <c r="E263" s="463">
        <f>+C263+D263</f>
        <v>0</v>
      </c>
      <c r="F263" s="464">
        <f>'[4]Por organismos'!X266</f>
        <v>0</v>
      </c>
      <c r="G263" s="464">
        <f>'[4]Por organismos'!AE266</f>
        <v>0</v>
      </c>
      <c r="H263" s="463">
        <f>+E263-F263</f>
        <v>0</v>
      </c>
      <c r="I263" s="460"/>
    </row>
    <row r="264" spans="1:9" x14ac:dyDescent="0.25">
      <c r="A264" s="485">
        <v>383</v>
      </c>
      <c r="B264" s="489" t="s">
        <v>520</v>
      </c>
      <c r="C264" s="463">
        <f>C265</f>
        <v>131600</v>
      </c>
      <c r="D264" s="463">
        <f>D265</f>
        <v>-128120</v>
      </c>
      <c r="E264" s="463">
        <f>+C264+D264</f>
        <v>3480</v>
      </c>
      <c r="F264" s="463">
        <f>F265</f>
        <v>3480</v>
      </c>
      <c r="G264" s="463">
        <f>G265</f>
        <v>3480</v>
      </c>
      <c r="H264" s="463">
        <f>+E264-F264</f>
        <v>0</v>
      </c>
      <c r="I264" s="460">
        <f>+F264/E264</f>
        <v>1</v>
      </c>
    </row>
    <row r="265" spans="1:9" x14ac:dyDescent="0.25">
      <c r="A265" s="482">
        <v>38301</v>
      </c>
      <c r="B265" s="481" t="s">
        <v>520</v>
      </c>
      <c r="C265" s="464">
        <f>'[4]Por organismos'!I268</f>
        <v>131600</v>
      </c>
      <c r="D265" s="464">
        <f>'[4]Por organismos'!P268</f>
        <v>-128120</v>
      </c>
      <c r="E265" s="463">
        <f>+C265+D265</f>
        <v>3480</v>
      </c>
      <c r="F265" s="464">
        <f>'[4]Por organismos'!X268</f>
        <v>3480</v>
      </c>
      <c r="G265" s="464">
        <f>'[4]Por organismos'!AE268</f>
        <v>3480</v>
      </c>
      <c r="H265" s="463">
        <f>+E265-F265</f>
        <v>0</v>
      </c>
      <c r="I265" s="460">
        <f>+F265/E265</f>
        <v>1</v>
      </c>
    </row>
    <row r="266" spans="1:9" x14ac:dyDescent="0.25">
      <c r="A266" s="485">
        <v>385</v>
      </c>
      <c r="B266" s="489" t="s">
        <v>519</v>
      </c>
      <c r="C266" s="463">
        <f>C267</f>
        <v>0</v>
      </c>
      <c r="D266" s="463">
        <v>0</v>
      </c>
      <c r="E266" s="463">
        <f>+C266+D266</f>
        <v>0</v>
      </c>
      <c r="F266" s="463">
        <f>F267</f>
        <v>0</v>
      </c>
      <c r="G266" s="463">
        <f>G267</f>
        <v>0</v>
      </c>
      <c r="H266" s="463">
        <f>+E266-F266</f>
        <v>0</v>
      </c>
      <c r="I266" s="460"/>
    </row>
    <row r="267" spans="1:9" x14ac:dyDescent="0.25">
      <c r="A267" s="482">
        <v>38501</v>
      </c>
      <c r="B267" s="481" t="s">
        <v>518</v>
      </c>
      <c r="C267" s="464">
        <f>'[4]Por organismos'!I270</f>
        <v>0</v>
      </c>
      <c r="D267" s="464">
        <f>'[4]Por organismos'!P270</f>
        <v>0</v>
      </c>
      <c r="E267" s="463">
        <f>+C267+D267</f>
        <v>0</v>
      </c>
      <c r="F267" s="464">
        <f>'[4]Por organismos'!X270</f>
        <v>0</v>
      </c>
      <c r="G267" s="464">
        <f>'[4]Por organismos'!AE270</f>
        <v>0</v>
      </c>
      <c r="H267" s="463">
        <f>+E267-F267</f>
        <v>0</v>
      </c>
      <c r="I267" s="460"/>
    </row>
    <row r="268" spans="1:9" x14ac:dyDescent="0.25">
      <c r="A268" s="486">
        <v>3900</v>
      </c>
      <c r="B268" s="489" t="s">
        <v>517</v>
      </c>
      <c r="C268" s="463">
        <f>C269+C271+C273+C275</f>
        <v>12966613.810231052</v>
      </c>
      <c r="D268" s="463">
        <f>D269+D271+D273+D275</f>
        <v>7963934.3099999996</v>
      </c>
      <c r="E268" s="463">
        <f>+C268+D268</f>
        <v>20930548.120231051</v>
      </c>
      <c r="F268" s="463">
        <f>F269+F271+F273+F275</f>
        <v>20351043.780000001</v>
      </c>
      <c r="G268" s="463">
        <f>G269+G271+G273+G275</f>
        <v>3238588.97</v>
      </c>
      <c r="H268" s="463">
        <f>+E268-F268</f>
        <v>579504.34023104981</v>
      </c>
      <c r="I268" s="460">
        <f>+F268/E268</f>
        <v>0.97231298784426423</v>
      </c>
    </row>
    <row r="269" spans="1:9" x14ac:dyDescent="0.25">
      <c r="A269" s="485">
        <v>392</v>
      </c>
      <c r="B269" s="489" t="s">
        <v>516</v>
      </c>
      <c r="C269" s="463">
        <f>C270</f>
        <v>9655201.4396392349</v>
      </c>
      <c r="D269" s="463">
        <f>D270</f>
        <v>7008240.6299999999</v>
      </c>
      <c r="E269" s="463">
        <f>+C269+D269</f>
        <v>16663442.069639236</v>
      </c>
      <c r="F269" s="463">
        <f>F270</f>
        <v>16656798.640000001</v>
      </c>
      <c r="G269" s="463">
        <f>G270</f>
        <v>149539.45000000001</v>
      </c>
      <c r="H269" s="463">
        <f>+E269-F269</f>
        <v>6643.4296392351389</v>
      </c>
      <c r="I269" s="460">
        <f>+F269/E269</f>
        <v>0.99960131708614153</v>
      </c>
    </row>
    <row r="270" spans="1:9" x14ac:dyDescent="0.25">
      <c r="A270" s="482">
        <v>39201</v>
      </c>
      <c r="B270" s="481" t="s">
        <v>516</v>
      </c>
      <c r="C270" s="464">
        <f>'[4]Por organismos'!I273</f>
        <v>9655201.4396392349</v>
      </c>
      <c r="D270" s="464">
        <f>'[4]Por organismos'!P273</f>
        <v>7008240.6299999999</v>
      </c>
      <c r="E270" s="463">
        <f>+C270+D270</f>
        <v>16663442.069639236</v>
      </c>
      <c r="F270" s="464">
        <f>'[4]Por organismos'!X273</f>
        <v>16656798.640000001</v>
      </c>
      <c r="G270" s="464">
        <f>'[4]Por organismos'!AE273</f>
        <v>149539.45000000001</v>
      </c>
      <c r="H270" s="475">
        <f>+E270-F270</f>
        <v>6643.4296392351389</v>
      </c>
      <c r="I270" s="460">
        <f>+F270/E270</f>
        <v>0.99960131708614153</v>
      </c>
    </row>
    <row r="271" spans="1:9" ht="30" customHeight="1" x14ac:dyDescent="0.25">
      <c r="A271" s="485">
        <v>395</v>
      </c>
      <c r="B271" s="489" t="s">
        <v>515</v>
      </c>
      <c r="C271" s="463">
        <f>C272</f>
        <v>1254638.8916430946</v>
      </c>
      <c r="D271" s="463">
        <f>D272</f>
        <v>-252926.90999999997</v>
      </c>
      <c r="E271" s="463">
        <f>+C271+D271</f>
        <v>1001711.9816430947</v>
      </c>
      <c r="F271" s="463">
        <f>F272</f>
        <v>467494.76</v>
      </c>
      <c r="G271" s="463">
        <f>G272</f>
        <v>395042.52999999997</v>
      </c>
      <c r="H271" s="463">
        <f>+E271-F271</f>
        <v>534217.22164309467</v>
      </c>
      <c r="I271" s="460">
        <f>+F271/E271</f>
        <v>0.46669578538251549</v>
      </c>
    </row>
    <row r="272" spans="1:9" x14ac:dyDescent="0.25">
      <c r="A272" s="482">
        <v>39501</v>
      </c>
      <c r="B272" s="481" t="s">
        <v>515</v>
      </c>
      <c r="C272" s="464">
        <f>'[4]Por organismos'!I275</f>
        <v>1254638.8916430946</v>
      </c>
      <c r="D272" s="464">
        <f>'[4]Por organismos'!P275</f>
        <v>-252926.90999999997</v>
      </c>
      <c r="E272" s="463">
        <f>+C272+D272</f>
        <v>1001711.9816430947</v>
      </c>
      <c r="F272" s="464">
        <f>'[4]Por organismos'!X275</f>
        <v>467494.76</v>
      </c>
      <c r="G272" s="464">
        <f>'[4]Por organismos'!AE275</f>
        <v>395042.52999999997</v>
      </c>
      <c r="H272" s="463">
        <f>+E272-F272</f>
        <v>534217.22164309467</v>
      </c>
      <c r="I272" s="460">
        <f>+F272/E272</f>
        <v>0.46669578538251549</v>
      </c>
    </row>
    <row r="273" spans="1:9" x14ac:dyDescent="0.25">
      <c r="A273" s="485">
        <v>396</v>
      </c>
      <c r="B273" s="489" t="s">
        <v>514</v>
      </c>
      <c r="C273" s="463">
        <f>C274</f>
        <v>9641.378948724765</v>
      </c>
      <c r="D273" s="463">
        <f>D274</f>
        <v>0</v>
      </c>
      <c r="E273" s="463">
        <f>+C273+D273</f>
        <v>9641.378948724765</v>
      </c>
      <c r="F273" s="463">
        <f>F274</f>
        <v>0</v>
      </c>
      <c r="G273" s="463">
        <f>G274</f>
        <v>0</v>
      </c>
      <c r="H273" s="463">
        <f>+E273-F273</f>
        <v>9641.378948724765</v>
      </c>
      <c r="I273" s="460">
        <f>+F273/E273</f>
        <v>0</v>
      </c>
    </row>
    <row r="274" spans="1:9" x14ac:dyDescent="0.25">
      <c r="A274" s="482">
        <v>39601</v>
      </c>
      <c r="B274" s="481" t="s">
        <v>514</v>
      </c>
      <c r="C274" s="464">
        <f>'[4]Por organismos'!I277</f>
        <v>9641.378948724765</v>
      </c>
      <c r="D274" s="464">
        <f>'[4]Por organismos'!P277</f>
        <v>0</v>
      </c>
      <c r="E274" s="463">
        <f>+C274+D274</f>
        <v>9641.378948724765</v>
      </c>
      <c r="F274" s="464">
        <f>'[4]Por organismos'!X277</f>
        <v>0</v>
      </c>
      <c r="G274" s="464">
        <f>'[4]Por organismos'!AE277</f>
        <v>0</v>
      </c>
      <c r="H274" s="463">
        <f>+E274-F274</f>
        <v>9641.378948724765</v>
      </c>
      <c r="I274" s="460">
        <f>+F274/E274</f>
        <v>0</v>
      </c>
    </row>
    <row r="275" spans="1:9" ht="33.75" x14ac:dyDescent="0.25">
      <c r="A275" s="485">
        <v>398</v>
      </c>
      <c r="B275" s="489" t="s">
        <v>513</v>
      </c>
      <c r="C275" s="463">
        <f>C276</f>
        <v>2047132.1</v>
      </c>
      <c r="D275" s="463">
        <f>D276</f>
        <v>1208620.5899999999</v>
      </c>
      <c r="E275" s="463">
        <f>+C275+D275</f>
        <v>3255752.69</v>
      </c>
      <c r="F275" s="463">
        <f>F276</f>
        <v>3226750.38</v>
      </c>
      <c r="G275" s="463">
        <f>G276</f>
        <v>2694006.99</v>
      </c>
      <c r="H275" s="463">
        <f>+E275-F275</f>
        <v>29002.310000000056</v>
      </c>
      <c r="I275" s="460">
        <f>+F275/E275</f>
        <v>0.9910919800238267</v>
      </c>
    </row>
    <row r="276" spans="1:9" x14ac:dyDescent="0.25">
      <c r="A276" s="482">
        <v>39801</v>
      </c>
      <c r="B276" s="481" t="s">
        <v>512</v>
      </c>
      <c r="C276" s="464">
        <f>'[4]Por organismos'!I279</f>
        <v>2047132.1</v>
      </c>
      <c r="D276" s="464">
        <f>'[4]Por organismos'!P279</f>
        <v>1208620.5899999999</v>
      </c>
      <c r="E276" s="463">
        <f>+C276+D276</f>
        <v>3255752.69</v>
      </c>
      <c r="F276" s="464">
        <f>'[4]Por organismos'!X279</f>
        <v>3226750.38</v>
      </c>
      <c r="G276" s="464">
        <f>'[4]Por organismos'!AE279</f>
        <v>2694006.99</v>
      </c>
      <c r="H276" s="463">
        <f>+E276-F276</f>
        <v>29002.310000000056</v>
      </c>
      <c r="I276" s="460">
        <f>+F276/E276</f>
        <v>0.9910919800238267</v>
      </c>
    </row>
    <row r="277" spans="1:9" x14ac:dyDescent="0.25">
      <c r="A277" s="482"/>
      <c r="B277" s="481"/>
      <c r="C277" s="464"/>
      <c r="D277" s="464">
        <v>0</v>
      </c>
      <c r="E277" s="463"/>
      <c r="F277" s="464">
        <v>0</v>
      </c>
      <c r="G277" s="464">
        <v>0</v>
      </c>
      <c r="H277" s="463">
        <f>+E277-F277</f>
        <v>0</v>
      </c>
      <c r="I277" s="460"/>
    </row>
    <row r="278" spans="1:9" ht="22.5" x14ac:dyDescent="0.25">
      <c r="A278" s="474">
        <v>4000</v>
      </c>
      <c r="B278" s="489" t="s">
        <v>511</v>
      </c>
      <c r="C278" s="463">
        <f>C279+C284+C287+C289+C292</f>
        <v>0</v>
      </c>
      <c r="D278" s="463">
        <f>D279+D284+D287+D289+D292</f>
        <v>7796998.4399999995</v>
      </c>
      <c r="E278" s="463">
        <f>+C278+D278</f>
        <v>7796998.4399999995</v>
      </c>
      <c r="F278" s="463">
        <f>F279+F284+F287+F289+F292</f>
        <v>7603911.4199999999</v>
      </c>
      <c r="G278" s="463">
        <f>G279+G284+G287+G289+G292</f>
        <v>7603911.4199999999</v>
      </c>
      <c r="H278" s="463">
        <f>+E278-F278</f>
        <v>193087.01999999955</v>
      </c>
      <c r="I278" s="460">
        <f>+F278/E278</f>
        <v>0.97523572417182636</v>
      </c>
    </row>
    <row r="279" spans="1:9" ht="22.5" hidden="1" x14ac:dyDescent="0.25">
      <c r="A279" s="486">
        <v>4100</v>
      </c>
      <c r="B279" s="489" t="s">
        <v>510</v>
      </c>
      <c r="C279" s="463">
        <f>C280+C282</f>
        <v>0</v>
      </c>
      <c r="D279" s="463">
        <f>D280+D282</f>
        <v>0</v>
      </c>
      <c r="E279" s="463">
        <f>+C279+D279</f>
        <v>0</v>
      </c>
      <c r="F279" s="463">
        <f>F280+F282</f>
        <v>0</v>
      </c>
      <c r="G279" s="463">
        <f>G280+G282</f>
        <v>0</v>
      </c>
      <c r="H279" s="463">
        <f>+E279-F279</f>
        <v>0</v>
      </c>
      <c r="I279" s="460" t="e">
        <f>+F279/E279</f>
        <v>#DIV/0!</v>
      </c>
    </row>
    <row r="280" spans="1:9" hidden="1" x14ac:dyDescent="0.25">
      <c r="A280" s="485">
        <v>411</v>
      </c>
      <c r="B280" s="489" t="s">
        <v>509</v>
      </c>
      <c r="C280" s="463">
        <f>C281</f>
        <v>0</v>
      </c>
      <c r="D280" s="463">
        <f>D281</f>
        <v>0</v>
      </c>
      <c r="E280" s="463">
        <f>+C280+D280</f>
        <v>0</v>
      </c>
      <c r="F280" s="463">
        <f>F281</f>
        <v>0</v>
      </c>
      <c r="G280" s="463">
        <f>G281</f>
        <v>0</v>
      </c>
      <c r="H280" s="463">
        <f>+E280-F280</f>
        <v>0</v>
      </c>
      <c r="I280" s="460" t="e">
        <f>+F280/E280</f>
        <v>#DIV/0!</v>
      </c>
    </row>
    <row r="281" spans="1:9" hidden="1" x14ac:dyDescent="0.25">
      <c r="A281" s="482">
        <v>41104</v>
      </c>
      <c r="B281" s="481" t="s">
        <v>508</v>
      </c>
      <c r="C281" s="463">
        <v>0</v>
      </c>
      <c r="D281" s="463">
        <f>'[4]Por organismos'!P284</f>
        <v>0</v>
      </c>
      <c r="E281" s="463">
        <f>+C281+D281</f>
        <v>0</v>
      </c>
      <c r="F281" s="463">
        <f>'[4]Por organismos'!X284</f>
        <v>0</v>
      </c>
      <c r="G281" s="463">
        <f>'[4]Por organismos'!AE284</f>
        <v>0</v>
      </c>
      <c r="H281" s="463">
        <f>+E281-F281</f>
        <v>0</v>
      </c>
      <c r="I281" s="460" t="e">
        <f>+F281/E281</f>
        <v>#DIV/0!</v>
      </c>
    </row>
    <row r="282" spans="1:9" ht="22.5" hidden="1" x14ac:dyDescent="0.25">
      <c r="A282" s="485">
        <v>415</v>
      </c>
      <c r="B282" s="489" t="s">
        <v>507</v>
      </c>
      <c r="C282" s="463">
        <f>C283</f>
        <v>0</v>
      </c>
      <c r="D282" s="463">
        <f>D283</f>
        <v>0</v>
      </c>
      <c r="E282" s="463">
        <f>+C282+D282</f>
        <v>0</v>
      </c>
      <c r="F282" s="463">
        <f>F283</f>
        <v>0</v>
      </c>
      <c r="G282" s="463">
        <f>G283</f>
        <v>0</v>
      </c>
      <c r="H282" s="463">
        <f>+E282-F282</f>
        <v>0</v>
      </c>
      <c r="I282" s="460" t="e">
        <f>+F282/E282</f>
        <v>#DIV/0!</v>
      </c>
    </row>
    <row r="283" spans="1:9" hidden="1" x14ac:dyDescent="0.25">
      <c r="A283" s="482">
        <v>41502</v>
      </c>
      <c r="B283" s="481" t="s">
        <v>506</v>
      </c>
      <c r="C283" s="463">
        <v>0</v>
      </c>
      <c r="D283" s="463">
        <f>'[4]Por organismos'!P286</f>
        <v>0</v>
      </c>
      <c r="E283" s="463">
        <f>+C283+D283</f>
        <v>0</v>
      </c>
      <c r="F283" s="463">
        <f>'[4]Por organismos'!X286</f>
        <v>0</v>
      </c>
      <c r="G283" s="463">
        <f>'[4]Por organismos'!AE286</f>
        <v>0</v>
      </c>
      <c r="H283" s="463">
        <f>+E283-F283</f>
        <v>0</v>
      </c>
      <c r="I283" s="460" t="e">
        <f>+F283/E283</f>
        <v>#DIV/0!</v>
      </c>
    </row>
    <row r="284" spans="1:9" ht="25.5" customHeight="1" x14ac:dyDescent="0.25">
      <c r="A284" s="486">
        <v>4200</v>
      </c>
      <c r="B284" s="489" t="s">
        <v>505</v>
      </c>
      <c r="C284" s="463">
        <f>C285</f>
        <v>0</v>
      </c>
      <c r="D284" s="463">
        <f>D285</f>
        <v>7796998.4399999995</v>
      </c>
      <c r="E284" s="463">
        <f>+C284+D284</f>
        <v>7796998.4399999995</v>
      </c>
      <c r="F284" s="463">
        <f>F285</f>
        <v>7603911.4199999999</v>
      </c>
      <c r="G284" s="463">
        <f>G285</f>
        <v>7603911.4199999999</v>
      </c>
      <c r="H284" s="463">
        <f>+E284-F284</f>
        <v>193087.01999999955</v>
      </c>
      <c r="I284" s="460">
        <f>+F284/E284</f>
        <v>0.97523572417182636</v>
      </c>
    </row>
    <row r="285" spans="1:9" ht="33.75" x14ac:dyDescent="0.25">
      <c r="A285" s="485">
        <v>424</v>
      </c>
      <c r="B285" s="489" t="s">
        <v>504</v>
      </c>
      <c r="C285" s="463">
        <f>C286</f>
        <v>0</v>
      </c>
      <c r="D285" s="463">
        <f>D286</f>
        <v>7796998.4399999995</v>
      </c>
      <c r="E285" s="463">
        <f>+C285+D285</f>
        <v>7796998.4399999995</v>
      </c>
      <c r="F285" s="463">
        <f>F286</f>
        <v>7603911.4199999999</v>
      </c>
      <c r="G285" s="463">
        <f>G286</f>
        <v>7603911.4199999999</v>
      </c>
      <c r="H285" s="463">
        <f>+E285-F285</f>
        <v>193087.01999999955</v>
      </c>
      <c r="I285" s="460">
        <f>+F285/E285</f>
        <v>0.97523572417182636</v>
      </c>
    </row>
    <row r="286" spans="1:9" ht="22.5" x14ac:dyDescent="0.25">
      <c r="A286" s="482">
        <v>42401</v>
      </c>
      <c r="B286" s="481" t="s">
        <v>503</v>
      </c>
      <c r="C286" s="464">
        <v>0</v>
      </c>
      <c r="D286" s="464">
        <f>'[4]Por organismos'!P289</f>
        <v>7796998.4399999995</v>
      </c>
      <c r="E286" s="463">
        <f>+C286+D286</f>
        <v>7796998.4399999995</v>
      </c>
      <c r="F286" s="464">
        <f>'[4]Por organismos'!X289</f>
        <v>7603911.4199999999</v>
      </c>
      <c r="G286" s="464">
        <f>'[4]Por organismos'!AE289</f>
        <v>7603911.4199999999</v>
      </c>
      <c r="H286" s="463">
        <f>+E286-F286</f>
        <v>193087.01999999955</v>
      </c>
      <c r="I286" s="460">
        <f>+F286/E286</f>
        <v>0.97523572417182636</v>
      </c>
    </row>
    <row r="287" spans="1:9" hidden="1" x14ac:dyDescent="0.25">
      <c r="A287" s="486">
        <v>4300</v>
      </c>
      <c r="B287" s="489" t="s">
        <v>502</v>
      </c>
      <c r="C287" s="463">
        <f>C288</f>
        <v>0</v>
      </c>
      <c r="D287" s="463">
        <v>0</v>
      </c>
      <c r="E287" s="463">
        <f>+C287+D287</f>
        <v>0</v>
      </c>
      <c r="F287" s="463">
        <f>F288</f>
        <v>0</v>
      </c>
      <c r="G287" s="463">
        <f>G288</f>
        <v>0</v>
      </c>
      <c r="H287" s="463">
        <f>+E287-F287</f>
        <v>0</v>
      </c>
      <c r="I287" s="460" t="e">
        <f>+F287/E287</f>
        <v>#DIV/0!</v>
      </c>
    </row>
    <row r="288" spans="1:9" hidden="1" x14ac:dyDescent="0.25">
      <c r="A288" s="482">
        <v>43401</v>
      </c>
      <c r="B288" s="481" t="s">
        <v>502</v>
      </c>
      <c r="C288" s="464">
        <v>0</v>
      </c>
      <c r="D288" s="464">
        <f>'[4]Por organismos'!P291</f>
        <v>0</v>
      </c>
      <c r="E288" s="463">
        <f>+C288+D288</f>
        <v>0</v>
      </c>
      <c r="F288" s="464">
        <f>'[4]Por organismos'!X291</f>
        <v>0</v>
      </c>
      <c r="G288" s="464">
        <f>'[4]Por organismos'!AE291</f>
        <v>0</v>
      </c>
      <c r="H288" s="463">
        <f>+E288-F288</f>
        <v>0</v>
      </c>
      <c r="I288" s="460" t="e">
        <f>+F288/E288</f>
        <v>#DIV/0!</v>
      </c>
    </row>
    <row r="289" spans="1:9" hidden="1" x14ac:dyDescent="0.25">
      <c r="A289" s="486">
        <v>4400</v>
      </c>
      <c r="B289" s="489" t="s">
        <v>501</v>
      </c>
      <c r="C289" s="463">
        <f>C290</f>
        <v>0</v>
      </c>
      <c r="D289" s="463">
        <v>0</v>
      </c>
      <c r="E289" s="463">
        <f>+C289+D289</f>
        <v>0</v>
      </c>
      <c r="F289" s="463">
        <f>F290</f>
        <v>0</v>
      </c>
      <c r="G289" s="463">
        <f>G290</f>
        <v>0</v>
      </c>
      <c r="H289" s="463">
        <f>+E289-F289</f>
        <v>0</v>
      </c>
      <c r="I289" s="460" t="e">
        <f>+F289/E289</f>
        <v>#DIV/0!</v>
      </c>
    </row>
    <row r="290" spans="1:9" ht="22.5" hidden="1" x14ac:dyDescent="0.25">
      <c r="A290" s="485">
        <v>442</v>
      </c>
      <c r="B290" s="489" t="s">
        <v>500</v>
      </c>
      <c r="C290" s="463">
        <f>C291</f>
        <v>0</v>
      </c>
      <c r="D290" s="463">
        <v>0</v>
      </c>
      <c r="E290" s="463">
        <f>+C290+D290</f>
        <v>0</v>
      </c>
      <c r="F290" s="463">
        <f>F291</f>
        <v>0</v>
      </c>
      <c r="G290" s="463">
        <f>G291</f>
        <v>0</v>
      </c>
      <c r="H290" s="463">
        <f>+E290-F290</f>
        <v>0</v>
      </c>
      <c r="I290" s="460" t="e">
        <f>+F290/E290</f>
        <v>#DIV/0!</v>
      </c>
    </row>
    <row r="291" spans="1:9" hidden="1" x14ac:dyDescent="0.25">
      <c r="A291" s="482">
        <v>44204</v>
      </c>
      <c r="B291" s="481" t="s">
        <v>499</v>
      </c>
      <c r="C291" s="463">
        <v>0</v>
      </c>
      <c r="D291" s="463">
        <f>'[4]Por organismos'!P294</f>
        <v>0</v>
      </c>
      <c r="E291" s="463">
        <f>+C291+D291</f>
        <v>0</v>
      </c>
      <c r="F291" s="463">
        <f>'[4]Por organismos'!X294</f>
        <v>0</v>
      </c>
      <c r="G291" s="463">
        <f>'[4]Por organismos'!AE294</f>
        <v>0</v>
      </c>
      <c r="H291" s="463">
        <f>+E291-F291</f>
        <v>0</v>
      </c>
      <c r="I291" s="460" t="e">
        <f>+F291/E291</f>
        <v>#DIV/0!</v>
      </c>
    </row>
    <row r="292" spans="1:9" hidden="1" x14ac:dyDescent="0.25">
      <c r="A292" s="486">
        <v>4800</v>
      </c>
      <c r="B292" s="489" t="s">
        <v>498</v>
      </c>
      <c r="C292" s="463">
        <f>C293</f>
        <v>0</v>
      </c>
      <c r="D292" s="463">
        <v>0</v>
      </c>
      <c r="E292" s="463">
        <f>+C292+D292</f>
        <v>0</v>
      </c>
      <c r="F292" s="463">
        <f>F293</f>
        <v>0</v>
      </c>
      <c r="G292" s="463">
        <f>G293</f>
        <v>0</v>
      </c>
      <c r="H292" s="463">
        <f>+E292-F292</f>
        <v>0</v>
      </c>
      <c r="I292" s="460" t="e">
        <f>+F292/E292</f>
        <v>#DIV/0!</v>
      </c>
    </row>
    <row r="293" spans="1:9" hidden="1" x14ac:dyDescent="0.25">
      <c r="A293" s="485">
        <v>481</v>
      </c>
      <c r="B293" s="489" t="s">
        <v>497</v>
      </c>
      <c r="C293" s="463">
        <f>C294</f>
        <v>0</v>
      </c>
      <c r="D293" s="463">
        <v>0</v>
      </c>
      <c r="E293" s="463">
        <f>+C293+D293</f>
        <v>0</v>
      </c>
      <c r="F293" s="463">
        <f>F294</f>
        <v>0</v>
      </c>
      <c r="G293" s="463">
        <f>G294</f>
        <v>0</v>
      </c>
      <c r="H293" s="463">
        <f>+E293-F293</f>
        <v>0</v>
      </c>
      <c r="I293" s="460" t="e">
        <f>+F293/E293</f>
        <v>#DIV/0!</v>
      </c>
    </row>
    <row r="294" spans="1:9" hidden="1" x14ac:dyDescent="0.25">
      <c r="A294" s="482">
        <v>48101</v>
      </c>
      <c r="B294" s="481" t="s">
        <v>497</v>
      </c>
      <c r="C294" s="464">
        <v>0</v>
      </c>
      <c r="D294" s="464">
        <f>'[4]Por organismos'!P297</f>
        <v>0</v>
      </c>
      <c r="E294" s="463">
        <f>+C294+D294</f>
        <v>0</v>
      </c>
      <c r="F294" s="464">
        <f>'[4]Por organismos'!X297</f>
        <v>0</v>
      </c>
      <c r="G294" s="464">
        <f>'[4]Por organismos'!AE297</f>
        <v>0</v>
      </c>
      <c r="H294" s="463">
        <f>+E294-F294</f>
        <v>0</v>
      </c>
      <c r="I294" s="460" t="e">
        <f>+F294/E294</f>
        <v>#DIV/0!</v>
      </c>
    </row>
    <row r="295" spans="1:9" x14ac:dyDescent="0.25">
      <c r="A295" s="482"/>
      <c r="B295" s="481"/>
      <c r="C295" s="464">
        <v>0</v>
      </c>
      <c r="D295" s="464">
        <v>0</v>
      </c>
      <c r="E295" s="463">
        <f>+C295+D295</f>
        <v>0</v>
      </c>
      <c r="F295" s="464"/>
      <c r="G295" s="464"/>
      <c r="H295" s="463">
        <f>+E295-F295</f>
        <v>0</v>
      </c>
      <c r="I295" s="460"/>
    </row>
    <row r="296" spans="1:9" x14ac:dyDescent="0.25">
      <c r="A296" s="474">
        <v>5000</v>
      </c>
      <c r="B296" s="489" t="s">
        <v>496</v>
      </c>
      <c r="C296" s="463">
        <f>C297+C306+C311+C314+C322+C336+C339+C319</f>
        <v>0</v>
      </c>
      <c r="D296" s="463">
        <f>D297+D306+D311+D314+D322+D336+D339+D319</f>
        <v>484002.88</v>
      </c>
      <c r="E296" s="463">
        <f>+C296+D296</f>
        <v>484002.88</v>
      </c>
      <c r="F296" s="463">
        <f>F297+F306+F311+F314+F322+F336+F339+F319</f>
        <v>483318.48</v>
      </c>
      <c r="G296" s="463">
        <f>G297+G306+G311+G314+G322+G336+G339+G319</f>
        <v>483317.48</v>
      </c>
      <c r="H296" s="463">
        <f>+E296-F296</f>
        <v>684.40000000002328</v>
      </c>
      <c r="I296" s="460">
        <f>+F296/E296</f>
        <v>0.99858595882735235</v>
      </c>
    </row>
    <row r="297" spans="1:9" x14ac:dyDescent="0.25">
      <c r="A297" s="486">
        <v>5100</v>
      </c>
      <c r="B297" s="489" t="s">
        <v>495</v>
      </c>
      <c r="C297" s="463">
        <f>C298+C300+C302+C304</f>
        <v>0</v>
      </c>
      <c r="D297" s="463">
        <f>D298+D300+D302+D304</f>
        <v>88392</v>
      </c>
      <c r="E297" s="463">
        <f>+C297+D297</f>
        <v>88392</v>
      </c>
      <c r="F297" s="463">
        <f>F298+F300+F302+F304</f>
        <v>88392</v>
      </c>
      <c r="G297" s="463">
        <f>G298+G300+G302+G304</f>
        <v>88392</v>
      </c>
      <c r="H297" s="463">
        <f>+E297-F297</f>
        <v>0</v>
      </c>
      <c r="I297" s="460">
        <f>+F297/E297</f>
        <v>1</v>
      </c>
    </row>
    <row r="298" spans="1:9" x14ac:dyDescent="0.25">
      <c r="A298" s="485">
        <v>511</v>
      </c>
      <c r="B298" s="489" t="s">
        <v>494</v>
      </c>
      <c r="C298" s="463">
        <f>C299</f>
        <v>0</v>
      </c>
      <c r="D298" s="463">
        <f>D299</f>
        <v>88392</v>
      </c>
      <c r="E298" s="463">
        <f>+C298+D298</f>
        <v>88392</v>
      </c>
      <c r="F298" s="463">
        <f>F299</f>
        <v>88392</v>
      </c>
      <c r="G298" s="463">
        <f>G299</f>
        <v>88392</v>
      </c>
      <c r="H298" s="463">
        <f>+E298-F298</f>
        <v>0</v>
      </c>
      <c r="I298" s="460">
        <f>+F298/E298</f>
        <v>1</v>
      </c>
    </row>
    <row r="299" spans="1:9" x14ac:dyDescent="0.25">
      <c r="A299" s="482">
        <v>51101</v>
      </c>
      <c r="B299" s="481" t="s">
        <v>494</v>
      </c>
      <c r="C299" s="464"/>
      <c r="D299" s="464">
        <f>'[4]Por organismos'!P302</f>
        <v>88392</v>
      </c>
      <c r="E299" s="463">
        <f>+C299+D299</f>
        <v>88392</v>
      </c>
      <c r="F299" s="464">
        <f>'[4]Por organismos'!X302</f>
        <v>88392</v>
      </c>
      <c r="G299" s="464">
        <f>'[4]Por organismos'!AE302</f>
        <v>88392</v>
      </c>
      <c r="H299" s="463">
        <f>+E299-F299</f>
        <v>0</v>
      </c>
      <c r="I299" s="460">
        <f>+F299/E299</f>
        <v>1</v>
      </c>
    </row>
    <row r="300" spans="1:9" hidden="1" x14ac:dyDescent="0.25">
      <c r="A300" s="485">
        <v>512</v>
      </c>
      <c r="B300" s="489" t="s">
        <v>493</v>
      </c>
      <c r="C300" s="463">
        <f>C301</f>
        <v>0</v>
      </c>
      <c r="D300" s="463">
        <f>D301</f>
        <v>0</v>
      </c>
      <c r="E300" s="463">
        <f>+C300+D300</f>
        <v>0</v>
      </c>
      <c r="F300" s="463">
        <f>F301</f>
        <v>0</v>
      </c>
      <c r="G300" s="463">
        <f>G301</f>
        <v>0</v>
      </c>
      <c r="H300" s="463">
        <f>+E300-F300</f>
        <v>0</v>
      </c>
      <c r="I300" s="460" t="e">
        <f>+F300/E300</f>
        <v>#DIV/0!</v>
      </c>
    </row>
    <row r="301" spans="1:9" hidden="1" x14ac:dyDescent="0.25">
      <c r="A301" s="482">
        <v>51201</v>
      </c>
      <c r="B301" s="481" t="s">
        <v>493</v>
      </c>
      <c r="C301" s="464"/>
      <c r="D301" s="464">
        <f>'[4]Por organismos'!P304</f>
        <v>0</v>
      </c>
      <c r="E301" s="463">
        <f>+C301+D301</f>
        <v>0</v>
      </c>
      <c r="F301" s="464">
        <f>'[4]Por organismos'!X304</f>
        <v>0</v>
      </c>
      <c r="G301" s="464">
        <f>'[4]Por organismos'!AE304</f>
        <v>0</v>
      </c>
      <c r="H301" s="463">
        <f>+E301-F301</f>
        <v>0</v>
      </c>
      <c r="I301" s="460" t="e">
        <f>+F301/E301</f>
        <v>#DIV/0!</v>
      </c>
    </row>
    <row r="302" spans="1:9" ht="22.5" hidden="1" x14ac:dyDescent="0.25">
      <c r="A302" s="485">
        <v>515</v>
      </c>
      <c r="B302" s="489" t="s">
        <v>492</v>
      </c>
      <c r="C302" s="463">
        <f>C303</f>
        <v>0</v>
      </c>
      <c r="D302" s="463">
        <f>D303</f>
        <v>0</v>
      </c>
      <c r="E302" s="463">
        <f>+C302+D302</f>
        <v>0</v>
      </c>
      <c r="F302" s="463">
        <f>F303</f>
        <v>0</v>
      </c>
      <c r="G302" s="463">
        <f>G303</f>
        <v>0</v>
      </c>
      <c r="H302" s="463">
        <f>+E302-F302</f>
        <v>0</v>
      </c>
      <c r="I302" s="460" t="e">
        <f>+F302/E302</f>
        <v>#DIV/0!</v>
      </c>
    </row>
    <row r="303" spans="1:9" hidden="1" x14ac:dyDescent="0.25">
      <c r="A303" s="482">
        <v>51501</v>
      </c>
      <c r="B303" s="481" t="s">
        <v>491</v>
      </c>
      <c r="C303" s="464"/>
      <c r="D303" s="464">
        <f>'[4]Por organismos'!P306</f>
        <v>0</v>
      </c>
      <c r="E303" s="463">
        <f>+C303+D303</f>
        <v>0</v>
      </c>
      <c r="F303" s="464">
        <f>'[4]Por organismos'!X306</f>
        <v>0</v>
      </c>
      <c r="G303" s="464">
        <f>'[4]Por organismos'!AE306</f>
        <v>0</v>
      </c>
      <c r="H303" s="463">
        <f>+E303-F303</f>
        <v>0</v>
      </c>
      <c r="I303" s="460" t="e">
        <f>+F303/E303</f>
        <v>#DIV/0!</v>
      </c>
    </row>
    <row r="304" spans="1:9" hidden="1" x14ac:dyDescent="0.25">
      <c r="A304" s="485">
        <v>519</v>
      </c>
      <c r="B304" s="489" t="s">
        <v>490</v>
      </c>
      <c r="C304" s="463">
        <f>C305</f>
        <v>0</v>
      </c>
      <c r="D304" s="463">
        <v>0</v>
      </c>
      <c r="E304" s="463">
        <f>+C304+D304</f>
        <v>0</v>
      </c>
      <c r="F304" s="463">
        <f>F305</f>
        <v>0</v>
      </c>
      <c r="G304" s="463">
        <f>G305</f>
        <v>0</v>
      </c>
      <c r="H304" s="463">
        <f>+E304-F304</f>
        <v>0</v>
      </c>
      <c r="I304" s="460" t="e">
        <f>+F304/E304</f>
        <v>#DIV/0!</v>
      </c>
    </row>
    <row r="305" spans="1:9" hidden="1" x14ac:dyDescent="0.25">
      <c r="A305" s="482">
        <v>51901</v>
      </c>
      <c r="B305" s="481" t="s">
        <v>489</v>
      </c>
      <c r="C305" s="464"/>
      <c r="D305" s="464">
        <f>'[4]Por organismos'!P308</f>
        <v>0</v>
      </c>
      <c r="E305" s="463">
        <f>+C305+D305</f>
        <v>0</v>
      </c>
      <c r="F305" s="464">
        <f>'[4]Por organismos'!X308</f>
        <v>0</v>
      </c>
      <c r="G305" s="464">
        <f>'[4]Por organismos'!AE308</f>
        <v>0</v>
      </c>
      <c r="H305" s="463">
        <f>+E305-F305</f>
        <v>0</v>
      </c>
      <c r="I305" s="460" t="e">
        <f>+F305/E305</f>
        <v>#DIV/0!</v>
      </c>
    </row>
    <row r="306" spans="1:9" ht="23.25" customHeight="1" x14ac:dyDescent="0.25">
      <c r="A306" s="486">
        <v>5200</v>
      </c>
      <c r="B306" s="489" t="s">
        <v>488</v>
      </c>
      <c r="C306" s="463">
        <f>C307+C309</f>
        <v>0</v>
      </c>
      <c r="D306" s="463">
        <f>D307+D309</f>
        <v>81000</v>
      </c>
      <c r="E306" s="463">
        <f>+C306+D306</f>
        <v>81000</v>
      </c>
      <c r="F306" s="463">
        <f>F307+F309</f>
        <v>80723.240000000005</v>
      </c>
      <c r="G306" s="463">
        <f>G307+G309</f>
        <v>80723.240000000005</v>
      </c>
      <c r="H306" s="463">
        <f>+E306-F306</f>
        <v>276.75999999999476</v>
      </c>
      <c r="I306" s="460">
        <f>+F306/E306</f>
        <v>0.99658320987654325</v>
      </c>
    </row>
    <row r="307" spans="1:9" x14ac:dyDescent="0.25">
      <c r="A307" s="485">
        <v>521</v>
      </c>
      <c r="B307" s="489" t="s">
        <v>487</v>
      </c>
      <c r="C307" s="463">
        <f>C308</f>
        <v>0</v>
      </c>
      <c r="D307" s="463">
        <v>0</v>
      </c>
      <c r="E307" s="463">
        <f>+C307+D307</f>
        <v>0</v>
      </c>
      <c r="F307" s="463">
        <f>F308</f>
        <v>0</v>
      </c>
      <c r="G307" s="463">
        <f>G308</f>
        <v>0</v>
      </c>
      <c r="H307" s="463">
        <f>+E307-F307</f>
        <v>0</v>
      </c>
      <c r="I307" s="460"/>
    </row>
    <row r="308" spans="1:9" x14ac:dyDescent="0.25">
      <c r="A308" s="482">
        <v>52101</v>
      </c>
      <c r="B308" s="481" t="s">
        <v>487</v>
      </c>
      <c r="C308" s="464"/>
      <c r="D308" s="464">
        <f>'[4]Por organismos'!P311</f>
        <v>0</v>
      </c>
      <c r="E308" s="463">
        <f>+C308+D308</f>
        <v>0</v>
      </c>
      <c r="F308" s="464">
        <f>'[4]Por organismos'!X311</f>
        <v>0</v>
      </c>
      <c r="G308" s="464">
        <f>'[4]Por organismos'!AE311</f>
        <v>0</v>
      </c>
      <c r="H308" s="463">
        <f>+E308-F308</f>
        <v>0</v>
      </c>
      <c r="I308" s="460"/>
    </row>
    <row r="309" spans="1:9" x14ac:dyDescent="0.25">
      <c r="A309" s="485">
        <v>523</v>
      </c>
      <c r="B309" s="489" t="s">
        <v>486</v>
      </c>
      <c r="C309" s="463">
        <f>C310</f>
        <v>0</v>
      </c>
      <c r="D309" s="463">
        <f>D310</f>
        <v>81000</v>
      </c>
      <c r="E309" s="463">
        <f>+C309+D309</f>
        <v>81000</v>
      </c>
      <c r="F309" s="463">
        <f>F310</f>
        <v>80723.240000000005</v>
      </c>
      <c r="G309" s="463">
        <f>G310</f>
        <v>80723.240000000005</v>
      </c>
      <c r="H309" s="463">
        <f>+E309-F309</f>
        <v>276.75999999999476</v>
      </c>
      <c r="I309" s="460">
        <f>+F309/E309</f>
        <v>0.99658320987654325</v>
      </c>
    </row>
    <row r="310" spans="1:9" x14ac:dyDescent="0.25">
      <c r="A310" s="482">
        <v>52301</v>
      </c>
      <c r="B310" s="481" t="s">
        <v>486</v>
      </c>
      <c r="C310" s="464"/>
      <c r="D310" s="464">
        <f>'[4]Por organismos'!P313</f>
        <v>81000</v>
      </c>
      <c r="E310" s="463">
        <f>+C310+D310</f>
        <v>81000</v>
      </c>
      <c r="F310" s="464">
        <f>'[4]Por organismos'!X313</f>
        <v>80723.240000000005</v>
      </c>
      <c r="G310" s="464">
        <f>'[4]Por organismos'!AE313</f>
        <v>80723.240000000005</v>
      </c>
      <c r="H310" s="475">
        <f>+E310-F310</f>
        <v>276.75999999999476</v>
      </c>
      <c r="I310" s="460">
        <f>+F310/E310</f>
        <v>0.99658320987654325</v>
      </c>
    </row>
    <row r="311" spans="1:9" hidden="1" x14ac:dyDescent="0.25">
      <c r="A311" s="486">
        <v>5300</v>
      </c>
      <c r="B311" s="489" t="s">
        <v>485</v>
      </c>
      <c r="C311" s="464">
        <f>C312</f>
        <v>0</v>
      </c>
      <c r="D311" s="464">
        <f>D312</f>
        <v>0</v>
      </c>
      <c r="E311" s="463">
        <f>+C311+D311</f>
        <v>0</v>
      </c>
      <c r="F311" s="464">
        <f>F312</f>
        <v>0</v>
      </c>
      <c r="G311" s="464">
        <f>G312</f>
        <v>0</v>
      </c>
      <c r="H311" s="463">
        <f>+E311-F311</f>
        <v>0</v>
      </c>
      <c r="I311" s="460" t="e">
        <f>+F311/E311</f>
        <v>#DIV/0!</v>
      </c>
    </row>
    <row r="312" spans="1:9" hidden="1" x14ac:dyDescent="0.25">
      <c r="A312" s="485">
        <v>532</v>
      </c>
      <c r="B312" s="489" t="s">
        <v>484</v>
      </c>
      <c r="C312" s="464">
        <f>C313</f>
        <v>0</v>
      </c>
      <c r="D312" s="464">
        <f>D313</f>
        <v>0</v>
      </c>
      <c r="E312" s="463">
        <f>+C312+D312</f>
        <v>0</v>
      </c>
      <c r="F312" s="464">
        <f>F313</f>
        <v>0</v>
      </c>
      <c r="G312" s="464">
        <f>G313</f>
        <v>0</v>
      </c>
      <c r="H312" s="463">
        <f>+E312-F312</f>
        <v>0</v>
      </c>
      <c r="I312" s="460" t="e">
        <f>+F312/E312</f>
        <v>#DIV/0!</v>
      </c>
    </row>
    <row r="313" spans="1:9" hidden="1" x14ac:dyDescent="0.25">
      <c r="A313" s="482">
        <v>53201</v>
      </c>
      <c r="B313" s="481" t="s">
        <v>484</v>
      </c>
      <c r="C313" s="464"/>
      <c r="D313" s="464">
        <f>'[4]Por organismos'!P316</f>
        <v>0</v>
      </c>
      <c r="E313" s="463">
        <f>+C313+D313</f>
        <v>0</v>
      </c>
      <c r="F313" s="464">
        <f>'[4]Por organismos'!X316</f>
        <v>0</v>
      </c>
      <c r="G313" s="464">
        <f>'[4]Por organismos'!AE316</f>
        <v>0</v>
      </c>
      <c r="H313" s="463">
        <f>+E313-F313</f>
        <v>0</v>
      </c>
      <c r="I313" s="460"/>
    </row>
    <row r="314" spans="1:9" hidden="1" x14ac:dyDescent="0.25">
      <c r="A314" s="486">
        <v>5400</v>
      </c>
      <c r="B314" s="489" t="s">
        <v>483</v>
      </c>
      <c r="C314" s="463">
        <f>C315+C317</f>
        <v>0</v>
      </c>
      <c r="D314" s="463">
        <f>D315+D317</f>
        <v>0</v>
      </c>
      <c r="E314" s="463">
        <f>+C314+D314</f>
        <v>0</v>
      </c>
      <c r="F314" s="463">
        <f>F315+F317</f>
        <v>0</v>
      </c>
      <c r="G314" s="463">
        <f>G315+G317</f>
        <v>0</v>
      </c>
      <c r="H314" s="463">
        <f>+E314-F314</f>
        <v>0</v>
      </c>
      <c r="I314" s="460"/>
    </row>
    <row r="315" spans="1:9" hidden="1" x14ac:dyDescent="0.25">
      <c r="A315" s="485">
        <v>541</v>
      </c>
      <c r="B315" s="489" t="s">
        <v>483</v>
      </c>
      <c r="C315" s="463">
        <f>C316</f>
        <v>0</v>
      </c>
      <c r="D315" s="463">
        <f>D316</f>
        <v>0</v>
      </c>
      <c r="E315" s="463">
        <f>+C315+D315</f>
        <v>0</v>
      </c>
      <c r="F315" s="463">
        <f>F316</f>
        <v>0</v>
      </c>
      <c r="G315" s="463">
        <f>G316</f>
        <v>0</v>
      </c>
      <c r="H315" s="463">
        <f>+E315-F315</f>
        <v>0</v>
      </c>
      <c r="I315" s="460"/>
    </row>
    <row r="316" spans="1:9" hidden="1" x14ac:dyDescent="0.25">
      <c r="A316" s="482">
        <v>54101</v>
      </c>
      <c r="B316" s="481" t="s">
        <v>482</v>
      </c>
      <c r="C316" s="464"/>
      <c r="D316" s="464">
        <f>'[4]Por organismos'!P319</f>
        <v>0</v>
      </c>
      <c r="E316" s="463">
        <f>+C316+D316</f>
        <v>0</v>
      </c>
      <c r="F316" s="464">
        <f>'[4]Por organismos'!X319</f>
        <v>0</v>
      </c>
      <c r="G316" s="464">
        <f>'[4]Por organismos'!AE319</f>
        <v>0</v>
      </c>
      <c r="H316" s="463">
        <f>+E316-F316</f>
        <v>0</v>
      </c>
      <c r="I316" s="460"/>
    </row>
    <row r="317" spans="1:9" hidden="1" x14ac:dyDescent="0.25">
      <c r="A317" s="485">
        <v>549</v>
      </c>
      <c r="B317" s="489" t="s">
        <v>481</v>
      </c>
      <c r="C317" s="463">
        <f>C318</f>
        <v>0</v>
      </c>
      <c r="D317" s="463">
        <f>D318</f>
        <v>0</v>
      </c>
      <c r="E317" s="463">
        <f>+C317+D317</f>
        <v>0</v>
      </c>
      <c r="F317" s="463">
        <f>F318</f>
        <v>0</v>
      </c>
      <c r="G317" s="463">
        <f>G318</f>
        <v>0</v>
      </c>
      <c r="H317" s="463">
        <f>+E317-F317</f>
        <v>0</v>
      </c>
      <c r="I317" s="460"/>
    </row>
    <row r="318" spans="1:9" hidden="1" x14ac:dyDescent="0.25">
      <c r="A318" s="482">
        <v>54901</v>
      </c>
      <c r="B318" s="481" t="s">
        <v>481</v>
      </c>
      <c r="C318" s="464"/>
      <c r="D318" s="464">
        <f>'[4]Por organismos'!P321</f>
        <v>0</v>
      </c>
      <c r="E318" s="463">
        <f>+C318+D318</f>
        <v>0</v>
      </c>
      <c r="F318" s="464">
        <f>'[4]Por organismos'!X321</f>
        <v>0</v>
      </c>
      <c r="G318" s="464">
        <f>'[4]Por organismos'!AE321</f>
        <v>0</v>
      </c>
      <c r="H318" s="463">
        <f>+E318-F318</f>
        <v>0</v>
      </c>
      <c r="I318" s="460"/>
    </row>
    <row r="319" spans="1:9" x14ac:dyDescent="0.25">
      <c r="A319" s="486">
        <v>5500</v>
      </c>
      <c r="B319" s="491" t="s">
        <v>480</v>
      </c>
      <c r="C319" s="463">
        <f>C320</f>
        <v>0</v>
      </c>
      <c r="D319" s="463">
        <f>D320</f>
        <v>0</v>
      </c>
      <c r="E319" s="463">
        <f>+C319+D319</f>
        <v>0</v>
      </c>
      <c r="F319" s="463">
        <f>F320</f>
        <v>0</v>
      </c>
      <c r="G319" s="463">
        <f>G320</f>
        <v>0</v>
      </c>
      <c r="H319" s="463">
        <f>+E319-F319</f>
        <v>0</v>
      </c>
      <c r="I319" s="460"/>
    </row>
    <row r="320" spans="1:9" x14ac:dyDescent="0.25">
      <c r="A320" s="485">
        <v>551</v>
      </c>
      <c r="B320" s="491" t="s">
        <v>480</v>
      </c>
      <c r="C320" s="463">
        <f>C321</f>
        <v>0</v>
      </c>
      <c r="D320" s="463">
        <f>D321</f>
        <v>0</v>
      </c>
      <c r="E320" s="463">
        <f>+C320+D320</f>
        <v>0</v>
      </c>
      <c r="F320" s="463">
        <f>F321</f>
        <v>0</v>
      </c>
      <c r="G320" s="463">
        <f>G321</f>
        <v>0</v>
      </c>
      <c r="H320" s="463">
        <f>+E320-F320</f>
        <v>0</v>
      </c>
      <c r="I320" s="460"/>
    </row>
    <row r="321" spans="1:9" x14ac:dyDescent="0.25">
      <c r="A321" s="482">
        <v>55103</v>
      </c>
      <c r="B321" s="490" t="s">
        <v>479</v>
      </c>
      <c r="C321" s="464">
        <f>'[4]Por organismos'!I324</f>
        <v>0</v>
      </c>
      <c r="D321" s="464">
        <f>'[4]Por organismos'!P324</f>
        <v>0</v>
      </c>
      <c r="E321" s="463">
        <f>+C321+D321</f>
        <v>0</v>
      </c>
      <c r="F321" s="464">
        <f>'[4]Por organismos'!X324</f>
        <v>0</v>
      </c>
      <c r="G321" s="464">
        <f>'[4]Por organismos'!AE324</f>
        <v>0</v>
      </c>
      <c r="H321" s="463">
        <f>+E321-F321</f>
        <v>0</v>
      </c>
      <c r="I321" s="460"/>
    </row>
    <row r="322" spans="1:9" ht="26.25" customHeight="1" x14ac:dyDescent="0.25">
      <c r="A322" s="486">
        <v>5600</v>
      </c>
      <c r="B322" s="489" t="s">
        <v>478</v>
      </c>
      <c r="C322" s="463">
        <f>C323+C325+C327+C329+C331+C333</f>
        <v>0</v>
      </c>
      <c r="D322" s="463">
        <f>D323+D325+D327+D329+D331+D333</f>
        <v>314610.88</v>
      </c>
      <c r="E322" s="463">
        <f>+C322+D322</f>
        <v>314610.88</v>
      </c>
      <c r="F322" s="463">
        <f>F323+F325+F327+F329+F331+F333</f>
        <v>314203.24</v>
      </c>
      <c r="G322" s="463">
        <f>G323+G325+G327+G329+G331+G333</f>
        <v>314202.23999999999</v>
      </c>
      <c r="H322" s="463">
        <f>+E322-F322</f>
        <v>407.64000000001397</v>
      </c>
      <c r="I322" s="460">
        <f>+F322/E322</f>
        <v>0.99870430418681</v>
      </c>
    </row>
    <row r="323" spans="1:9" x14ac:dyDescent="0.25">
      <c r="A323" s="485">
        <v>562</v>
      </c>
      <c r="B323" s="489" t="s">
        <v>477</v>
      </c>
      <c r="C323" s="463">
        <f>C324</f>
        <v>0</v>
      </c>
      <c r="D323" s="463">
        <f>D324</f>
        <v>279610.88</v>
      </c>
      <c r="E323" s="463">
        <f>+C323+D323</f>
        <v>279610.88</v>
      </c>
      <c r="F323" s="463">
        <f>F324</f>
        <v>279610.88</v>
      </c>
      <c r="G323" s="463">
        <f>G324</f>
        <v>279609.88</v>
      </c>
      <c r="H323" s="463">
        <f>+E323-F323</f>
        <v>0</v>
      </c>
      <c r="I323" s="460">
        <f>+F323/E323</f>
        <v>1</v>
      </c>
    </row>
    <row r="324" spans="1:9" x14ac:dyDescent="0.25">
      <c r="A324" s="482">
        <v>56201</v>
      </c>
      <c r="B324" s="481" t="s">
        <v>477</v>
      </c>
      <c r="C324" s="464"/>
      <c r="D324" s="464">
        <f>'[4]Por organismos'!P327</f>
        <v>279610.88</v>
      </c>
      <c r="E324" s="463">
        <f>+C324+D324</f>
        <v>279610.88</v>
      </c>
      <c r="F324" s="464">
        <f>'[4]Por organismos'!X327</f>
        <v>279610.88</v>
      </c>
      <c r="G324" s="464">
        <f>'[4]Por organismos'!AE327</f>
        <v>279609.88</v>
      </c>
      <c r="H324" s="463">
        <f>+E324-F324</f>
        <v>0</v>
      </c>
      <c r="I324" s="460">
        <f>+F324/E324</f>
        <v>1</v>
      </c>
    </row>
    <row r="325" spans="1:9" ht="22.5" hidden="1" x14ac:dyDescent="0.25">
      <c r="A325" s="485">
        <v>564</v>
      </c>
      <c r="B325" s="489" t="s">
        <v>476</v>
      </c>
      <c r="C325" s="463">
        <f>C326</f>
        <v>0</v>
      </c>
      <c r="D325" s="463">
        <f>D326</f>
        <v>0</v>
      </c>
      <c r="E325" s="463">
        <f>+C325+D325</f>
        <v>0</v>
      </c>
      <c r="F325" s="463">
        <f>F326</f>
        <v>0</v>
      </c>
      <c r="G325" s="463">
        <f>G326</f>
        <v>0</v>
      </c>
      <c r="H325" s="463">
        <f>+E325-F325</f>
        <v>0</v>
      </c>
      <c r="I325" s="460" t="e">
        <f>+F325/E325</f>
        <v>#DIV/0!</v>
      </c>
    </row>
    <row r="326" spans="1:9" ht="22.5" hidden="1" x14ac:dyDescent="0.25">
      <c r="A326" s="482">
        <v>56401</v>
      </c>
      <c r="B326" s="481" t="s">
        <v>476</v>
      </c>
      <c r="C326" s="464"/>
      <c r="D326" s="464">
        <f>'[4]Por organismos'!P329</f>
        <v>0</v>
      </c>
      <c r="E326" s="463">
        <f>+C326+D326</f>
        <v>0</v>
      </c>
      <c r="F326" s="464">
        <f>'[4]Por organismos'!X329</f>
        <v>0</v>
      </c>
      <c r="G326" s="464">
        <f>'[4]Por organismos'!AE329</f>
        <v>0</v>
      </c>
      <c r="H326" s="463">
        <f>+E326-F326</f>
        <v>0</v>
      </c>
      <c r="I326" s="460" t="e">
        <f>+F326/E326</f>
        <v>#DIV/0!</v>
      </c>
    </row>
    <row r="327" spans="1:9" hidden="1" x14ac:dyDescent="0.25">
      <c r="A327" s="488">
        <v>565</v>
      </c>
      <c r="B327" s="484" t="s">
        <v>475</v>
      </c>
      <c r="C327" s="463">
        <f>C328</f>
        <v>0</v>
      </c>
      <c r="D327" s="463">
        <v>0</v>
      </c>
      <c r="E327" s="463">
        <f>+C327+D327</f>
        <v>0</v>
      </c>
      <c r="F327" s="463">
        <f>F328</f>
        <v>0</v>
      </c>
      <c r="G327" s="463">
        <f>G328</f>
        <v>0</v>
      </c>
      <c r="H327" s="463">
        <f>+E327-F327</f>
        <v>0</v>
      </c>
      <c r="I327" s="460" t="e">
        <f>+F327/E327</f>
        <v>#DIV/0!</v>
      </c>
    </row>
    <row r="328" spans="1:9" hidden="1" x14ac:dyDescent="0.25">
      <c r="A328" s="487">
        <v>56501</v>
      </c>
      <c r="B328" s="483" t="s">
        <v>475</v>
      </c>
      <c r="C328" s="464"/>
      <c r="D328" s="464">
        <f>'[4]Por organismos'!P331</f>
        <v>0</v>
      </c>
      <c r="E328" s="463">
        <f>+C328+D328</f>
        <v>0</v>
      </c>
      <c r="F328" s="464">
        <f>'[4]Por organismos'!X331</f>
        <v>0</v>
      </c>
      <c r="G328" s="464">
        <f>'[4]Por organismos'!AE331</f>
        <v>0</v>
      </c>
      <c r="H328" s="463">
        <f>+E328-F328</f>
        <v>0</v>
      </c>
      <c r="I328" s="460" t="e">
        <f>+F328/E328</f>
        <v>#DIV/0!</v>
      </c>
    </row>
    <row r="329" spans="1:9" ht="22.5" hidden="1" x14ac:dyDescent="0.25">
      <c r="A329" s="488">
        <v>566</v>
      </c>
      <c r="B329" s="484" t="s">
        <v>474</v>
      </c>
      <c r="C329" s="463">
        <f>C330</f>
        <v>0</v>
      </c>
      <c r="D329" s="463">
        <v>0</v>
      </c>
      <c r="E329" s="463">
        <f>+C329+D329</f>
        <v>0</v>
      </c>
      <c r="F329" s="463">
        <f>F330</f>
        <v>0</v>
      </c>
      <c r="G329" s="463">
        <f>G330</f>
        <v>0</v>
      </c>
      <c r="H329" s="463">
        <f>+E329-F329</f>
        <v>0</v>
      </c>
      <c r="I329" s="460" t="e">
        <f>+F329/E329</f>
        <v>#DIV/0!</v>
      </c>
    </row>
    <row r="330" spans="1:9" hidden="1" x14ac:dyDescent="0.25">
      <c r="A330" s="487">
        <v>56601</v>
      </c>
      <c r="B330" s="483" t="s">
        <v>473</v>
      </c>
      <c r="C330" s="464"/>
      <c r="D330" s="464">
        <f>'[4]Por organismos'!P333</f>
        <v>0</v>
      </c>
      <c r="E330" s="463">
        <f>+C330+D330</f>
        <v>0</v>
      </c>
      <c r="F330" s="464">
        <f>'[4]Por organismos'!X333</f>
        <v>0</v>
      </c>
      <c r="G330" s="464">
        <f>'[4]Por organismos'!AE333</f>
        <v>0</v>
      </c>
      <c r="H330" s="463">
        <f>+E330-F330</f>
        <v>0</v>
      </c>
      <c r="I330" s="460" t="e">
        <f>+F330/E330</f>
        <v>#DIV/0!</v>
      </c>
    </row>
    <row r="331" spans="1:9" hidden="1" x14ac:dyDescent="0.25">
      <c r="A331" s="488">
        <v>567</v>
      </c>
      <c r="B331" s="484" t="s">
        <v>472</v>
      </c>
      <c r="C331" s="463">
        <f>C332</f>
        <v>0</v>
      </c>
      <c r="D331" s="463">
        <f>D332</f>
        <v>0</v>
      </c>
      <c r="E331" s="463">
        <f>+C331+D331</f>
        <v>0</v>
      </c>
      <c r="F331" s="463">
        <f>F332</f>
        <v>0</v>
      </c>
      <c r="G331" s="463">
        <f>G332</f>
        <v>0</v>
      </c>
      <c r="H331" s="463">
        <f>+E331-F331</f>
        <v>0</v>
      </c>
      <c r="I331" s="460" t="e">
        <f>+F331/E331</f>
        <v>#DIV/0!</v>
      </c>
    </row>
    <row r="332" spans="1:9" hidden="1" x14ac:dyDescent="0.25">
      <c r="A332" s="487">
        <v>56701</v>
      </c>
      <c r="B332" s="483" t="s">
        <v>471</v>
      </c>
      <c r="C332" s="464"/>
      <c r="D332" s="464">
        <f>'[4]Por organismos'!P335</f>
        <v>0</v>
      </c>
      <c r="E332" s="463">
        <f>+C332+D332</f>
        <v>0</v>
      </c>
      <c r="F332" s="464">
        <f>'[4]Por organismos'!X335</f>
        <v>0</v>
      </c>
      <c r="G332" s="464">
        <f>'[4]Por organismos'!AE335</f>
        <v>0</v>
      </c>
      <c r="H332" s="463">
        <f>+E332-F332</f>
        <v>0</v>
      </c>
      <c r="I332" s="460" t="e">
        <f>+F332/E332</f>
        <v>#DIV/0!</v>
      </c>
    </row>
    <row r="333" spans="1:9" x14ac:dyDescent="0.25">
      <c r="A333" s="488">
        <v>569</v>
      </c>
      <c r="B333" s="484" t="s">
        <v>470</v>
      </c>
      <c r="C333" s="463">
        <f>C334+C335</f>
        <v>0</v>
      </c>
      <c r="D333" s="463">
        <f>D334+D335</f>
        <v>35000</v>
      </c>
      <c r="E333" s="463">
        <f>+C333+D333</f>
        <v>35000</v>
      </c>
      <c r="F333" s="463">
        <f>F334+F335</f>
        <v>34592.36</v>
      </c>
      <c r="G333" s="463">
        <f>G334+G335</f>
        <v>34592.36</v>
      </c>
      <c r="H333" s="463">
        <f>+E333-F333</f>
        <v>407.63999999999942</v>
      </c>
      <c r="I333" s="460">
        <f>+F333/E333</f>
        <v>0.98835314285714282</v>
      </c>
    </row>
    <row r="334" spans="1:9" ht="22.5" x14ac:dyDescent="0.25">
      <c r="A334" s="487">
        <v>56901</v>
      </c>
      <c r="B334" s="483" t="s">
        <v>469</v>
      </c>
      <c r="C334" s="464"/>
      <c r="D334" s="464">
        <f>'[4]Por organismos'!P337</f>
        <v>35000</v>
      </c>
      <c r="E334" s="463">
        <f>+C334+D334</f>
        <v>35000</v>
      </c>
      <c r="F334" s="464">
        <f>'[4]Por organismos'!X337</f>
        <v>34592.36</v>
      </c>
      <c r="G334" s="464">
        <f>'[4]Por organismos'!AE337</f>
        <v>34592.36</v>
      </c>
      <c r="H334" s="475">
        <f>+E334-F334</f>
        <v>407.63999999999942</v>
      </c>
      <c r="I334" s="460">
        <f>+F334/E334</f>
        <v>0.98835314285714282</v>
      </c>
    </row>
    <row r="335" spans="1:9" ht="22.5" x14ac:dyDescent="0.25">
      <c r="A335" s="487">
        <v>56902</v>
      </c>
      <c r="B335" s="483" t="s">
        <v>468</v>
      </c>
      <c r="C335" s="464"/>
      <c r="D335" s="464">
        <f>'[4]Por organismos'!P338</f>
        <v>0</v>
      </c>
      <c r="E335" s="463">
        <f>+C335+D335</f>
        <v>0</v>
      </c>
      <c r="F335" s="464">
        <f>'[4]Por organismos'!X338</f>
        <v>0</v>
      </c>
      <c r="G335" s="464">
        <f>'[4]Por organismos'!AE338</f>
        <v>0</v>
      </c>
      <c r="H335" s="463">
        <f>+E335-F335</f>
        <v>0</v>
      </c>
      <c r="I335" s="460"/>
    </row>
    <row r="336" spans="1:9" hidden="1" x14ac:dyDescent="0.25">
      <c r="A336" s="486">
        <v>5800</v>
      </c>
      <c r="B336" s="484" t="s">
        <v>156</v>
      </c>
      <c r="C336" s="464">
        <f>C337</f>
        <v>0</v>
      </c>
      <c r="D336" s="464">
        <v>0</v>
      </c>
      <c r="E336" s="463">
        <f>+C336+D336</f>
        <v>0</v>
      </c>
      <c r="F336" s="464">
        <f>F337</f>
        <v>0</v>
      </c>
      <c r="G336" s="464">
        <f>G337</f>
        <v>0</v>
      </c>
      <c r="H336" s="463">
        <f>+E336-F336</f>
        <v>0</v>
      </c>
      <c r="I336" s="460" t="e">
        <f>+F336/E336</f>
        <v>#DIV/0!</v>
      </c>
    </row>
    <row r="337" spans="1:12" hidden="1" x14ac:dyDescent="0.25">
      <c r="A337" s="485">
        <v>581</v>
      </c>
      <c r="B337" s="484" t="s">
        <v>467</v>
      </c>
      <c r="C337" s="464">
        <f>C338</f>
        <v>0</v>
      </c>
      <c r="D337" s="464">
        <v>0</v>
      </c>
      <c r="E337" s="463">
        <f>+C337+D337</f>
        <v>0</v>
      </c>
      <c r="F337" s="464">
        <f>F338</f>
        <v>0</v>
      </c>
      <c r="G337" s="464">
        <f>G338</f>
        <v>0</v>
      </c>
      <c r="H337" s="463">
        <f>+E337-F337</f>
        <v>0</v>
      </c>
      <c r="I337" s="460" t="e">
        <f>+F337/E337</f>
        <v>#DIV/0!</v>
      </c>
    </row>
    <row r="338" spans="1:12" hidden="1" x14ac:dyDescent="0.25">
      <c r="A338" s="482">
        <v>58101</v>
      </c>
      <c r="B338" s="483" t="s">
        <v>467</v>
      </c>
      <c r="C338" s="464"/>
      <c r="D338" s="464">
        <f>'[4]Por organismos'!P341</f>
        <v>0</v>
      </c>
      <c r="E338" s="463">
        <f>+C338+D338</f>
        <v>0</v>
      </c>
      <c r="F338" s="464">
        <f>'[4]Por organismos'!X341</f>
        <v>0</v>
      </c>
      <c r="G338" s="464">
        <f>'[4]Por organismos'!AE341</f>
        <v>0</v>
      </c>
      <c r="H338" s="463">
        <f>+E338-F338</f>
        <v>0</v>
      </c>
      <c r="I338" s="460" t="e">
        <f>+F338/E338</f>
        <v>#DIV/0!</v>
      </c>
    </row>
    <row r="339" spans="1:12" hidden="1" x14ac:dyDescent="0.25">
      <c r="A339" s="486">
        <v>5900</v>
      </c>
      <c r="B339" s="484" t="s">
        <v>466</v>
      </c>
      <c r="C339" s="463">
        <f>C340</f>
        <v>0</v>
      </c>
      <c r="D339" s="463">
        <v>0</v>
      </c>
      <c r="E339" s="463">
        <f>+C339+D339</f>
        <v>0</v>
      </c>
      <c r="F339" s="463">
        <f>F340</f>
        <v>0</v>
      </c>
      <c r="G339" s="463">
        <f>G340</f>
        <v>0</v>
      </c>
      <c r="H339" s="463">
        <f>+E339-F339</f>
        <v>0</v>
      </c>
      <c r="I339" s="460" t="e">
        <f>+F339/E339</f>
        <v>#DIV/0!</v>
      </c>
    </row>
    <row r="340" spans="1:12" hidden="1" x14ac:dyDescent="0.25">
      <c r="A340" s="485">
        <v>591</v>
      </c>
      <c r="B340" s="484" t="s">
        <v>465</v>
      </c>
      <c r="C340" s="463">
        <f>C341</f>
        <v>0</v>
      </c>
      <c r="D340" s="463">
        <v>0</v>
      </c>
      <c r="E340" s="463">
        <f>+C340+D340</f>
        <v>0</v>
      </c>
      <c r="F340" s="463">
        <f>F341</f>
        <v>0</v>
      </c>
      <c r="G340" s="463">
        <f>G341</f>
        <v>0</v>
      </c>
      <c r="H340" s="463">
        <f>+E340-F340</f>
        <v>0</v>
      </c>
      <c r="I340" s="460" t="e">
        <f>+F340/E340</f>
        <v>#DIV/0!</v>
      </c>
    </row>
    <row r="341" spans="1:12" hidden="1" x14ac:dyDescent="0.25">
      <c r="A341" s="482">
        <v>59101</v>
      </c>
      <c r="B341" s="483" t="s">
        <v>465</v>
      </c>
      <c r="C341" s="464">
        <v>0</v>
      </c>
      <c r="D341" s="464">
        <f>'[4]Por organismos'!P344</f>
        <v>0</v>
      </c>
      <c r="E341" s="463">
        <f>+C341+D341</f>
        <v>0</v>
      </c>
      <c r="F341" s="464">
        <f>'[4]Por organismos'!X344</f>
        <v>0</v>
      </c>
      <c r="G341" s="464">
        <f>'[4]Por organismos'!AE344</f>
        <v>0</v>
      </c>
      <c r="H341" s="463">
        <f>+E341-F341</f>
        <v>0</v>
      </c>
      <c r="I341" s="460" t="e">
        <f>+F341/E341</f>
        <v>#DIV/0!</v>
      </c>
    </row>
    <row r="342" spans="1:12" x14ac:dyDescent="0.25">
      <c r="A342" s="482"/>
      <c r="B342" s="481"/>
      <c r="C342" s="464">
        <v>0</v>
      </c>
      <c r="D342" s="464">
        <v>0</v>
      </c>
      <c r="E342" s="463">
        <f>+C342+D342</f>
        <v>0</v>
      </c>
      <c r="F342" s="464"/>
      <c r="G342" s="464"/>
      <c r="H342" s="463">
        <f>+E342-F342</f>
        <v>0</v>
      </c>
      <c r="I342" s="460"/>
    </row>
    <row r="343" spans="1:12" x14ac:dyDescent="0.25">
      <c r="A343" s="469">
        <v>6000</v>
      </c>
      <c r="B343" s="474" t="s">
        <v>464</v>
      </c>
      <c r="C343" s="463">
        <f>C344+C365</f>
        <v>215211231</v>
      </c>
      <c r="D343" s="463">
        <f>D344+D365</f>
        <v>181992760.80000001</v>
      </c>
      <c r="E343" s="463">
        <f>+C343+D343</f>
        <v>397203991.80000001</v>
      </c>
      <c r="F343" s="480">
        <f>F344+F365</f>
        <v>130364245.41999999</v>
      </c>
      <c r="G343" s="463">
        <f>G344+G365</f>
        <v>127107858.33</v>
      </c>
      <c r="H343" s="463">
        <f>+E343-F343</f>
        <v>266839746.38000003</v>
      </c>
      <c r="I343" s="460">
        <f>+F343/E343</f>
        <v>0.32820477163190481</v>
      </c>
      <c r="L343" s="479"/>
    </row>
    <row r="344" spans="1:12" x14ac:dyDescent="0.25">
      <c r="A344" s="472"/>
      <c r="B344" s="474" t="s">
        <v>463</v>
      </c>
      <c r="C344" s="463">
        <f>C345+C360</f>
        <v>70105912</v>
      </c>
      <c r="D344" s="463">
        <f>D345+D360</f>
        <v>74932029.299999997</v>
      </c>
      <c r="E344" s="463">
        <f>+C344+D344</f>
        <v>145037941.30000001</v>
      </c>
      <c r="F344" s="463">
        <f>F345+F360</f>
        <v>98891348.319999993</v>
      </c>
      <c r="G344" s="463">
        <f>G345+G360</f>
        <v>96469572.030000001</v>
      </c>
      <c r="H344" s="463">
        <f>+E344-F344</f>
        <v>46146592.980000019</v>
      </c>
      <c r="I344" s="460">
        <f>+F344/E344</f>
        <v>0.68183088806707981</v>
      </c>
    </row>
    <row r="345" spans="1:12" ht="23.25" customHeight="1" x14ac:dyDescent="0.25">
      <c r="A345" s="469">
        <v>6100</v>
      </c>
      <c r="B345" s="474" t="s">
        <v>457</v>
      </c>
      <c r="C345" s="463">
        <f>C346+C352</f>
        <v>70105912</v>
      </c>
      <c r="D345" s="463">
        <f>D346+D352</f>
        <v>74932029.299999997</v>
      </c>
      <c r="E345" s="463">
        <f>+C345+D345</f>
        <v>145037941.30000001</v>
      </c>
      <c r="F345" s="463">
        <f>F346+F352</f>
        <v>98891348.319999993</v>
      </c>
      <c r="G345" s="463">
        <f>G346+G352</f>
        <v>96469572.030000001</v>
      </c>
      <c r="H345" s="463">
        <f>+E345-F345</f>
        <v>46146592.980000019</v>
      </c>
      <c r="I345" s="460">
        <f>+F345/E345</f>
        <v>0.68183088806707981</v>
      </c>
    </row>
    <row r="346" spans="1:12" ht="50.25" customHeight="1" x14ac:dyDescent="0.25">
      <c r="A346" s="472">
        <v>613</v>
      </c>
      <c r="B346" s="474" t="s">
        <v>456</v>
      </c>
      <c r="C346" s="463">
        <f>SUM(C348:C351)</f>
        <v>0</v>
      </c>
      <c r="D346" s="463">
        <f>SUM(D347:D351)</f>
        <v>11036259.199999999</v>
      </c>
      <c r="E346" s="463">
        <f>+C346+D346</f>
        <v>11036259.199999999</v>
      </c>
      <c r="F346" s="463">
        <f>SUM(F348:F351)</f>
        <v>1557703.1</v>
      </c>
      <c r="G346" s="463">
        <f>SUM(G348:G351)</f>
        <v>1307703.1000000001</v>
      </c>
      <c r="H346" s="463">
        <f>+E346-F346</f>
        <v>9478556.0999999996</v>
      </c>
      <c r="I346" s="460">
        <f>+F346/E346</f>
        <v>0.14114412064551729</v>
      </c>
    </row>
    <row r="347" spans="1:12" ht="50.25" customHeight="1" x14ac:dyDescent="0.25">
      <c r="A347" s="470">
        <v>61303</v>
      </c>
      <c r="B347" s="478" t="s">
        <v>455</v>
      </c>
      <c r="C347" s="463">
        <v>0</v>
      </c>
      <c r="D347" s="464">
        <v>9478556.0999999996</v>
      </c>
      <c r="E347" s="464">
        <f>+C347+D347</f>
        <v>9478556.0999999996</v>
      </c>
      <c r="F347" s="463"/>
      <c r="G347" s="463"/>
      <c r="H347" s="463"/>
      <c r="I347" s="460">
        <f>+F347/E347</f>
        <v>0</v>
      </c>
    </row>
    <row r="348" spans="1:12" ht="22.5" x14ac:dyDescent="0.25">
      <c r="A348" s="470">
        <v>61305</v>
      </c>
      <c r="B348" s="473" t="s">
        <v>454</v>
      </c>
      <c r="C348" s="464">
        <f>'[4]Por organismos'!I351</f>
        <v>0</v>
      </c>
      <c r="D348" s="464">
        <f>'[4]Por organismos'!P351</f>
        <v>1557703.1</v>
      </c>
      <c r="E348" s="463">
        <f>+C348+D348</f>
        <v>1557703.1</v>
      </c>
      <c r="F348" s="464">
        <f>'[4]Por organismos'!X351</f>
        <v>1557703.1</v>
      </c>
      <c r="G348" s="464">
        <f>'[4]Por organismos'!AE351</f>
        <v>1307703.1000000001</v>
      </c>
      <c r="H348" s="463">
        <f>+E348-F348</f>
        <v>0</v>
      </c>
      <c r="I348" s="460">
        <f>+F348/E348</f>
        <v>1</v>
      </c>
    </row>
    <row r="349" spans="1:12" ht="22.5" x14ac:dyDescent="0.25">
      <c r="A349" s="470">
        <v>61309</v>
      </c>
      <c r="B349" s="473" t="s">
        <v>462</v>
      </c>
      <c r="C349" s="464">
        <f>'[4]Por organismos'!I352</f>
        <v>0</v>
      </c>
      <c r="D349" s="464">
        <f>'[4]Por organismos'!P352</f>
        <v>0</v>
      </c>
      <c r="E349" s="463">
        <f>+C349+D349</f>
        <v>0</v>
      </c>
      <c r="F349" s="464">
        <f>'[4]Por organismos'!X352</f>
        <v>0</v>
      </c>
      <c r="G349" s="464">
        <f>'[4]Por organismos'!AE352</f>
        <v>0</v>
      </c>
      <c r="H349" s="463">
        <f>+E349-F349</f>
        <v>0</v>
      </c>
      <c r="I349" s="460"/>
    </row>
    <row r="350" spans="1:12" ht="22.5" x14ac:dyDescent="0.25">
      <c r="A350" s="470">
        <v>61310</v>
      </c>
      <c r="B350" s="473" t="s">
        <v>452</v>
      </c>
      <c r="C350" s="464">
        <f>'[4]Por organismos'!I353</f>
        <v>0</v>
      </c>
      <c r="D350" s="464">
        <f>'[4]Por organismos'!P353</f>
        <v>0</v>
      </c>
      <c r="E350" s="463">
        <f>+C350+D350</f>
        <v>0</v>
      </c>
      <c r="F350" s="464">
        <f>'[4]Por organismos'!X353</f>
        <v>0</v>
      </c>
      <c r="G350" s="464">
        <f>'[4]Por organismos'!AE353</f>
        <v>0</v>
      </c>
      <c r="H350" s="463">
        <f>+E350-F350</f>
        <v>0</v>
      </c>
      <c r="I350" s="460"/>
    </row>
    <row r="351" spans="1:12" x14ac:dyDescent="0.25">
      <c r="A351" s="470">
        <v>61315</v>
      </c>
      <c r="B351" s="473" t="s">
        <v>450</v>
      </c>
      <c r="C351" s="464">
        <f>'[4]Por organismos'!I354</f>
        <v>0</v>
      </c>
      <c r="D351" s="464">
        <f>'[4]Por organismos'!P354</f>
        <v>0</v>
      </c>
      <c r="E351" s="463">
        <f>+C351+D351</f>
        <v>0</v>
      </c>
      <c r="F351" s="464">
        <f>'[4]Por organismos'!X354</f>
        <v>0</v>
      </c>
      <c r="G351" s="464">
        <f>'[4]Por organismos'!AE354</f>
        <v>0</v>
      </c>
      <c r="H351" s="463">
        <f>+E351-F351</f>
        <v>0</v>
      </c>
      <c r="I351" s="460"/>
    </row>
    <row r="352" spans="1:12" ht="33.75" x14ac:dyDescent="0.25">
      <c r="A352" s="472">
        <v>614</v>
      </c>
      <c r="B352" s="474" t="s">
        <v>449</v>
      </c>
      <c r="C352" s="463">
        <f>SUM(C353:C359)</f>
        <v>70105912</v>
      </c>
      <c r="D352" s="463">
        <f>SUM(D353:D359)</f>
        <v>63895770.099999994</v>
      </c>
      <c r="E352" s="463">
        <f>+C352+D352</f>
        <v>134001682.09999999</v>
      </c>
      <c r="F352" s="463">
        <f>SUM(F353:F359)</f>
        <v>97333645.219999999</v>
      </c>
      <c r="G352" s="463">
        <f>SUM(G353:G359)</f>
        <v>95161868.930000007</v>
      </c>
      <c r="H352" s="463">
        <f>+E352-F352</f>
        <v>36668036.879999995</v>
      </c>
      <c r="I352" s="460">
        <f>+F352/E352</f>
        <v>0.72636136871299772</v>
      </c>
    </row>
    <row r="353" spans="1:9" x14ac:dyDescent="0.25">
      <c r="A353" s="470">
        <v>61404</v>
      </c>
      <c r="B353" s="473" t="s">
        <v>459</v>
      </c>
      <c r="C353" s="464">
        <f>'[4]Por organismos'!I356</f>
        <v>0</v>
      </c>
      <c r="D353" s="464">
        <f>'[4]Por organismos'!P356</f>
        <v>0</v>
      </c>
      <c r="E353" s="463">
        <f>+C353+D353</f>
        <v>0</v>
      </c>
      <c r="F353" s="464">
        <f>'[4]Por organismos'!X356</f>
        <v>0</v>
      </c>
      <c r="G353" s="464">
        <f>'[4]Por organismos'!AE356</f>
        <v>0</v>
      </c>
      <c r="H353" s="463">
        <f>+E353-F353</f>
        <v>0</v>
      </c>
      <c r="I353" s="460"/>
    </row>
    <row r="354" spans="1:9" x14ac:dyDescent="0.25">
      <c r="A354" s="470">
        <v>61406</v>
      </c>
      <c r="B354" s="473" t="s">
        <v>448</v>
      </c>
      <c r="C354" s="464">
        <f>'[4]Por organismos'!I358</f>
        <v>0</v>
      </c>
      <c r="D354" s="464">
        <f>'[4]Por organismos'!P358</f>
        <v>2904928</v>
      </c>
      <c r="E354" s="463">
        <f>+C354+D354</f>
        <v>2904928</v>
      </c>
      <c r="F354" s="464">
        <f>'[4]Por organismos'!X358</f>
        <v>2903324.51</v>
      </c>
      <c r="G354" s="464">
        <f>'[4]Por organismos'!AE358</f>
        <v>2903324.51</v>
      </c>
      <c r="H354" s="463">
        <f>+E354-F354</f>
        <v>1603.4900000002235</v>
      </c>
      <c r="I354" s="460">
        <f>+F354/E354</f>
        <v>0.99944801041540432</v>
      </c>
    </row>
    <row r="355" spans="1:9" ht="22.5" x14ac:dyDescent="0.25">
      <c r="A355" s="470">
        <v>61408</v>
      </c>
      <c r="B355" s="473" t="s">
        <v>447</v>
      </c>
      <c r="C355" s="464">
        <f>'[4]Por organismos'!I359</f>
        <v>65729421</v>
      </c>
      <c r="D355" s="464">
        <f>'[4]Por organismos'!P359</f>
        <v>27416203</v>
      </c>
      <c r="E355" s="463">
        <f>+C355+D355</f>
        <v>93145624</v>
      </c>
      <c r="F355" s="464">
        <f>'[4]Por organismos'!X359</f>
        <v>59062081.759999998</v>
      </c>
      <c r="G355" s="464">
        <f>'[4]Por organismos'!AE359</f>
        <v>59062057.770000003</v>
      </c>
      <c r="H355" s="463">
        <f>+E355-F355</f>
        <v>34083542.240000002</v>
      </c>
      <c r="I355" s="460">
        <f>+F355/E355</f>
        <v>0.63408326901111312</v>
      </c>
    </row>
    <row r="356" spans="1:9" ht="22.5" x14ac:dyDescent="0.25">
      <c r="A356" s="470">
        <v>61409</v>
      </c>
      <c r="B356" s="473" t="s">
        <v>446</v>
      </c>
      <c r="C356" s="464">
        <f>'[4]Por organismos'!I360</f>
        <v>4376491</v>
      </c>
      <c r="D356" s="464">
        <f>'[4]Por organismos'!P360</f>
        <v>33268956.299999997</v>
      </c>
      <c r="E356" s="463">
        <f>+C356+D356</f>
        <v>37645447.299999997</v>
      </c>
      <c r="F356" s="464">
        <f>'[4]Por organismos'!X360</f>
        <v>35110771.950000003</v>
      </c>
      <c r="G356" s="464">
        <f>'[4]Por organismos'!AE360</f>
        <v>32939019.649999999</v>
      </c>
      <c r="H356" s="463">
        <f>+E356-F356</f>
        <v>2534675.349999994</v>
      </c>
      <c r="I356" s="460">
        <f>+F356/E356</f>
        <v>0.93266980387293752</v>
      </c>
    </row>
    <row r="357" spans="1:9" x14ac:dyDescent="0.25">
      <c r="A357" s="470">
        <v>61415</v>
      </c>
      <c r="B357" s="473" t="s">
        <v>445</v>
      </c>
      <c r="C357" s="464">
        <f>'[4]Por organismos'!I361</f>
        <v>0</v>
      </c>
      <c r="D357" s="464">
        <f>'[4]Por organismos'!P361</f>
        <v>0</v>
      </c>
      <c r="E357" s="463">
        <f>+C357+D357</f>
        <v>0</v>
      </c>
      <c r="F357" s="464">
        <f>'[4]Por organismos'!X361</f>
        <v>0</v>
      </c>
      <c r="G357" s="464">
        <f>'[4]Por organismos'!AE361</f>
        <v>0</v>
      </c>
      <c r="H357" s="463">
        <f>+E357-F357</f>
        <v>0</v>
      </c>
      <c r="I357" s="460"/>
    </row>
    <row r="358" spans="1:9" ht="22.5" x14ac:dyDescent="0.25">
      <c r="A358" s="466">
        <v>61424</v>
      </c>
      <c r="B358" s="465" t="s">
        <v>444</v>
      </c>
      <c r="C358" s="464">
        <f>'[4]Por organismos'!I362</f>
        <v>0</v>
      </c>
      <c r="D358" s="464">
        <f>'[4]Por organismos'!P362</f>
        <v>0</v>
      </c>
      <c r="E358" s="463">
        <f>+C358+D358</f>
        <v>0</v>
      </c>
      <c r="F358" s="464">
        <f>'[4]Por organismos'!X362</f>
        <v>0</v>
      </c>
      <c r="G358" s="464">
        <f>'[4]Por organismos'!AE362</f>
        <v>0</v>
      </c>
      <c r="H358" s="463">
        <f>+E358-F358</f>
        <v>0</v>
      </c>
      <c r="I358" s="460"/>
    </row>
    <row r="359" spans="1:9" x14ac:dyDescent="0.25">
      <c r="A359" s="466">
        <v>61425</v>
      </c>
      <c r="B359" s="465" t="s">
        <v>443</v>
      </c>
      <c r="C359" s="464">
        <f>'[4]Por organismos'!I363</f>
        <v>0</v>
      </c>
      <c r="D359" s="464">
        <f>'[4]Por organismos'!P363</f>
        <v>305682.80000000005</v>
      </c>
      <c r="E359" s="463">
        <f>+C359+D359</f>
        <v>305682.80000000005</v>
      </c>
      <c r="F359" s="464">
        <f>'[4]Por organismos'!X363</f>
        <v>257467</v>
      </c>
      <c r="G359" s="464">
        <f>'[4]Por organismos'!AE363</f>
        <v>257467</v>
      </c>
      <c r="H359" s="463">
        <f>+E359-F359</f>
        <v>48215.800000000047</v>
      </c>
      <c r="I359" s="460">
        <f>+F359/E359</f>
        <v>0.84226852148697917</v>
      </c>
    </row>
    <row r="360" spans="1:9" x14ac:dyDescent="0.25">
      <c r="A360" s="477">
        <v>6200</v>
      </c>
      <c r="B360" s="467" t="s">
        <v>461</v>
      </c>
      <c r="C360" s="463">
        <f>C361</f>
        <v>0</v>
      </c>
      <c r="D360" s="463">
        <f>D361</f>
        <v>0</v>
      </c>
      <c r="E360" s="463">
        <f>+C360+D360</f>
        <v>0</v>
      </c>
      <c r="F360" s="463">
        <f>F361</f>
        <v>0</v>
      </c>
      <c r="G360" s="463">
        <f>G361</f>
        <v>0</v>
      </c>
      <c r="H360" s="463">
        <f>+E360-F360</f>
        <v>0</v>
      </c>
      <c r="I360" s="460"/>
    </row>
    <row r="361" spans="1:9" ht="33.75" x14ac:dyDescent="0.25">
      <c r="A361" s="472">
        <v>624</v>
      </c>
      <c r="B361" s="467" t="s">
        <v>460</v>
      </c>
      <c r="C361" s="463">
        <f>C362+C363</f>
        <v>0</v>
      </c>
      <c r="D361" s="463">
        <f>D362+D363</f>
        <v>0</v>
      </c>
      <c r="E361" s="463">
        <f>+C361+D361</f>
        <v>0</v>
      </c>
      <c r="F361" s="463">
        <f>F362+F363</f>
        <v>0</v>
      </c>
      <c r="G361" s="463">
        <f>G362+G363</f>
        <v>0</v>
      </c>
      <c r="H361" s="463">
        <f>+E361-F361</f>
        <v>0</v>
      </c>
      <c r="I361" s="460"/>
    </row>
    <row r="362" spans="1:9" x14ac:dyDescent="0.25">
      <c r="A362" s="466">
        <v>62404</v>
      </c>
      <c r="B362" s="465" t="s">
        <v>459</v>
      </c>
      <c r="C362" s="464">
        <f>'[4]Por organismos'!I366</f>
        <v>0</v>
      </c>
      <c r="D362" s="464">
        <f>'[4]Por organismos'!P366</f>
        <v>0</v>
      </c>
      <c r="E362" s="463">
        <f>+C362+D362</f>
        <v>0</v>
      </c>
      <c r="F362" s="464">
        <f>'[4]Por organismos'!X366</f>
        <v>0</v>
      </c>
      <c r="G362" s="464">
        <f>'[4]Por organismos'!AE366</f>
        <v>0</v>
      </c>
      <c r="H362" s="463">
        <f>+E362-F362</f>
        <v>0</v>
      </c>
      <c r="I362" s="460"/>
    </row>
    <row r="363" spans="1:9" x14ac:dyDescent="0.25">
      <c r="A363" s="466">
        <v>61406</v>
      </c>
      <c r="B363" s="465" t="s">
        <v>448</v>
      </c>
      <c r="C363" s="464">
        <f>'[4]Por organismos'!I367</f>
        <v>0</v>
      </c>
      <c r="D363" s="464">
        <f>'[4]Por organismos'!P367</f>
        <v>0</v>
      </c>
      <c r="E363" s="463">
        <f>+C363+D363</f>
        <v>0</v>
      </c>
      <c r="F363" s="464">
        <f>'[4]Por organismos'!X367</f>
        <v>0</v>
      </c>
      <c r="G363" s="464">
        <f>'[4]Por organismos'!AE367</f>
        <v>0</v>
      </c>
      <c r="H363" s="463">
        <f>+E363-F363</f>
        <v>0</v>
      </c>
      <c r="I363" s="460"/>
    </row>
    <row r="364" spans="1:9" x14ac:dyDescent="0.25">
      <c r="A364" s="466"/>
      <c r="B364" s="465"/>
      <c r="C364" s="464"/>
      <c r="D364" s="464">
        <v>0</v>
      </c>
      <c r="E364" s="463">
        <f>+C364+D364</f>
        <v>0</v>
      </c>
      <c r="F364" s="464"/>
      <c r="G364" s="464"/>
      <c r="H364" s="463">
        <f>+E364-F364</f>
        <v>0</v>
      </c>
      <c r="I364" s="460"/>
    </row>
    <row r="365" spans="1:9" x14ac:dyDescent="0.25">
      <c r="A365" s="476"/>
      <c r="B365" s="477" t="s">
        <v>458</v>
      </c>
      <c r="C365" s="463">
        <f>C366</f>
        <v>145105319</v>
      </c>
      <c r="D365" s="463">
        <f>D366</f>
        <v>107060731.5</v>
      </c>
      <c r="E365" s="463">
        <f>+C365+D365</f>
        <v>252166050.5</v>
      </c>
      <c r="F365" s="463">
        <f>F366</f>
        <v>31472897.100000001</v>
      </c>
      <c r="G365" s="463">
        <f>G366</f>
        <v>30638286.300000001</v>
      </c>
      <c r="H365" s="463">
        <f>+E365-F365</f>
        <v>220693153.40000001</v>
      </c>
      <c r="I365" s="460">
        <f>+F365/E365</f>
        <v>0.12481020755012381</v>
      </c>
    </row>
    <row r="366" spans="1:9" ht="23.25" customHeight="1" x14ac:dyDescent="0.25">
      <c r="A366" s="477">
        <v>6100</v>
      </c>
      <c r="B366" s="467" t="s">
        <v>457</v>
      </c>
      <c r="C366" s="463">
        <f>C367+C374</f>
        <v>145105319</v>
      </c>
      <c r="D366" s="463">
        <f>D367+D374</f>
        <v>107060731.5</v>
      </c>
      <c r="E366" s="463">
        <f>+C366+D366</f>
        <v>252166050.5</v>
      </c>
      <c r="F366" s="463">
        <f>F367+F374</f>
        <v>31472897.100000001</v>
      </c>
      <c r="G366" s="463">
        <f>G367+G374</f>
        <v>30638286.300000001</v>
      </c>
      <c r="H366" s="463">
        <f>+E366-F366</f>
        <v>220693153.40000001</v>
      </c>
      <c r="I366" s="460">
        <f>+F366/E366</f>
        <v>0.12481020755012381</v>
      </c>
    </row>
    <row r="367" spans="1:9" ht="45" x14ac:dyDescent="0.25">
      <c r="A367" s="476">
        <v>613</v>
      </c>
      <c r="B367" s="474" t="s">
        <v>456</v>
      </c>
      <c r="C367" s="463">
        <f>SUM(C369:C373)+C368</f>
        <v>50175553</v>
      </c>
      <c r="D367" s="463">
        <f>SUM(D369:D373)+D368</f>
        <v>75600466.24000001</v>
      </c>
      <c r="E367" s="463">
        <f>+C367+D367</f>
        <v>125776019.24000001</v>
      </c>
      <c r="F367" s="463">
        <f>SUM(F369:F373)</f>
        <v>578139.6</v>
      </c>
      <c r="G367" s="463">
        <f>SUM(G369:G373)</f>
        <v>578139.6</v>
      </c>
      <c r="H367" s="463">
        <f>+E367-F367</f>
        <v>125197879.64000002</v>
      </c>
      <c r="I367" s="460">
        <f>+F367/E367</f>
        <v>4.5965805206223025E-3</v>
      </c>
    </row>
    <row r="368" spans="1:9" ht="22.5" x14ac:dyDescent="0.25">
      <c r="A368" s="466">
        <v>61303</v>
      </c>
      <c r="B368" s="473" t="s">
        <v>455</v>
      </c>
      <c r="C368" s="464">
        <f>'[4]Por organismos'!I372</f>
        <v>50175553</v>
      </c>
      <c r="D368" s="464">
        <f>'[4]Por organismos'!P372</f>
        <v>25000000</v>
      </c>
      <c r="E368" s="463">
        <f>+C368+D368</f>
        <v>75175553</v>
      </c>
      <c r="F368" s="463">
        <f>'[4]Por organismos'!X372</f>
        <v>0</v>
      </c>
      <c r="G368" s="463">
        <f>'[4]Por organismos'!AE372</f>
        <v>0</v>
      </c>
      <c r="H368" s="463">
        <f>+E368-F368</f>
        <v>75175553</v>
      </c>
      <c r="I368" s="460">
        <f>+F368/E368</f>
        <v>0</v>
      </c>
    </row>
    <row r="369" spans="1:12" ht="22.5" x14ac:dyDescent="0.25">
      <c r="A369" s="466">
        <v>61305</v>
      </c>
      <c r="B369" s="473" t="s">
        <v>454</v>
      </c>
      <c r="C369" s="464">
        <f>'[4]Por organismos'!I373</f>
        <v>0</v>
      </c>
      <c r="D369" s="464">
        <f>'[4]Por organismos'!P373</f>
        <v>500000</v>
      </c>
      <c r="E369" s="463">
        <f>+C369+D369</f>
        <v>500000</v>
      </c>
      <c r="F369" s="464">
        <f>'[4]Por organismos'!X373</f>
        <v>500000</v>
      </c>
      <c r="G369" s="464">
        <f>'[4]Por organismos'!AE373</f>
        <v>500000</v>
      </c>
      <c r="H369" s="463">
        <f>+E369-F369</f>
        <v>0</v>
      </c>
      <c r="I369" s="460">
        <f>+F369/E369</f>
        <v>1</v>
      </c>
    </row>
    <row r="370" spans="1:12" ht="22.5" x14ac:dyDescent="0.25">
      <c r="A370" s="466">
        <v>61306</v>
      </c>
      <c r="B370" s="473" t="s">
        <v>453</v>
      </c>
      <c r="C370" s="464">
        <f>'[4]Por organismos'!C374</f>
        <v>0</v>
      </c>
      <c r="D370" s="464">
        <f>'[4]Por organismos'!J374</f>
        <v>49641894.82</v>
      </c>
      <c r="E370" s="463">
        <f>+C370+D370</f>
        <v>49641894.82</v>
      </c>
      <c r="F370" s="464">
        <f>'[4]Por organismos'!R374</f>
        <v>78139.600000000006</v>
      </c>
      <c r="G370" s="464">
        <f>'[4]Por organismos'!Y374</f>
        <v>78139.600000000006</v>
      </c>
      <c r="H370" s="463">
        <f>+E370-F370</f>
        <v>49563755.219999999</v>
      </c>
      <c r="I370" s="460">
        <f>+F370/E370</f>
        <v>1.5740656210511668E-3</v>
      </c>
    </row>
    <row r="371" spans="1:12" ht="22.5" x14ac:dyDescent="0.25">
      <c r="A371" s="466">
        <v>61310</v>
      </c>
      <c r="B371" s="473" t="s">
        <v>452</v>
      </c>
      <c r="C371" s="464">
        <f>'[4]Por organismos'!I375</f>
        <v>0</v>
      </c>
      <c r="D371" s="464">
        <f>'[4]Por organismos'!P375</f>
        <v>0</v>
      </c>
      <c r="E371" s="463">
        <f>+C371+D371</f>
        <v>0</v>
      </c>
      <c r="F371" s="464">
        <f>'[4]Por organismos'!X375</f>
        <v>0</v>
      </c>
      <c r="G371" s="464">
        <f>'[4]Por organismos'!AE375</f>
        <v>0</v>
      </c>
      <c r="H371" s="463">
        <f>+E371-F371</f>
        <v>0</v>
      </c>
      <c r="I371" s="460"/>
      <c r="K371" s="445"/>
      <c r="L371" s="445"/>
    </row>
    <row r="372" spans="1:12" ht="33.75" x14ac:dyDescent="0.25">
      <c r="A372" s="466">
        <v>61313</v>
      </c>
      <c r="B372" s="473" t="s">
        <v>451</v>
      </c>
      <c r="C372" s="464">
        <f>'[4]Por organismos'!I376</f>
        <v>0</v>
      </c>
      <c r="D372" s="464">
        <f>'[4]Por organismos'!P376</f>
        <v>458571.42</v>
      </c>
      <c r="E372" s="463">
        <f>+C372+D372</f>
        <v>458571.42</v>
      </c>
      <c r="F372" s="464">
        <f>'[4]Por organismos'!X376</f>
        <v>0</v>
      </c>
      <c r="G372" s="464">
        <f>'[4]Por organismos'!AE376</f>
        <v>0</v>
      </c>
      <c r="H372" s="463">
        <f>+E372-F372</f>
        <v>458571.42</v>
      </c>
      <c r="I372" s="460">
        <f>+F372/E372</f>
        <v>0</v>
      </c>
    </row>
    <row r="373" spans="1:12" x14ac:dyDescent="0.25">
      <c r="A373" s="466">
        <v>61315</v>
      </c>
      <c r="B373" s="473" t="s">
        <v>450</v>
      </c>
      <c r="C373" s="464">
        <f>'[4]Por organismos'!I377</f>
        <v>0</v>
      </c>
      <c r="D373" s="464">
        <f>'[4]Por organismos'!P377</f>
        <v>0</v>
      </c>
      <c r="E373" s="463">
        <f>+C373+D373</f>
        <v>0</v>
      </c>
      <c r="F373" s="464">
        <f>'[4]Por organismos'!X377</f>
        <v>0</v>
      </c>
      <c r="G373" s="464">
        <f>'[4]Por organismos'!AE377</f>
        <v>0</v>
      </c>
      <c r="H373" s="463">
        <f>+E373-F373</f>
        <v>0</v>
      </c>
      <c r="I373" s="460"/>
    </row>
    <row r="374" spans="1:12" ht="33.75" x14ac:dyDescent="0.25">
      <c r="A374" s="472">
        <v>614</v>
      </c>
      <c r="B374" s="474" t="s">
        <v>449</v>
      </c>
      <c r="C374" s="463">
        <f>C375+C376+C377+C378+C379+C380</f>
        <v>94929766</v>
      </c>
      <c r="D374" s="463">
        <f>D375+D376+D377+D378+D379+D380</f>
        <v>31460265.259999998</v>
      </c>
      <c r="E374" s="463">
        <f>+C374+D374</f>
        <v>126390031.25999999</v>
      </c>
      <c r="F374" s="463">
        <f>F375+F376+F377+F378+F379+F380</f>
        <v>30894757.5</v>
      </c>
      <c r="G374" s="463">
        <f>G375+G376+G377+G378+G379+G380</f>
        <v>30060146.699999999</v>
      </c>
      <c r="H374" s="463">
        <f>+E374-F374</f>
        <v>95495273.75999999</v>
      </c>
      <c r="I374" s="460">
        <f>+F374/E374</f>
        <v>0.2444398279833134</v>
      </c>
    </row>
    <row r="375" spans="1:12" x14ac:dyDescent="0.25">
      <c r="A375" s="470">
        <v>61406</v>
      </c>
      <c r="B375" s="473" t="s">
        <v>448</v>
      </c>
      <c r="C375" s="463">
        <f>'[4]Por organismos'!I379</f>
        <v>0</v>
      </c>
      <c r="D375" s="464">
        <f>'[4]Por organismos'!P379</f>
        <v>4468552</v>
      </c>
      <c r="E375" s="463">
        <f>+C375+D375</f>
        <v>4468552</v>
      </c>
      <c r="F375" s="464">
        <f>'[4]Por organismos'!X379</f>
        <v>4466373.7</v>
      </c>
      <c r="G375" s="464">
        <f>'[4]Por organismos'!AE379</f>
        <v>4466373.7</v>
      </c>
      <c r="H375" s="475">
        <f>+E375-F375</f>
        <v>2178.2999999998137</v>
      </c>
      <c r="I375" s="460">
        <f>+F375/E375</f>
        <v>0.99951252665292922</v>
      </c>
    </row>
    <row r="376" spans="1:12" ht="22.5" x14ac:dyDescent="0.25">
      <c r="A376" s="470">
        <v>61408</v>
      </c>
      <c r="B376" s="473" t="s">
        <v>447</v>
      </c>
      <c r="C376" s="464">
        <f>'[4]Por organismos'!I380</f>
        <v>55553275</v>
      </c>
      <c r="D376" s="464">
        <f>'[4]Por organismos'!P380</f>
        <v>21181017.109999999</v>
      </c>
      <c r="E376" s="464">
        <f>+C376+D376</f>
        <v>76734292.109999999</v>
      </c>
      <c r="F376" s="464">
        <f>'[4]Por organismos'!X380</f>
        <v>24403170</v>
      </c>
      <c r="G376" s="464">
        <f>'[4]Por organismos'!AE380</f>
        <v>24403193.989999998</v>
      </c>
      <c r="H376" s="463">
        <f>+E376-F376</f>
        <v>52331122.109999999</v>
      </c>
      <c r="I376" s="460">
        <f>+F376/E376</f>
        <v>0.31802169967265237</v>
      </c>
    </row>
    <row r="377" spans="1:12" ht="22.5" x14ac:dyDescent="0.25">
      <c r="A377" s="470">
        <v>61409</v>
      </c>
      <c r="B377" s="473" t="s">
        <v>446</v>
      </c>
      <c r="C377" s="464">
        <f>'[4]Por organismos'!I381</f>
        <v>39376491</v>
      </c>
      <c r="D377" s="464">
        <f>'[4]Por organismos'!P381</f>
        <v>5555063.04</v>
      </c>
      <c r="E377" s="463">
        <f>+C377+D377</f>
        <v>44931554.039999999</v>
      </c>
      <c r="F377" s="464">
        <f>'[4]Por organismos'!X381</f>
        <v>1805687.43</v>
      </c>
      <c r="G377" s="464">
        <f>'[4]Por organismos'!AE381</f>
        <v>971052.64</v>
      </c>
      <c r="H377" s="463">
        <f>+E377-F377</f>
        <v>43125866.609999999</v>
      </c>
      <c r="I377" s="460">
        <f>+F377/E377</f>
        <v>4.0187513398546142E-2</v>
      </c>
    </row>
    <row r="378" spans="1:12" x14ac:dyDescent="0.25">
      <c r="A378" s="470">
        <v>61415</v>
      </c>
      <c r="B378" s="473" t="s">
        <v>445</v>
      </c>
      <c r="C378" s="464">
        <f>'[4]Por organismos'!I382</f>
        <v>0</v>
      </c>
      <c r="D378" s="464">
        <f>'[4]Por organismos'!P382</f>
        <v>0</v>
      </c>
      <c r="E378" s="463">
        <f>+C378+D378</f>
        <v>0</v>
      </c>
      <c r="F378" s="464">
        <f>'[4]Por organismos'!X382</f>
        <v>0</v>
      </c>
      <c r="G378" s="464">
        <f>'[4]Por organismos'!AE382</f>
        <v>0</v>
      </c>
      <c r="H378" s="463">
        <f>+E378-F378</f>
        <v>0</v>
      </c>
      <c r="I378" s="460"/>
    </row>
    <row r="379" spans="1:12" ht="22.5" x14ac:dyDescent="0.25">
      <c r="A379" s="470">
        <v>61424</v>
      </c>
      <c r="B379" s="473" t="s">
        <v>444</v>
      </c>
      <c r="C379" s="464">
        <f>'[4]Por organismos'!I383</f>
        <v>0</v>
      </c>
      <c r="D379" s="464">
        <f>'[4]Por organismos'!P383</f>
        <v>0</v>
      </c>
      <c r="E379" s="463">
        <f>+C379+D379</f>
        <v>0</v>
      </c>
      <c r="F379" s="464">
        <f>'[4]Por organismos'!X383</f>
        <v>0</v>
      </c>
      <c r="G379" s="464">
        <f>'[4]Por organismos'!AE383</f>
        <v>0</v>
      </c>
      <c r="H379" s="463">
        <f>+E379-F379</f>
        <v>0</v>
      </c>
      <c r="I379" s="460"/>
    </row>
    <row r="380" spans="1:12" x14ac:dyDescent="0.25">
      <c r="A380" s="470">
        <v>61425</v>
      </c>
      <c r="B380" s="473" t="s">
        <v>443</v>
      </c>
      <c r="C380" s="464">
        <f>'[4]Por organismos'!I384</f>
        <v>0</v>
      </c>
      <c r="D380" s="464">
        <f>'[4]Por organismos'!P384</f>
        <v>255633.11</v>
      </c>
      <c r="E380" s="463">
        <f>+C380+D380</f>
        <v>255633.11</v>
      </c>
      <c r="F380" s="464">
        <f>'[4]Por organismos'!X384</f>
        <v>219526.37</v>
      </c>
      <c r="G380" s="464">
        <f>'[4]Por organismos'!AE384</f>
        <v>219526.37</v>
      </c>
      <c r="H380" s="463">
        <f>+E380-F380</f>
        <v>36106.739999999991</v>
      </c>
      <c r="I380" s="460">
        <f>+F380/E380</f>
        <v>0.85875562050627952</v>
      </c>
    </row>
    <row r="381" spans="1:12" x14ac:dyDescent="0.25">
      <c r="A381" s="470"/>
      <c r="B381" s="473"/>
      <c r="C381" s="464"/>
      <c r="D381" s="464"/>
      <c r="E381" s="463">
        <f>+C381+D381</f>
        <v>0</v>
      </c>
      <c r="F381" s="464">
        <v>0</v>
      </c>
      <c r="G381" s="464">
        <v>0</v>
      </c>
      <c r="H381" s="463">
        <f>+E381-F381</f>
        <v>0</v>
      </c>
      <c r="I381" s="460"/>
    </row>
    <row r="382" spans="1:12" ht="27.75" customHeight="1" x14ac:dyDescent="0.25">
      <c r="A382" s="469">
        <v>7000</v>
      </c>
      <c r="B382" s="474" t="s">
        <v>442</v>
      </c>
      <c r="C382" s="463">
        <f>C383</f>
        <v>123731586.09999999</v>
      </c>
      <c r="D382" s="463">
        <f>D383</f>
        <v>0</v>
      </c>
      <c r="E382" s="463">
        <f>+C382+D382</f>
        <v>123731586.09999999</v>
      </c>
      <c r="F382" s="464">
        <f>F383</f>
        <v>0</v>
      </c>
      <c r="G382" s="464">
        <f>G383</f>
        <v>0</v>
      </c>
      <c r="H382" s="463">
        <f>+E382-F382</f>
        <v>123731586.09999999</v>
      </c>
      <c r="I382" s="460">
        <f>+F382/E382</f>
        <v>0</v>
      </c>
    </row>
    <row r="383" spans="1:12" ht="22.5" x14ac:dyDescent="0.25">
      <c r="A383" s="469">
        <v>7900</v>
      </c>
      <c r="B383" s="474" t="s">
        <v>441</v>
      </c>
      <c r="C383" s="463">
        <f>C384</f>
        <v>123731586.09999999</v>
      </c>
      <c r="D383" s="463">
        <f>D384</f>
        <v>0</v>
      </c>
      <c r="E383" s="463">
        <f>+C383+D383</f>
        <v>123731586.09999999</v>
      </c>
      <c r="F383" s="464">
        <f>F384</f>
        <v>0</v>
      </c>
      <c r="G383" s="464">
        <f>G384</f>
        <v>0</v>
      </c>
      <c r="H383" s="463">
        <f>+E383-F383</f>
        <v>123731586.09999999</v>
      </c>
      <c r="I383" s="460">
        <f>+F383/E383</f>
        <v>0</v>
      </c>
    </row>
    <row r="384" spans="1:12" x14ac:dyDescent="0.25">
      <c r="A384" s="472">
        <v>799</v>
      </c>
      <c r="B384" s="474" t="s">
        <v>440</v>
      </c>
      <c r="C384" s="463">
        <f>C385</f>
        <v>123731586.09999999</v>
      </c>
      <c r="D384" s="463">
        <f>D385</f>
        <v>0</v>
      </c>
      <c r="E384" s="463">
        <f>+C384+D384</f>
        <v>123731586.09999999</v>
      </c>
      <c r="F384" s="464">
        <f>F385</f>
        <v>0</v>
      </c>
      <c r="G384" s="464">
        <f>G385</f>
        <v>0</v>
      </c>
      <c r="H384" s="463">
        <f>+E384-F384</f>
        <v>123731586.09999999</v>
      </c>
      <c r="I384" s="460">
        <f>+F384/E384</f>
        <v>0</v>
      </c>
    </row>
    <row r="385" spans="1:9" x14ac:dyDescent="0.25">
      <c r="A385" s="470">
        <v>79901</v>
      </c>
      <c r="B385" s="473" t="s">
        <v>440</v>
      </c>
      <c r="C385" s="464">
        <f>'[4]Por organismos'!I389</f>
        <v>123731586.09999999</v>
      </c>
      <c r="D385" s="464">
        <f>'[4]Por organismos'!P389</f>
        <v>0</v>
      </c>
      <c r="E385" s="463">
        <f>+C385+D385</f>
        <v>123731586.09999999</v>
      </c>
      <c r="F385" s="464">
        <f>'[4]Por organismos'!X389</f>
        <v>0</v>
      </c>
      <c r="G385" s="464">
        <f>'[4]Por organismos'!AE389</f>
        <v>0</v>
      </c>
      <c r="H385" s="463">
        <f>+E385-F385</f>
        <v>123731586.09999999</v>
      </c>
      <c r="I385" s="460">
        <f>+F385/E385</f>
        <v>0</v>
      </c>
    </row>
    <row r="386" spans="1:9" x14ac:dyDescent="0.25">
      <c r="A386" s="466"/>
      <c r="B386" s="465"/>
      <c r="C386" s="464"/>
      <c r="D386" s="464"/>
      <c r="E386" s="463">
        <f>+C386+D386</f>
        <v>0</v>
      </c>
      <c r="F386" s="464"/>
      <c r="G386" s="464"/>
      <c r="H386" s="463">
        <f>+E386-F386</f>
        <v>0</v>
      </c>
      <c r="I386" s="460"/>
    </row>
    <row r="387" spans="1:9" x14ac:dyDescent="0.25">
      <c r="A387" s="469">
        <v>9000</v>
      </c>
      <c r="B387" s="467" t="s">
        <v>439</v>
      </c>
      <c r="C387" s="463">
        <f>C388+C392+C396</f>
        <v>0</v>
      </c>
      <c r="D387" s="463">
        <f>D388+D392+D396</f>
        <v>96535920.810000002</v>
      </c>
      <c r="E387" s="463">
        <f>+C387+D387</f>
        <v>96535920.810000002</v>
      </c>
      <c r="F387" s="463">
        <f>F388+F392+F396</f>
        <v>94584705.879999995</v>
      </c>
      <c r="G387" s="463">
        <f>G388+G392+G396</f>
        <v>93021258.24000001</v>
      </c>
      <c r="H387" s="463">
        <f>+E387-F387</f>
        <v>1951214.9300000072</v>
      </c>
      <c r="I387" s="460">
        <f>+F387/E387</f>
        <v>0.97978767992651827</v>
      </c>
    </row>
    <row r="388" spans="1:9" x14ac:dyDescent="0.25">
      <c r="A388" s="469">
        <v>9100</v>
      </c>
      <c r="B388" s="467" t="s">
        <v>438</v>
      </c>
      <c r="C388" s="463">
        <f>C389</f>
        <v>0</v>
      </c>
      <c r="D388" s="463">
        <f>D389</f>
        <v>22920675.659999996</v>
      </c>
      <c r="E388" s="463">
        <f>+C388+D388</f>
        <v>22920675.659999996</v>
      </c>
      <c r="F388" s="463">
        <f>F389</f>
        <v>22920675.659999996</v>
      </c>
      <c r="G388" s="463">
        <f>G389</f>
        <v>22920675.659999996</v>
      </c>
      <c r="H388" s="463">
        <f>+E388-F388</f>
        <v>0</v>
      </c>
      <c r="I388" s="460">
        <f>+F388/E388</f>
        <v>1</v>
      </c>
    </row>
    <row r="389" spans="1:9" ht="33.75" x14ac:dyDescent="0.25">
      <c r="A389" s="472">
        <v>911</v>
      </c>
      <c r="B389" s="467" t="s">
        <v>437</v>
      </c>
      <c r="C389" s="463">
        <f>C390+C391</f>
        <v>0</v>
      </c>
      <c r="D389" s="463">
        <f>D390+D391</f>
        <v>22920675.659999996</v>
      </c>
      <c r="E389" s="463">
        <f>+C389+D389</f>
        <v>22920675.659999996</v>
      </c>
      <c r="F389" s="463">
        <f>F390+F391</f>
        <v>22920675.659999996</v>
      </c>
      <c r="G389" s="463">
        <f>G390+G391</f>
        <v>22920675.659999996</v>
      </c>
      <c r="H389" s="463">
        <f>+E389-F389</f>
        <v>0</v>
      </c>
      <c r="I389" s="460">
        <f>+F389/E389</f>
        <v>1</v>
      </c>
    </row>
    <row r="390" spans="1:9" x14ac:dyDescent="0.25">
      <c r="A390" s="470">
        <v>91101</v>
      </c>
      <c r="B390" s="465" t="s">
        <v>436</v>
      </c>
      <c r="C390" s="464"/>
      <c r="D390" s="464">
        <f>'[4]Por organismos'!P394</f>
        <v>0</v>
      </c>
      <c r="E390" s="463">
        <f>+C390+D390</f>
        <v>0</v>
      </c>
      <c r="F390" s="464">
        <f>'[4]Por organismos'!X394</f>
        <v>0</v>
      </c>
      <c r="G390" s="464">
        <f>'[4]Por organismos'!AE394</f>
        <v>0</v>
      </c>
      <c r="H390" s="463">
        <f>+E390-F390</f>
        <v>0</v>
      </c>
      <c r="I390" s="460"/>
    </row>
    <row r="391" spans="1:9" x14ac:dyDescent="0.25">
      <c r="A391" s="470">
        <v>91102</v>
      </c>
      <c r="B391" s="465" t="s">
        <v>435</v>
      </c>
      <c r="C391" s="464"/>
      <c r="D391" s="464">
        <f>'[4]Por organismos'!P395</f>
        <v>22920675.659999996</v>
      </c>
      <c r="E391" s="463">
        <f>+C391+D391</f>
        <v>22920675.659999996</v>
      </c>
      <c r="F391" s="464">
        <f>'[4]Por organismos'!X395</f>
        <v>22920675.659999996</v>
      </c>
      <c r="G391" s="464">
        <f>'[4]Por organismos'!AE395</f>
        <v>22920675.659999996</v>
      </c>
      <c r="H391" s="463">
        <f>+E391-F391</f>
        <v>0</v>
      </c>
      <c r="I391" s="460">
        <f>+F391/E391</f>
        <v>1</v>
      </c>
    </row>
    <row r="392" spans="1:9" x14ac:dyDescent="0.25">
      <c r="A392" s="469">
        <v>9200</v>
      </c>
      <c r="B392" s="467" t="s">
        <v>434</v>
      </c>
      <c r="C392" s="463">
        <f>C393</f>
        <v>0</v>
      </c>
      <c r="D392" s="463">
        <f>D393</f>
        <v>15359419.179999998</v>
      </c>
      <c r="E392" s="463">
        <f>+C392+D392</f>
        <v>15359419.179999998</v>
      </c>
      <c r="F392" s="463">
        <f>F393</f>
        <v>15359419.17</v>
      </c>
      <c r="G392" s="463">
        <f>G393</f>
        <v>15359419.17</v>
      </c>
      <c r="H392" s="463">
        <f>+E392-F392</f>
        <v>9.9999979138374329E-3</v>
      </c>
      <c r="I392" s="460">
        <f>+F392/E392</f>
        <v>0.9999999993489338</v>
      </c>
    </row>
    <row r="393" spans="1:9" ht="22.5" x14ac:dyDescent="0.25">
      <c r="A393" s="472">
        <v>921</v>
      </c>
      <c r="B393" s="467" t="s">
        <v>433</v>
      </c>
      <c r="C393" s="463">
        <f>C394+C395</f>
        <v>0</v>
      </c>
      <c r="D393" s="463">
        <f>D394+D395</f>
        <v>15359419.179999998</v>
      </c>
      <c r="E393" s="463">
        <f>+C393+D393</f>
        <v>15359419.179999998</v>
      </c>
      <c r="F393" s="463">
        <f>F394+F395</f>
        <v>15359419.17</v>
      </c>
      <c r="G393" s="463">
        <f>G394+G395</f>
        <v>15359419.17</v>
      </c>
      <c r="H393" s="463">
        <f>+E393-F393</f>
        <v>9.9999979138374329E-3</v>
      </c>
      <c r="I393" s="460">
        <f>+F393/E393</f>
        <v>0.9999999993489338</v>
      </c>
    </row>
    <row r="394" spans="1:9" x14ac:dyDescent="0.25">
      <c r="A394" s="470">
        <v>92101</v>
      </c>
      <c r="B394" s="465" t="s">
        <v>432</v>
      </c>
      <c r="C394" s="464"/>
      <c r="D394" s="471">
        <f>'[4]Por organismos'!P398</f>
        <v>0</v>
      </c>
      <c r="E394" s="463">
        <f>+C394+D394</f>
        <v>0</v>
      </c>
      <c r="F394" s="464">
        <f>'[4]Por organismos'!X398</f>
        <v>0</v>
      </c>
      <c r="G394" s="464">
        <f>'[4]Por organismos'!AE398</f>
        <v>0</v>
      </c>
      <c r="H394" s="463">
        <f>+E394-F394</f>
        <v>0</v>
      </c>
      <c r="I394" s="460"/>
    </row>
    <row r="395" spans="1:9" x14ac:dyDescent="0.25">
      <c r="A395" s="470">
        <v>92102</v>
      </c>
      <c r="B395" s="465" t="s">
        <v>431</v>
      </c>
      <c r="C395" s="464"/>
      <c r="D395" s="464">
        <f>'[4]Por organismos'!P399</f>
        <v>15359419.179999998</v>
      </c>
      <c r="E395" s="463">
        <f>+C395+D395</f>
        <v>15359419.179999998</v>
      </c>
      <c r="F395" s="464">
        <f>'[4]Por organismos'!X399</f>
        <v>15359419.17</v>
      </c>
      <c r="G395" s="464">
        <f>'[4]Por organismos'!AE399</f>
        <v>15359419.17</v>
      </c>
      <c r="H395" s="463">
        <f>+E395-F395</f>
        <v>9.9999979138374329E-3</v>
      </c>
      <c r="I395" s="460">
        <f>+F395/E395</f>
        <v>0.9999999993489338</v>
      </c>
    </row>
    <row r="396" spans="1:9" ht="30" customHeight="1" x14ac:dyDescent="0.25">
      <c r="A396" s="469">
        <v>9900</v>
      </c>
      <c r="B396" s="467" t="s">
        <v>430</v>
      </c>
      <c r="C396" s="463">
        <f>C397</f>
        <v>0</v>
      </c>
      <c r="D396" s="463">
        <f>D397</f>
        <v>58255825.969999999</v>
      </c>
      <c r="E396" s="463">
        <f>+C396+D396</f>
        <v>58255825.969999999</v>
      </c>
      <c r="F396" s="463">
        <f>F397</f>
        <v>56304611.049999997</v>
      </c>
      <c r="G396" s="463">
        <f>G397</f>
        <v>54741163.410000004</v>
      </c>
      <c r="H396" s="463">
        <f>+E396-F396</f>
        <v>1951214.9200000018</v>
      </c>
      <c r="I396" s="460">
        <f>+F396/E396</f>
        <v>0.9665060981024487</v>
      </c>
    </row>
    <row r="397" spans="1:9" x14ac:dyDescent="0.25">
      <c r="A397" s="468">
        <v>991</v>
      </c>
      <c r="B397" s="467" t="s">
        <v>429</v>
      </c>
      <c r="C397" s="463">
        <f>C398+C399+C400</f>
        <v>0</v>
      </c>
      <c r="D397" s="463">
        <f>D398+D399+D400</f>
        <v>58255825.969999999</v>
      </c>
      <c r="E397" s="463">
        <f>+C397+D397</f>
        <v>58255825.969999999</v>
      </c>
      <c r="F397" s="463">
        <f>F398+F399+F400</f>
        <v>56304611.049999997</v>
      </c>
      <c r="G397" s="463">
        <f>G398+G399+G400</f>
        <v>54741163.410000004</v>
      </c>
      <c r="H397" s="463">
        <f>+E397-F397</f>
        <v>1951214.9200000018</v>
      </c>
      <c r="I397" s="460">
        <f>+F397/E397</f>
        <v>0.9665060981024487</v>
      </c>
    </row>
    <row r="398" spans="1:9" x14ac:dyDescent="0.25">
      <c r="A398" s="466">
        <v>99101</v>
      </c>
      <c r="B398" s="465" t="s">
        <v>428</v>
      </c>
      <c r="C398" s="464"/>
      <c r="D398" s="464">
        <f>'[4]Por organismos'!P402</f>
        <v>57105825.969999999</v>
      </c>
      <c r="E398" s="463">
        <f>+C398+D398</f>
        <v>57105825.969999999</v>
      </c>
      <c r="F398" s="464">
        <f>'[4]Por organismos'!X402</f>
        <v>55154611.049999997</v>
      </c>
      <c r="G398" s="464">
        <f>'[4]Por organismos'!AE402</f>
        <v>53591163.410000004</v>
      </c>
      <c r="H398" s="463">
        <f>+E398-F398</f>
        <v>1951214.9200000018</v>
      </c>
      <c r="I398" s="460">
        <f>+F398/E398</f>
        <v>0.96583159621883319</v>
      </c>
    </row>
    <row r="399" spans="1:9" x14ac:dyDescent="0.25">
      <c r="A399" s="466">
        <v>99101</v>
      </c>
      <c r="B399" s="465" t="s">
        <v>427</v>
      </c>
      <c r="C399" s="464"/>
      <c r="D399" s="464">
        <f>'[4]Por organismos'!P403</f>
        <v>1150000</v>
      </c>
      <c r="E399" s="463">
        <f>+C399+D399</f>
        <v>1150000</v>
      </c>
      <c r="F399" s="464">
        <f>'[4]Por organismos'!X403</f>
        <v>1150000</v>
      </c>
      <c r="G399" s="464">
        <f>'[4]Por organismos'!AE403</f>
        <v>1150000</v>
      </c>
      <c r="H399" s="463">
        <f>+E399-F399</f>
        <v>0</v>
      </c>
      <c r="I399" s="460"/>
    </row>
    <row r="400" spans="1:9" x14ac:dyDescent="0.25">
      <c r="A400" s="466">
        <v>99101</v>
      </c>
      <c r="B400" s="465" t="s">
        <v>426</v>
      </c>
      <c r="C400" s="464">
        <v>0</v>
      </c>
      <c r="D400" s="464">
        <f>'[4]Por organismos'!P404</f>
        <v>0</v>
      </c>
      <c r="E400" s="463">
        <f>+C400+D400</f>
        <v>0</v>
      </c>
      <c r="F400" s="464">
        <f>'[4]Por organismos'!X404</f>
        <v>0</v>
      </c>
      <c r="G400" s="464">
        <f>'[4]Por organismos'!AE404</f>
        <v>0</v>
      </c>
      <c r="H400" s="463">
        <f>+E400-F400</f>
        <v>0</v>
      </c>
      <c r="I400" s="460"/>
    </row>
    <row r="401" spans="1:10" x14ac:dyDescent="0.25">
      <c r="A401" s="462"/>
      <c r="B401" s="462"/>
      <c r="C401" s="461">
        <f>+C387+C343+C296+C278+C158+C80+C9+C382</f>
        <v>788280901.10075855</v>
      </c>
      <c r="D401" s="461">
        <f>+D387+D343+D296+D278+D158+D80+D9+D382</f>
        <v>299229370.54000002</v>
      </c>
      <c r="E401" s="461">
        <f>+E387+E343+E296+E278+E158+E80+E9+E382</f>
        <v>1087510271.6407583</v>
      </c>
      <c r="F401" s="461">
        <f>+F387+F343+F296+F278+F158+F80+F9+F382</f>
        <v>646764162.72000003</v>
      </c>
      <c r="G401" s="461">
        <f>+G387+G343+G296+G278+G158+G80+G9+G382</f>
        <v>606147018.67000008</v>
      </c>
      <c r="H401" s="461">
        <f>+H387+H343+H296+H278+H158+H80+H9+H382</f>
        <v>440746108.92075849</v>
      </c>
      <c r="I401" s="460">
        <f>+F401/E401</f>
        <v>0.59472004962694114</v>
      </c>
    </row>
    <row r="402" spans="1:10" x14ac:dyDescent="0.25">
      <c r="H402" s="448"/>
      <c r="I402" s="459"/>
    </row>
    <row r="403" spans="1:10" x14ac:dyDescent="0.25">
      <c r="C403" s="458"/>
      <c r="D403" s="458"/>
      <c r="E403" s="458"/>
      <c r="F403" s="458"/>
      <c r="G403" s="458"/>
      <c r="H403" s="458"/>
      <c r="I403" s="456"/>
      <c r="J403"/>
    </row>
    <row r="404" spans="1:10" x14ac:dyDescent="0.25">
      <c r="C404" s="457"/>
      <c r="D404" s="457"/>
      <c r="E404" s="457"/>
      <c r="F404" s="457"/>
      <c r="G404" s="457"/>
      <c r="H404" s="457"/>
      <c r="I404" s="456"/>
      <c r="J404"/>
    </row>
    <row r="405" spans="1:10" ht="16.5" x14ac:dyDescent="0.25">
      <c r="B405" s="78"/>
      <c r="C405" s="451"/>
      <c r="D405" s="452"/>
      <c r="E405" s="451"/>
      <c r="F405" s="451"/>
      <c r="G405" s="451"/>
      <c r="H405" s="451"/>
      <c r="I405" s="450"/>
    </row>
    <row r="406" spans="1:10" ht="16.5" x14ac:dyDescent="0.25">
      <c r="B406" s="455" t="s">
        <v>425</v>
      </c>
      <c r="C406" s="451"/>
      <c r="D406" s="452"/>
      <c r="E406" s="451"/>
      <c r="F406" s="454" t="s">
        <v>424</v>
      </c>
      <c r="G406" s="454"/>
      <c r="H406" s="454"/>
      <c r="I406" s="454"/>
    </row>
    <row r="407" spans="1:10" ht="16.5" x14ac:dyDescent="0.25">
      <c r="B407" s="178" t="s">
        <v>423</v>
      </c>
      <c r="C407" s="451"/>
      <c r="D407" s="451"/>
      <c r="E407" s="454" t="s">
        <v>422</v>
      </c>
      <c r="G407" s="453"/>
      <c r="H407" s="453"/>
      <c r="I407" s="453"/>
    </row>
    <row r="408" spans="1:10" ht="16.5" x14ac:dyDescent="0.25">
      <c r="B408" s="78"/>
      <c r="C408" s="451"/>
      <c r="D408" s="452"/>
      <c r="E408" s="451"/>
      <c r="F408" s="451"/>
      <c r="G408" s="451"/>
      <c r="H408" s="451"/>
      <c r="I408" s="450"/>
    </row>
    <row r="409" spans="1:10" x14ac:dyDescent="0.25">
      <c r="F409" s="449"/>
    </row>
    <row r="411" spans="1:10" x14ac:dyDescent="0.25">
      <c r="H411" s="448"/>
    </row>
    <row r="412" spans="1:10" x14ac:dyDescent="0.25">
      <c r="H412" s="448"/>
    </row>
    <row r="413" spans="1:10" x14ac:dyDescent="0.25">
      <c r="H413" s="448"/>
    </row>
    <row r="415" spans="1:10" x14ac:dyDescent="0.25">
      <c r="D415" s="448" t="s">
        <v>44</v>
      </c>
    </row>
  </sheetData>
  <mergeCells count="15">
    <mergeCell ref="H6:I6"/>
    <mergeCell ref="A1:I1"/>
    <mergeCell ref="A2:I2"/>
    <mergeCell ref="A3:I3"/>
    <mergeCell ref="A4:I4"/>
    <mergeCell ref="A5:I5"/>
    <mergeCell ref="G7:G8"/>
    <mergeCell ref="H7:H8"/>
    <mergeCell ref="I7:I8"/>
    <mergeCell ref="F7:F8"/>
    <mergeCell ref="A7:A8"/>
    <mergeCell ref="B7:B8"/>
    <mergeCell ref="C7:C8"/>
    <mergeCell ref="D7:D8"/>
    <mergeCell ref="E7:E8"/>
  </mergeCells>
  <pageMargins left="0" right="0" top="0.35433070866141736" bottom="0" header="0.31496062992125984" footer="0.31496062992125984"/>
  <pageSetup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C4233-E9D0-4507-9AAB-C91AEA2FC6F9}">
  <dimension ref="A1:I32"/>
  <sheetViews>
    <sheetView view="pageBreakPreview" topLeftCell="A31" zoomScale="110" zoomScaleSheetLayoutView="110" workbookViewId="0">
      <selection activeCell="G19" sqref="G19"/>
    </sheetView>
  </sheetViews>
  <sheetFormatPr baseColWidth="10" defaultColWidth="11.42578125" defaultRowHeight="15" x14ac:dyDescent="0.25"/>
  <cols>
    <col min="1" max="1" width="32.140625" customWidth="1"/>
    <col min="3" max="3" width="13" customWidth="1"/>
  </cols>
  <sheetData>
    <row r="1" spans="1:9" ht="15.75" x14ac:dyDescent="0.25">
      <c r="A1" s="174" t="str">
        <f>'[1]ETCA-I-01'!A1:G1</f>
        <v xml:space="preserve">Comision Estatal del Agua </v>
      </c>
      <c r="B1" s="174"/>
      <c r="C1" s="174"/>
      <c r="D1" s="174"/>
      <c r="E1" s="174"/>
      <c r="F1" s="174"/>
      <c r="G1" s="174"/>
      <c r="H1" s="539"/>
      <c r="I1" s="539"/>
    </row>
    <row r="2" spans="1:9" ht="15.75" customHeight="1" x14ac:dyDescent="0.25">
      <c r="A2" s="173" t="s">
        <v>746</v>
      </c>
      <c r="B2" s="173"/>
      <c r="C2" s="173"/>
      <c r="D2" s="173"/>
      <c r="E2" s="173"/>
      <c r="F2" s="173"/>
      <c r="G2" s="173"/>
      <c r="H2" s="7"/>
      <c r="I2" s="7"/>
    </row>
    <row r="3" spans="1:9" ht="15.75" customHeight="1" x14ac:dyDescent="0.25">
      <c r="A3" s="173" t="s">
        <v>745</v>
      </c>
      <c r="B3" s="173"/>
      <c r="C3" s="173"/>
      <c r="D3" s="173"/>
      <c r="E3" s="173"/>
      <c r="F3" s="173"/>
      <c r="G3" s="173"/>
      <c r="H3" s="7"/>
      <c r="I3" s="7"/>
    </row>
    <row r="4" spans="1:9" ht="15.75" customHeight="1" x14ac:dyDescent="0.25">
      <c r="A4" s="538" t="str">
        <f>'[1]ETCA-I-03'!A3:D3</f>
        <v>Del 01 de Enero  al 31 de Diciembre de 2021</v>
      </c>
      <c r="B4" s="538"/>
      <c r="C4" s="538"/>
      <c r="D4" s="538"/>
      <c r="E4" s="538"/>
      <c r="F4" s="538"/>
      <c r="G4" s="538"/>
      <c r="H4" s="537"/>
      <c r="I4" s="537"/>
    </row>
    <row r="5" spans="1:9" ht="15.75" customHeight="1" thickBot="1" x14ac:dyDescent="0.3">
      <c r="A5" s="171" t="s">
        <v>297</v>
      </c>
      <c r="B5" s="171"/>
      <c r="C5" s="171"/>
      <c r="D5" s="171"/>
      <c r="E5" s="171"/>
      <c r="F5" s="171"/>
      <c r="G5" s="171"/>
      <c r="H5" s="536"/>
      <c r="I5" s="536"/>
    </row>
    <row r="6" spans="1:9" ht="15.75" thickBot="1" x14ac:dyDescent="0.3">
      <c r="A6" s="535" t="s">
        <v>296</v>
      </c>
      <c r="B6" s="534" t="s">
        <v>295</v>
      </c>
      <c r="C6" s="533"/>
      <c r="D6" s="533"/>
      <c r="E6" s="533"/>
      <c r="F6" s="532"/>
      <c r="G6" s="531" t="s">
        <v>294</v>
      </c>
    </row>
    <row r="7" spans="1:9" ht="20.25" thickBot="1" x14ac:dyDescent="0.3">
      <c r="A7" s="530"/>
      <c r="B7" s="529" t="s">
        <v>293</v>
      </c>
      <c r="C7" s="529" t="s">
        <v>292</v>
      </c>
      <c r="D7" s="529" t="s">
        <v>291</v>
      </c>
      <c r="E7" s="529" t="s">
        <v>29</v>
      </c>
      <c r="F7" s="529" t="s">
        <v>339</v>
      </c>
      <c r="G7" s="528"/>
    </row>
    <row r="8" spans="1:9" ht="19.5" x14ac:dyDescent="0.25">
      <c r="A8" s="522" t="s">
        <v>744</v>
      </c>
      <c r="B8" s="521">
        <f>B9+B10+B11+B12+B13+B14+B15+B18</f>
        <v>228381131.27051684</v>
      </c>
      <c r="C8" s="521">
        <f>C9+C10+C11+C12+C13+C14+C15+C18</f>
        <v>13382054.330000002</v>
      </c>
      <c r="D8" s="521">
        <f>D9+D10+D11+D12+D13+D14+D15+D18</f>
        <v>241763185.60051686</v>
      </c>
      <c r="E8" s="521">
        <f>E9+E10+E11+E12+E13+E14+E15+E18</f>
        <v>230621556.50000003</v>
      </c>
      <c r="F8" s="521">
        <f>F9+F10+F11+F12+F13+F14+F15+F18</f>
        <v>219772465.42000002</v>
      </c>
      <c r="G8" s="521">
        <f>G9+G10+G11+G12+G13+G14+G15+G18</f>
        <v>11141629.100516826</v>
      </c>
    </row>
    <row r="9" spans="1:9" ht="19.5" x14ac:dyDescent="0.25">
      <c r="A9" s="526" t="s">
        <v>742</v>
      </c>
      <c r="B9" s="525">
        <v>228381131.27051684</v>
      </c>
      <c r="C9" s="524">
        <v>13382054.330000002</v>
      </c>
      <c r="D9" s="523">
        <f>B9+C9</f>
        <v>241763185.60051686</v>
      </c>
      <c r="E9" s="524">
        <v>230621556.50000003</v>
      </c>
      <c r="F9" s="524">
        <v>219772465.42000002</v>
      </c>
      <c r="G9" s="523">
        <f>D9-E9</f>
        <v>11141629.100516826</v>
      </c>
    </row>
    <row r="10" spans="1:9" x14ac:dyDescent="0.25">
      <c r="A10" s="526" t="s">
        <v>741</v>
      </c>
      <c r="B10" s="525"/>
      <c r="C10" s="524"/>
      <c r="D10" s="523">
        <f>B10+C10</f>
        <v>0</v>
      </c>
      <c r="E10" s="524"/>
      <c r="F10" s="524"/>
      <c r="G10" s="523">
        <f>D10-E10</f>
        <v>0</v>
      </c>
    </row>
    <row r="11" spans="1:9" x14ac:dyDescent="0.25">
      <c r="A11" s="526" t="s">
        <v>740</v>
      </c>
      <c r="B11" s="525"/>
      <c r="C11" s="524"/>
      <c r="D11" s="523">
        <f>B11+C11</f>
        <v>0</v>
      </c>
      <c r="E11" s="524"/>
      <c r="F11" s="524"/>
      <c r="G11" s="523">
        <f>D11-E11</f>
        <v>0</v>
      </c>
    </row>
    <row r="12" spans="1:9" x14ac:dyDescent="0.25">
      <c r="A12" s="526" t="s">
        <v>739</v>
      </c>
      <c r="B12" s="525"/>
      <c r="C12" s="524"/>
      <c r="D12" s="523">
        <f>B12+C12</f>
        <v>0</v>
      </c>
      <c r="E12" s="524"/>
      <c r="F12" s="524"/>
      <c r="G12" s="523">
        <f>D12-E12</f>
        <v>0</v>
      </c>
    </row>
    <row r="13" spans="1:9" x14ac:dyDescent="0.25">
      <c r="A13" s="526" t="s">
        <v>738</v>
      </c>
      <c r="B13" s="525"/>
      <c r="C13" s="524"/>
      <c r="D13" s="523">
        <f>B13+C13</f>
        <v>0</v>
      </c>
      <c r="E13" s="524"/>
      <c r="F13" s="524"/>
      <c r="G13" s="523">
        <f>D13-E13</f>
        <v>0</v>
      </c>
    </row>
    <row r="14" spans="1:9" x14ac:dyDescent="0.25">
      <c r="A14" s="526" t="s">
        <v>737</v>
      </c>
      <c r="B14" s="525"/>
      <c r="C14" s="524"/>
      <c r="D14" s="523">
        <f>B14+C14</f>
        <v>0</v>
      </c>
      <c r="E14" s="524"/>
      <c r="F14" s="524"/>
      <c r="G14" s="523">
        <f>D14-E14</f>
        <v>0</v>
      </c>
    </row>
    <row r="15" spans="1:9" ht="29.25" x14ac:dyDescent="0.25">
      <c r="A15" s="526" t="s">
        <v>736</v>
      </c>
      <c r="B15" s="521">
        <f>B16+B17</f>
        <v>0</v>
      </c>
      <c r="C15" s="521">
        <f>C16+C17</f>
        <v>0</v>
      </c>
      <c r="D15" s="521">
        <f>D16+D17</f>
        <v>0</v>
      </c>
      <c r="E15" s="521">
        <f>E16+E17</f>
        <v>0</v>
      </c>
      <c r="F15" s="521">
        <f>F16+F17</f>
        <v>0</v>
      </c>
      <c r="G15" s="521">
        <f>G16+G17</f>
        <v>0</v>
      </c>
    </row>
    <row r="16" spans="1:9" x14ac:dyDescent="0.25">
      <c r="A16" s="527" t="s">
        <v>735</v>
      </c>
      <c r="B16" s="525"/>
      <c r="C16" s="524"/>
      <c r="D16" s="523">
        <f>B16+C16</f>
        <v>0</v>
      </c>
      <c r="E16" s="524"/>
      <c r="F16" s="524"/>
      <c r="G16" s="523">
        <f>D16-E16</f>
        <v>0</v>
      </c>
    </row>
    <row r="17" spans="1:7" x14ac:dyDescent="0.25">
      <c r="A17" s="527" t="s">
        <v>734</v>
      </c>
      <c r="B17" s="525"/>
      <c r="C17" s="524"/>
      <c r="D17" s="523">
        <f>B17+C17</f>
        <v>0</v>
      </c>
      <c r="E17" s="524"/>
      <c r="F17" s="524"/>
      <c r="G17" s="523">
        <f>D17-E17</f>
        <v>0</v>
      </c>
    </row>
    <row r="18" spans="1:7" x14ac:dyDescent="0.25">
      <c r="A18" s="526" t="s">
        <v>733</v>
      </c>
      <c r="B18" s="525"/>
      <c r="C18" s="524"/>
      <c r="D18" s="523">
        <f>B18+C18</f>
        <v>0</v>
      </c>
      <c r="E18" s="524"/>
      <c r="F18" s="524"/>
      <c r="G18" s="523">
        <f>D18-E18</f>
        <v>0</v>
      </c>
    </row>
    <row r="19" spans="1:7" x14ac:dyDescent="0.25">
      <c r="A19" s="526"/>
      <c r="B19" s="521"/>
      <c r="C19" s="523"/>
      <c r="D19" s="523"/>
      <c r="E19" s="523"/>
      <c r="F19" s="523"/>
      <c r="G19" s="523"/>
    </row>
    <row r="20" spans="1:7" ht="19.5" x14ac:dyDescent="0.25">
      <c r="A20" s="522" t="s">
        <v>743</v>
      </c>
      <c r="B20" s="521">
        <f>B21+B22+B23+B24+B25+B26+B27+B30</f>
        <v>0</v>
      </c>
      <c r="C20" s="521">
        <f>C21+C22+C23+C24+C25+C26+C27+C30</f>
        <v>0</v>
      </c>
      <c r="D20" s="521">
        <f>D21+D22+D23+D24+D25+D26+D27+D30</f>
        <v>0</v>
      </c>
      <c r="E20" s="521">
        <f>E21+E22+E23+E24+E25+E26+E27+E30</f>
        <v>0</v>
      </c>
      <c r="F20" s="521">
        <f>F21+F22+F23+F24+F25+F26+F27+F30</f>
        <v>0</v>
      </c>
      <c r="G20" s="521">
        <f>G21+G22+G23+G24+G25+G26+G27+G30</f>
        <v>0</v>
      </c>
    </row>
    <row r="21" spans="1:7" ht="19.5" x14ac:dyDescent="0.25">
      <c r="A21" s="526" t="s">
        <v>742</v>
      </c>
      <c r="B21" s="525"/>
      <c r="C21" s="524"/>
      <c r="D21" s="523">
        <f>B21+C21</f>
        <v>0</v>
      </c>
      <c r="E21" s="524"/>
      <c r="F21" s="524"/>
      <c r="G21" s="523">
        <f>D21-E21</f>
        <v>0</v>
      </c>
    </row>
    <row r="22" spans="1:7" x14ac:dyDescent="0.25">
      <c r="A22" s="526" t="s">
        <v>741</v>
      </c>
      <c r="B22" s="525"/>
      <c r="C22" s="524"/>
      <c r="D22" s="523">
        <f>B22+C22</f>
        <v>0</v>
      </c>
      <c r="E22" s="524"/>
      <c r="F22" s="524"/>
      <c r="G22" s="523">
        <f>D22-E22</f>
        <v>0</v>
      </c>
    </row>
    <row r="23" spans="1:7" x14ac:dyDescent="0.25">
      <c r="A23" s="526" t="s">
        <v>740</v>
      </c>
      <c r="B23" s="525"/>
      <c r="C23" s="524"/>
      <c r="D23" s="523">
        <f>B23+C23</f>
        <v>0</v>
      </c>
      <c r="E23" s="524"/>
      <c r="F23" s="524"/>
      <c r="G23" s="523">
        <f>D23-E23</f>
        <v>0</v>
      </c>
    </row>
    <row r="24" spans="1:7" x14ac:dyDescent="0.25">
      <c r="A24" s="526" t="s">
        <v>739</v>
      </c>
      <c r="B24" s="525"/>
      <c r="C24" s="524"/>
      <c r="D24" s="523">
        <f>B24+C24</f>
        <v>0</v>
      </c>
      <c r="E24" s="524"/>
      <c r="F24" s="524"/>
      <c r="G24" s="523">
        <f>D24-E24</f>
        <v>0</v>
      </c>
    </row>
    <row r="25" spans="1:7" x14ac:dyDescent="0.25">
      <c r="A25" s="526" t="s">
        <v>738</v>
      </c>
      <c r="B25" s="525"/>
      <c r="C25" s="524"/>
      <c r="D25" s="523">
        <f>B25+C25</f>
        <v>0</v>
      </c>
      <c r="E25" s="524"/>
      <c r="F25" s="524"/>
      <c r="G25" s="523">
        <f>D25-E25</f>
        <v>0</v>
      </c>
    </row>
    <row r="26" spans="1:7" x14ac:dyDescent="0.25">
      <c r="A26" s="526" t="s">
        <v>737</v>
      </c>
      <c r="B26" s="525"/>
      <c r="C26" s="524"/>
      <c r="D26" s="523">
        <f>B26+C26</f>
        <v>0</v>
      </c>
      <c r="E26" s="524"/>
      <c r="F26" s="524"/>
      <c r="G26" s="523">
        <f>D26-E26</f>
        <v>0</v>
      </c>
    </row>
    <row r="27" spans="1:7" ht="29.25" x14ac:dyDescent="0.25">
      <c r="A27" s="526" t="s">
        <v>736</v>
      </c>
      <c r="B27" s="521">
        <f>B28+B29</f>
        <v>0</v>
      </c>
      <c r="C27" s="521">
        <f>C28+C29</f>
        <v>0</v>
      </c>
      <c r="D27" s="521">
        <f>D28+D29</f>
        <v>0</v>
      </c>
      <c r="E27" s="521">
        <f>E28+E29</f>
        <v>0</v>
      </c>
      <c r="F27" s="521">
        <f>F28+F29</f>
        <v>0</v>
      </c>
      <c r="G27" s="521">
        <f>G28+G29</f>
        <v>0</v>
      </c>
    </row>
    <row r="28" spans="1:7" x14ac:dyDescent="0.25">
      <c r="A28" s="527" t="s">
        <v>735</v>
      </c>
      <c r="B28" s="525"/>
      <c r="C28" s="524"/>
      <c r="D28" s="523">
        <f>B28+C28</f>
        <v>0</v>
      </c>
      <c r="E28" s="524"/>
      <c r="F28" s="524"/>
      <c r="G28" s="523">
        <f>D28-E28</f>
        <v>0</v>
      </c>
    </row>
    <row r="29" spans="1:7" x14ac:dyDescent="0.25">
      <c r="A29" s="527" t="s">
        <v>734</v>
      </c>
      <c r="B29" s="525"/>
      <c r="C29" s="524"/>
      <c r="D29" s="523">
        <f>B29+C29</f>
        <v>0</v>
      </c>
      <c r="E29" s="524"/>
      <c r="F29" s="524"/>
      <c r="G29" s="523">
        <f>D29-E29</f>
        <v>0</v>
      </c>
    </row>
    <row r="30" spans="1:7" x14ac:dyDescent="0.25">
      <c r="A30" s="526" t="s">
        <v>733</v>
      </c>
      <c r="B30" s="525"/>
      <c r="C30" s="524"/>
      <c r="D30" s="523">
        <f>B30+C30</f>
        <v>0</v>
      </c>
      <c r="E30" s="524"/>
      <c r="F30" s="524"/>
      <c r="G30" s="523">
        <f>D30-E30</f>
        <v>0</v>
      </c>
    </row>
    <row r="31" spans="1:7" ht="19.5" x14ac:dyDescent="0.25">
      <c r="A31" s="522" t="s">
        <v>732</v>
      </c>
      <c r="B31" s="521">
        <f>B8+B20</f>
        <v>228381131.27051684</v>
      </c>
      <c r="C31" s="521">
        <f>C8+C20</f>
        <v>13382054.330000002</v>
      </c>
      <c r="D31" s="521">
        <f>D8+D20</f>
        <v>241763185.60051686</v>
      </c>
      <c r="E31" s="521">
        <f>E8+E20</f>
        <v>230621556.50000003</v>
      </c>
      <c r="F31" s="521">
        <f>F8+F20</f>
        <v>219772465.42000002</v>
      </c>
      <c r="G31" s="521">
        <f>G8+G20</f>
        <v>11141629.100516826</v>
      </c>
    </row>
    <row r="32" spans="1:7" ht="15.75" thickBot="1" x14ac:dyDescent="0.3">
      <c r="A32" s="520"/>
      <c r="B32" s="519"/>
      <c r="C32" s="518"/>
      <c r="D32" s="518"/>
      <c r="E32" s="518"/>
      <c r="F32" s="518"/>
      <c r="G32" s="518"/>
    </row>
  </sheetData>
  <sheetProtection password="C195" sheet="1" scenarios="1" insertHyperlinks="0"/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29E0-77AC-4BDC-A37C-B446710C5400}">
  <sheetPr>
    <pageSetUpPr fitToPage="1"/>
  </sheetPr>
  <dimension ref="A1:D48"/>
  <sheetViews>
    <sheetView view="pageBreakPreview" zoomScaleSheetLayoutView="100" workbookViewId="0">
      <selection activeCell="G19" sqref="G19"/>
    </sheetView>
  </sheetViews>
  <sheetFormatPr baseColWidth="10" defaultColWidth="11.28515625" defaultRowHeight="16.5" x14ac:dyDescent="0.25"/>
  <cols>
    <col min="1" max="1" width="64.5703125" style="1" customWidth="1"/>
    <col min="2" max="2" width="25.7109375" style="1" customWidth="1"/>
    <col min="3" max="3" width="25.7109375" style="540" customWidth="1"/>
    <col min="4" max="4" width="89.140625" style="1" customWidth="1"/>
    <col min="5" max="16384" width="11.28515625" style="1"/>
  </cols>
  <sheetData>
    <row r="1" spans="1:4" x14ac:dyDescent="0.25">
      <c r="A1" s="106" t="str">
        <f>'[1]ETCA-I-01'!A1:G1</f>
        <v xml:space="preserve">Comision Estatal del Agua </v>
      </c>
      <c r="B1" s="106"/>
      <c r="C1" s="106"/>
      <c r="D1" s="572"/>
    </row>
    <row r="2" spans="1:4" s="104" customFormat="1" ht="15.75" x14ac:dyDescent="0.25">
      <c r="A2" s="106" t="s">
        <v>764</v>
      </c>
      <c r="B2" s="106"/>
      <c r="C2" s="106"/>
    </row>
    <row r="3" spans="1:4" s="104" customFormat="1" x14ac:dyDescent="0.25">
      <c r="A3" s="105" t="str">
        <f>'[1]ETCA-I-01'!A3:G3</f>
        <v>Al 31 de Diciembre de 2021</v>
      </c>
      <c r="B3" s="105"/>
      <c r="C3" s="105"/>
    </row>
    <row r="4" spans="1:4" s="26" customFormat="1" ht="17.25" thickBot="1" x14ac:dyDescent="0.3">
      <c r="A4" s="571"/>
      <c r="B4" s="570"/>
      <c r="C4" s="569"/>
    </row>
    <row r="5" spans="1:4" s="221" customFormat="1" ht="27" customHeight="1" thickBot="1" x14ac:dyDescent="0.3">
      <c r="A5" s="568" t="s">
        <v>763</v>
      </c>
      <c r="B5" s="567"/>
      <c r="C5" s="179">
        <f>'ETCA II-04'!E80</f>
        <v>646764162.72000003</v>
      </c>
      <c r="D5" s="562" t="str">
        <f>IF((C5-'ETCA II-04'!E80)&gt;0.9,"ERROR!!!!! EL MONTO NO COINCIDE CON LO REPORTADO EN EL FORMATO ETCA-II-04, EN EL TOTAL DE EGRESOS DEVENGADO ANUAL","")</f>
        <v/>
      </c>
    </row>
    <row r="6" spans="1:4" s="221" customFormat="1" ht="9.75" customHeight="1" x14ac:dyDescent="0.25">
      <c r="A6" s="566"/>
      <c r="B6" s="201"/>
      <c r="C6" s="565"/>
      <c r="D6" s="562"/>
    </row>
    <row r="7" spans="1:4" s="221" customFormat="1" ht="17.25" customHeight="1" thickBot="1" x14ac:dyDescent="0.3">
      <c r="A7" s="564"/>
      <c r="B7" s="197"/>
      <c r="C7" s="563"/>
      <c r="D7" s="562"/>
    </row>
    <row r="8" spans="1:4" ht="20.100000000000001" customHeight="1" x14ac:dyDescent="0.25">
      <c r="A8" s="555" t="s">
        <v>762</v>
      </c>
      <c r="B8" s="561"/>
      <c r="C8" s="553">
        <f>SUM(B9:B29)</f>
        <v>166130678.29999998</v>
      </c>
      <c r="D8" s="78"/>
    </row>
    <row r="9" spans="1:4" ht="20.100000000000001" customHeight="1" x14ac:dyDescent="0.25">
      <c r="A9" s="552" t="s">
        <v>761</v>
      </c>
      <c r="B9" s="551"/>
      <c r="C9" s="550"/>
      <c r="D9" s="78"/>
    </row>
    <row r="10" spans="1:4" ht="20.100000000000001" customHeight="1" x14ac:dyDescent="0.25">
      <c r="A10" s="552" t="s">
        <v>760</v>
      </c>
      <c r="B10" s="551"/>
      <c r="C10" s="550"/>
      <c r="D10" s="78"/>
    </row>
    <row r="11" spans="1:4" ht="20.100000000000001" customHeight="1" x14ac:dyDescent="0.25">
      <c r="A11" s="552" t="s">
        <v>163</v>
      </c>
      <c r="B11" s="551">
        <v>88392</v>
      </c>
      <c r="C11" s="550"/>
      <c r="D11" s="78"/>
    </row>
    <row r="12" spans="1:4" x14ac:dyDescent="0.25">
      <c r="A12" s="552" t="s">
        <v>162</v>
      </c>
      <c r="B12" s="551">
        <v>80723.240000000005</v>
      </c>
      <c r="C12" s="550"/>
      <c r="D12" s="78"/>
    </row>
    <row r="13" spans="1:4" ht="20.100000000000001" customHeight="1" x14ac:dyDescent="0.25">
      <c r="A13" s="552" t="s">
        <v>161</v>
      </c>
      <c r="B13" s="551"/>
      <c r="C13" s="550"/>
      <c r="D13" s="78"/>
    </row>
    <row r="14" spans="1:4" ht="20.100000000000001" customHeight="1" x14ac:dyDescent="0.25">
      <c r="A14" s="552" t="s">
        <v>160</v>
      </c>
      <c r="B14" s="551"/>
      <c r="C14" s="550"/>
      <c r="D14" s="78"/>
    </row>
    <row r="15" spans="1:4" ht="20.100000000000001" customHeight="1" x14ac:dyDescent="0.25">
      <c r="A15" s="552" t="s">
        <v>159</v>
      </c>
      <c r="B15" s="551"/>
      <c r="C15" s="550"/>
      <c r="D15" s="78"/>
    </row>
    <row r="16" spans="1:4" ht="20.100000000000001" customHeight="1" x14ac:dyDescent="0.25">
      <c r="A16" s="552" t="s">
        <v>158</v>
      </c>
      <c r="B16" s="551">
        <v>314203.24</v>
      </c>
      <c r="C16" s="550"/>
      <c r="D16" s="78"/>
    </row>
    <row r="17" spans="1:4" ht="20.100000000000001" customHeight="1" x14ac:dyDescent="0.25">
      <c r="A17" s="552" t="s">
        <v>759</v>
      </c>
      <c r="B17" s="551"/>
      <c r="C17" s="550"/>
      <c r="D17" s="78"/>
    </row>
    <row r="18" spans="1:4" ht="20.100000000000001" customHeight="1" x14ac:dyDescent="0.25">
      <c r="A18" s="552" t="s">
        <v>156</v>
      </c>
      <c r="B18" s="551"/>
      <c r="C18" s="550"/>
      <c r="D18" s="78"/>
    </row>
    <row r="19" spans="1:4" ht="20.100000000000001" customHeight="1" x14ac:dyDescent="0.25">
      <c r="A19" s="552" t="s">
        <v>155</v>
      </c>
      <c r="B19" s="551"/>
      <c r="C19" s="550"/>
      <c r="D19" s="78"/>
    </row>
    <row r="20" spans="1:4" ht="20.100000000000001" customHeight="1" x14ac:dyDescent="0.25">
      <c r="A20" s="552" t="s">
        <v>153</v>
      </c>
      <c r="B20" s="551">
        <v>68664648.099999994</v>
      </c>
      <c r="C20" s="550"/>
      <c r="D20" s="78"/>
    </row>
    <row r="21" spans="1:4" ht="20.100000000000001" customHeight="1" x14ac:dyDescent="0.25">
      <c r="A21" s="552" t="s">
        <v>152</v>
      </c>
      <c r="B21" s="551"/>
      <c r="C21" s="550"/>
      <c r="D21" s="78"/>
    </row>
    <row r="22" spans="1:4" ht="20.100000000000001" customHeight="1" x14ac:dyDescent="0.25">
      <c r="A22" s="552" t="s">
        <v>148</v>
      </c>
      <c r="B22" s="551"/>
      <c r="C22" s="550"/>
      <c r="D22" s="78"/>
    </row>
    <row r="23" spans="1:4" ht="20.100000000000001" customHeight="1" x14ac:dyDescent="0.25">
      <c r="A23" s="552" t="s">
        <v>147</v>
      </c>
      <c r="B23" s="551"/>
      <c r="C23" s="550"/>
      <c r="D23" s="78"/>
    </row>
    <row r="24" spans="1:4" ht="20.100000000000001" customHeight="1" x14ac:dyDescent="0.25">
      <c r="A24" s="552" t="s">
        <v>146</v>
      </c>
      <c r="B24" s="551"/>
      <c r="C24" s="550"/>
      <c r="D24" s="78"/>
    </row>
    <row r="25" spans="1:4" ht="20.100000000000001" customHeight="1" x14ac:dyDescent="0.25">
      <c r="A25" s="552" t="s">
        <v>145</v>
      </c>
      <c r="B25" s="551"/>
      <c r="C25" s="550"/>
      <c r="D25" s="78"/>
    </row>
    <row r="26" spans="1:4" ht="20.100000000000001" customHeight="1" x14ac:dyDescent="0.25">
      <c r="A26" s="552" t="s">
        <v>143</v>
      </c>
      <c r="B26" s="551"/>
      <c r="C26" s="550"/>
      <c r="D26" s="78"/>
    </row>
    <row r="27" spans="1:4" ht="20.100000000000001" customHeight="1" x14ac:dyDescent="0.25">
      <c r="A27" s="552" t="s">
        <v>758</v>
      </c>
      <c r="B27" s="551">
        <v>22920675.659999996</v>
      </c>
      <c r="C27" s="550"/>
      <c r="D27" s="78"/>
    </row>
    <row r="28" spans="1:4" ht="20.100000000000001" customHeight="1" x14ac:dyDescent="0.25">
      <c r="A28" s="552" t="s">
        <v>757</v>
      </c>
      <c r="B28" s="551">
        <v>56304611.049999997</v>
      </c>
      <c r="C28" s="550"/>
      <c r="D28" s="78"/>
    </row>
    <row r="29" spans="1:4" ht="20.100000000000001" customHeight="1" thickBot="1" x14ac:dyDescent="0.3">
      <c r="A29" s="552" t="s">
        <v>756</v>
      </c>
      <c r="B29" s="560">
        <v>17757425.010000002</v>
      </c>
      <c r="C29" s="547"/>
      <c r="D29" s="78"/>
    </row>
    <row r="30" spans="1:4" ht="7.5" customHeight="1" x14ac:dyDescent="0.25">
      <c r="A30" s="559"/>
      <c r="B30" s="201"/>
      <c r="C30" s="558"/>
      <c r="D30" s="78"/>
    </row>
    <row r="31" spans="1:4" ht="20.100000000000001" customHeight="1" thickBot="1" x14ac:dyDescent="0.3">
      <c r="A31" s="557"/>
      <c r="B31" s="197"/>
      <c r="C31" s="556"/>
      <c r="D31" s="78"/>
    </row>
    <row r="32" spans="1:4" ht="20.100000000000001" customHeight="1" x14ac:dyDescent="0.25">
      <c r="A32" s="555" t="s">
        <v>755</v>
      </c>
      <c r="B32" s="554"/>
      <c r="C32" s="553">
        <f>SUM(B33:B39)</f>
        <v>113528402.20999999</v>
      </c>
      <c r="D32" s="78"/>
    </row>
    <row r="33" spans="1:4" x14ac:dyDescent="0.25">
      <c r="A33" s="552" t="s">
        <v>754</v>
      </c>
      <c r="B33" s="551">
        <v>15634332.24</v>
      </c>
      <c r="C33" s="550"/>
      <c r="D33" s="78"/>
    </row>
    <row r="34" spans="1:4" ht="20.100000000000001" customHeight="1" x14ac:dyDescent="0.25">
      <c r="A34" s="552" t="s">
        <v>753</v>
      </c>
      <c r="B34" s="551">
        <v>16462656.15</v>
      </c>
      <c r="C34" s="550"/>
      <c r="D34" s="178" t="str">
        <f>IF(B33&lt;&gt;'[1]ETCA-I-03'!C52,"ERROR!!!!! EL MONTO NO COINCIDE CON LO REPORTADO EN EL FORMATO ETCA-I-02 POR CONCEPTO DE ESTIMACIONES, DEPRECIACIONES, ETC..","")</f>
        <v/>
      </c>
    </row>
    <row r="35" spans="1:4" ht="20.100000000000001" customHeight="1" x14ac:dyDescent="0.25">
      <c r="A35" s="552" t="s">
        <v>752</v>
      </c>
      <c r="B35" s="551"/>
      <c r="C35" s="550"/>
      <c r="D35" s="78"/>
    </row>
    <row r="36" spans="1:4" ht="25.5" customHeight="1" x14ac:dyDescent="0.25">
      <c r="A36" s="552" t="s">
        <v>751</v>
      </c>
      <c r="B36" s="551"/>
      <c r="C36" s="550"/>
      <c r="D36" s="78"/>
    </row>
    <row r="37" spans="1:4" ht="20.100000000000001" customHeight="1" x14ac:dyDescent="0.25">
      <c r="A37" s="552" t="s">
        <v>750</v>
      </c>
      <c r="B37" s="551">
        <v>81431413.819999993</v>
      </c>
      <c r="C37" s="550"/>
      <c r="D37" s="78"/>
    </row>
    <row r="38" spans="1:4" ht="20.100000000000001" customHeight="1" x14ac:dyDescent="0.25">
      <c r="A38" s="552" t="s">
        <v>749</v>
      </c>
      <c r="B38" s="551"/>
      <c r="C38" s="550"/>
      <c r="D38" s="78"/>
    </row>
    <row r="39" spans="1:4" ht="20.100000000000001" customHeight="1" x14ac:dyDescent="0.25">
      <c r="A39" s="552" t="s">
        <v>748</v>
      </c>
      <c r="B39" s="551"/>
      <c r="C39" s="550"/>
      <c r="D39" s="78"/>
    </row>
    <row r="40" spans="1:4" ht="20.100000000000001" customHeight="1" thickBot="1" x14ac:dyDescent="0.3">
      <c r="A40" s="549"/>
      <c r="B40" s="548"/>
      <c r="C40" s="547"/>
      <c r="D40" s="78"/>
    </row>
    <row r="41" spans="1:4" ht="20.100000000000001" customHeight="1" thickBot="1" x14ac:dyDescent="0.3">
      <c r="A41" s="546" t="s">
        <v>747</v>
      </c>
      <c r="B41" s="545"/>
      <c r="C41" s="179">
        <f>C5-C8+C32</f>
        <v>594161886.63000011</v>
      </c>
      <c r="D41" s="78"/>
    </row>
    <row r="42" spans="1:4" ht="20.100000000000001" customHeight="1" x14ac:dyDescent="0.25">
      <c r="A42" s="543"/>
      <c r="B42" s="542"/>
      <c r="C42" s="541"/>
      <c r="D42" s="78" t="str">
        <f>IF((C41-'[1]ETCA-I-03'!C61)&gt;0.9,"ERROR!!!!! EL MONTO NO COINCIDE CON LO REPORTADO EN EL FORMATO ETCA-I-03, EN EL MISMO RUBRO","")</f>
        <v/>
      </c>
    </row>
    <row r="43" spans="1:4" ht="20.100000000000001" customHeight="1" x14ac:dyDescent="0.25">
      <c r="A43" s="544"/>
      <c r="B43" s="542"/>
      <c r="C43" s="541"/>
      <c r="D43" s="78"/>
    </row>
    <row r="44" spans="1:4" ht="20.100000000000001" customHeight="1" x14ac:dyDescent="0.25">
      <c r="A44" s="544"/>
      <c r="B44" s="542"/>
      <c r="C44" s="541"/>
      <c r="D44" s="78"/>
    </row>
    <row r="45" spans="1:4" ht="20.100000000000001" customHeight="1" x14ac:dyDescent="0.25">
      <c r="A45" s="544"/>
      <c r="B45" s="542"/>
      <c r="C45" s="541"/>
      <c r="D45" s="78"/>
    </row>
    <row r="46" spans="1:4" ht="20.100000000000001" customHeight="1" x14ac:dyDescent="0.25">
      <c r="A46" s="544"/>
      <c r="B46" s="542"/>
      <c r="C46" s="541"/>
      <c r="D46" s="78"/>
    </row>
    <row r="47" spans="1:4" ht="26.25" customHeight="1" x14ac:dyDescent="0.25">
      <c r="A47" s="543"/>
      <c r="B47" s="542"/>
      <c r="C47" s="541"/>
      <c r="D47" s="78"/>
    </row>
    <row r="48" spans="1:4" x14ac:dyDescent="0.25">
      <c r="D48" s="78"/>
    </row>
  </sheetData>
  <sheetProtection password="C115" sheet="1" scenarios="1" formatColumns="0" formatRows="0" insertHyperlinks="0"/>
  <mergeCells count="3">
    <mergeCell ref="A1:C1"/>
    <mergeCell ref="A2:C2"/>
    <mergeCell ref="A3:C3"/>
  </mergeCells>
  <printOptions horizontalCentered="1"/>
  <pageMargins left="0.39370078740157483" right="0.39370078740157483" top="0.74803149606299213" bottom="0.74803149606299213" header="0.31496062992125984" footer="0.31496062992125984"/>
  <pageSetup scale="7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9A95-0D00-49BD-A471-EC4C7EBBDB27}">
  <dimension ref="A1:J37"/>
  <sheetViews>
    <sheetView view="pageBreakPreview" zoomScaleSheetLayoutView="100" workbookViewId="0">
      <selection activeCell="G19" sqref="G19"/>
    </sheetView>
  </sheetViews>
  <sheetFormatPr baseColWidth="10" defaultColWidth="11.28515625" defaultRowHeight="16.5" x14ac:dyDescent="0.3"/>
  <cols>
    <col min="1" max="1" width="4.28515625" style="573" customWidth="1"/>
    <col min="2" max="2" width="41.7109375" style="573" customWidth="1"/>
    <col min="3" max="5" width="16.7109375" style="573" customWidth="1"/>
    <col min="6" max="16384" width="11.28515625" style="573"/>
  </cols>
  <sheetData>
    <row r="1" spans="1:5" x14ac:dyDescent="0.3">
      <c r="A1" s="174" t="str">
        <f>'[1]ETCA-I-01'!A1:G1</f>
        <v xml:space="preserve">Comision Estatal del Agua </v>
      </c>
      <c r="B1" s="174"/>
      <c r="C1" s="174"/>
      <c r="D1" s="174"/>
      <c r="E1" s="174"/>
    </row>
    <row r="2" spans="1:5" x14ac:dyDescent="0.3">
      <c r="A2" s="609" t="s">
        <v>775</v>
      </c>
      <c r="B2" s="609"/>
      <c r="C2" s="609"/>
      <c r="D2" s="609"/>
      <c r="E2" s="609"/>
    </row>
    <row r="3" spans="1:5" x14ac:dyDescent="0.3">
      <c r="A3" s="610" t="str">
        <f>'[1]ETCA-I-03'!A3:D3</f>
        <v>Del 01 de Enero  al 31 de Diciembre de 2021</v>
      </c>
      <c r="B3" s="610"/>
      <c r="C3" s="610"/>
      <c r="D3" s="610"/>
      <c r="E3" s="610"/>
    </row>
    <row r="4" spans="1:5" ht="17.25" thickBot="1" x14ac:dyDescent="0.35">
      <c r="A4" s="608"/>
      <c r="B4" s="609" t="s">
        <v>779</v>
      </c>
      <c r="C4" s="609"/>
      <c r="D4" s="100"/>
      <c r="E4" s="608"/>
    </row>
    <row r="5" spans="1:5" s="54" customFormat="1" ht="30" customHeight="1" x14ac:dyDescent="0.25">
      <c r="A5" s="607" t="s">
        <v>778</v>
      </c>
      <c r="B5" s="606"/>
      <c r="C5" s="605" t="s">
        <v>777</v>
      </c>
      <c r="D5" s="604" t="s">
        <v>776</v>
      </c>
      <c r="E5" s="603" t="s">
        <v>775</v>
      </c>
    </row>
    <row r="6" spans="1:5" s="54" customFormat="1" ht="30" customHeight="1" thickBot="1" x14ac:dyDescent="0.3">
      <c r="A6" s="602"/>
      <c r="B6" s="601"/>
      <c r="C6" s="600" t="s">
        <v>774</v>
      </c>
      <c r="D6" s="600" t="s">
        <v>773</v>
      </c>
      <c r="E6" s="599" t="s">
        <v>772</v>
      </c>
    </row>
    <row r="7" spans="1:5" s="54" customFormat="1" ht="21" customHeight="1" x14ac:dyDescent="0.25">
      <c r="A7" s="598" t="s">
        <v>771</v>
      </c>
      <c r="B7" s="597"/>
      <c r="C7" s="597"/>
      <c r="D7" s="597"/>
      <c r="E7" s="596"/>
    </row>
    <row r="8" spans="1:5" s="54" customFormat="1" ht="20.25" customHeight="1" x14ac:dyDescent="0.25">
      <c r="A8" s="588">
        <v>1</v>
      </c>
      <c r="B8" s="591" t="s">
        <v>770</v>
      </c>
      <c r="C8" s="590">
        <v>446913961</v>
      </c>
      <c r="D8" s="589">
        <f>163657577.71+5833428.64+6056183.96</f>
        <v>175547190.31</v>
      </c>
      <c r="E8" s="584">
        <f>IF(B8="","",C8-D8)</f>
        <v>271366770.69</v>
      </c>
    </row>
    <row r="9" spans="1:5" s="54" customFormat="1" ht="20.25" customHeight="1" x14ac:dyDescent="0.25">
      <c r="A9" s="588">
        <v>2</v>
      </c>
      <c r="B9" s="591"/>
      <c r="C9" s="590"/>
      <c r="D9" s="589"/>
      <c r="E9" s="584" t="str">
        <f>IF(B9="","",C9-D9)</f>
        <v/>
      </c>
    </row>
    <row r="10" spans="1:5" s="54" customFormat="1" ht="20.25" customHeight="1" x14ac:dyDescent="0.25">
      <c r="A10" s="588">
        <v>3</v>
      </c>
      <c r="B10" s="591"/>
      <c r="C10" s="590"/>
      <c r="D10" s="589"/>
      <c r="E10" s="584" t="str">
        <f>IF(B10="","",C10-D10)</f>
        <v/>
      </c>
    </row>
    <row r="11" spans="1:5" s="54" customFormat="1" ht="20.25" customHeight="1" x14ac:dyDescent="0.25">
      <c r="A11" s="588">
        <v>4</v>
      </c>
      <c r="B11" s="591"/>
      <c r="C11" s="590"/>
      <c r="D11" s="589"/>
      <c r="E11" s="584" t="str">
        <f>IF(B11="","",C11-D11)</f>
        <v/>
      </c>
    </row>
    <row r="12" spans="1:5" s="54" customFormat="1" ht="20.25" customHeight="1" x14ac:dyDescent="0.25">
      <c r="A12" s="588">
        <v>5</v>
      </c>
      <c r="B12" s="591"/>
      <c r="C12" s="590"/>
      <c r="D12" s="589"/>
      <c r="E12" s="584" t="str">
        <f>IF(B12="","",C12-D12)</f>
        <v/>
      </c>
    </row>
    <row r="13" spans="1:5" s="54" customFormat="1" ht="20.25" customHeight="1" x14ac:dyDescent="0.25">
      <c r="A13" s="588">
        <v>6</v>
      </c>
      <c r="B13" s="591"/>
      <c r="C13" s="590"/>
      <c r="D13" s="589"/>
      <c r="E13" s="584" t="str">
        <f>IF(B13="","",C13-D13)</f>
        <v/>
      </c>
    </row>
    <row r="14" spans="1:5" s="54" customFormat="1" ht="20.25" customHeight="1" x14ac:dyDescent="0.25">
      <c r="A14" s="588">
        <v>7</v>
      </c>
      <c r="B14" s="591"/>
      <c r="C14" s="590"/>
      <c r="D14" s="589"/>
      <c r="E14" s="584" t="str">
        <f>IF(B14="","",C14-D14)</f>
        <v/>
      </c>
    </row>
    <row r="15" spans="1:5" s="54" customFormat="1" ht="20.25" customHeight="1" x14ac:dyDescent="0.25">
      <c r="A15" s="588">
        <v>8</v>
      </c>
      <c r="B15" s="591"/>
      <c r="C15" s="590"/>
      <c r="D15" s="589"/>
      <c r="E15" s="584" t="str">
        <f>IF(B15="","",C15-D15)</f>
        <v/>
      </c>
    </row>
    <row r="16" spans="1:5" s="54" customFormat="1" ht="20.25" customHeight="1" x14ac:dyDescent="0.25">
      <c r="A16" s="588">
        <v>9</v>
      </c>
      <c r="B16" s="591"/>
      <c r="C16" s="590"/>
      <c r="D16" s="589"/>
      <c r="E16" s="584" t="str">
        <f>IF(B16="","",C16-D16)</f>
        <v/>
      </c>
    </row>
    <row r="17" spans="1:5" s="54" customFormat="1" ht="20.25" customHeight="1" x14ac:dyDescent="0.25">
      <c r="A17" s="588">
        <v>10</v>
      </c>
      <c r="B17" s="591"/>
      <c r="C17" s="590"/>
      <c r="D17" s="589"/>
      <c r="E17" s="584" t="str">
        <f>IF(B17="","",C17-D17)</f>
        <v/>
      </c>
    </row>
    <row r="18" spans="1:5" s="54" customFormat="1" ht="20.25" customHeight="1" x14ac:dyDescent="0.25">
      <c r="A18" s="588"/>
      <c r="B18" s="595" t="s">
        <v>769</v>
      </c>
      <c r="C18" s="586">
        <f>SUM(C8:C17)</f>
        <v>446913961</v>
      </c>
      <c r="D18" s="585">
        <f>SUM(D8:D17)</f>
        <v>175547190.31</v>
      </c>
      <c r="E18" s="584">
        <f>SUM(E8:E17)</f>
        <v>271366770.69</v>
      </c>
    </row>
    <row r="19" spans="1:5" s="54" customFormat="1" ht="21" customHeight="1" x14ac:dyDescent="0.25">
      <c r="A19" s="594" t="s">
        <v>768</v>
      </c>
      <c r="B19" s="593"/>
      <c r="C19" s="593"/>
      <c r="D19" s="593"/>
      <c r="E19" s="592"/>
    </row>
    <row r="20" spans="1:5" s="54" customFormat="1" ht="20.25" customHeight="1" x14ac:dyDescent="0.25">
      <c r="A20" s="588">
        <v>1</v>
      </c>
      <c r="B20" s="591"/>
      <c r="C20" s="590"/>
      <c r="D20" s="589"/>
      <c r="E20" s="584" t="str">
        <f>IF(B20="","",C20-D20)</f>
        <v/>
      </c>
    </row>
    <row r="21" spans="1:5" s="54" customFormat="1" ht="20.25" customHeight="1" x14ac:dyDescent="0.25">
      <c r="A21" s="588">
        <v>2</v>
      </c>
      <c r="B21" s="591"/>
      <c r="C21" s="590"/>
      <c r="D21" s="589"/>
      <c r="E21" s="584" t="str">
        <f>IF(B21="","",C21-D21)</f>
        <v/>
      </c>
    </row>
    <row r="22" spans="1:5" s="54" customFormat="1" ht="20.25" customHeight="1" x14ac:dyDescent="0.25">
      <c r="A22" s="588">
        <v>3</v>
      </c>
      <c r="B22" s="591"/>
      <c r="C22" s="590"/>
      <c r="D22" s="589"/>
      <c r="E22" s="584" t="str">
        <f>IF(B22="","",C22-D22)</f>
        <v/>
      </c>
    </row>
    <row r="23" spans="1:5" s="54" customFormat="1" ht="20.25" customHeight="1" x14ac:dyDescent="0.25">
      <c r="A23" s="588">
        <v>4</v>
      </c>
      <c r="B23" s="591"/>
      <c r="C23" s="590"/>
      <c r="D23" s="589"/>
      <c r="E23" s="584" t="str">
        <f>IF(B23="","",C23-D23)</f>
        <v/>
      </c>
    </row>
    <row r="24" spans="1:5" s="54" customFormat="1" ht="20.25" customHeight="1" x14ac:dyDescent="0.25">
      <c r="A24" s="588">
        <v>5</v>
      </c>
      <c r="B24" s="591"/>
      <c r="C24" s="590"/>
      <c r="D24" s="589"/>
      <c r="E24" s="584" t="str">
        <f>IF(B24="","",C24-D24)</f>
        <v/>
      </c>
    </row>
    <row r="25" spans="1:5" s="54" customFormat="1" ht="20.25" customHeight="1" x14ac:dyDescent="0.25">
      <c r="A25" s="588">
        <v>6</v>
      </c>
      <c r="B25" s="591"/>
      <c r="C25" s="590"/>
      <c r="D25" s="589"/>
      <c r="E25" s="584" t="str">
        <f>IF(B25="","",C25-D25)</f>
        <v/>
      </c>
    </row>
    <row r="26" spans="1:5" s="54" customFormat="1" ht="20.25" customHeight="1" x14ac:dyDescent="0.25">
      <c r="A26" s="588">
        <v>7</v>
      </c>
      <c r="B26" s="591"/>
      <c r="C26" s="590"/>
      <c r="D26" s="589"/>
      <c r="E26" s="584" t="str">
        <f>IF(B26="","",C26-D26)</f>
        <v/>
      </c>
    </row>
    <row r="27" spans="1:5" s="54" customFormat="1" ht="20.25" customHeight="1" x14ac:dyDescent="0.25">
      <c r="A27" s="588">
        <v>8</v>
      </c>
      <c r="B27" s="591"/>
      <c r="C27" s="590"/>
      <c r="D27" s="589"/>
      <c r="E27" s="584" t="str">
        <f>IF(B27="","",C27-D28)</f>
        <v/>
      </c>
    </row>
    <row r="28" spans="1:5" s="54" customFormat="1" ht="20.25" customHeight="1" x14ac:dyDescent="0.25">
      <c r="A28" s="588">
        <v>9</v>
      </c>
      <c r="B28" s="591"/>
      <c r="C28" s="590"/>
      <c r="D28" s="589"/>
      <c r="E28" s="584" t="str">
        <f>IF(B28="","",C28-#REF!)</f>
        <v/>
      </c>
    </row>
    <row r="29" spans="1:5" s="54" customFormat="1" ht="20.25" customHeight="1" x14ac:dyDescent="0.25">
      <c r="A29" s="588">
        <v>10</v>
      </c>
      <c r="B29" s="591"/>
      <c r="C29" s="590"/>
      <c r="D29" s="589"/>
      <c r="E29" s="584" t="str">
        <f>IF(B29="","",C29-D29)</f>
        <v/>
      </c>
    </row>
    <row r="30" spans="1:5" s="583" customFormat="1" ht="39.950000000000003" customHeight="1" thickBot="1" x14ac:dyDescent="0.35">
      <c r="A30" s="588"/>
      <c r="B30" s="587" t="s">
        <v>767</v>
      </c>
      <c r="C30" s="586">
        <f>SUM(C20:C29)</f>
        <v>0</v>
      </c>
      <c r="D30" s="585">
        <f>SUM(D20:D29)</f>
        <v>0</v>
      </c>
      <c r="E30" s="584">
        <f>SUM(E20:E29)</f>
        <v>0</v>
      </c>
    </row>
    <row r="31" spans="1:5" ht="30" customHeight="1" thickBot="1" x14ac:dyDescent="0.35">
      <c r="A31" s="582"/>
      <c r="B31" s="581" t="s">
        <v>766</v>
      </c>
      <c r="C31" s="580">
        <f>SUM(C18,C30)</f>
        <v>446913961</v>
      </c>
      <c r="D31" s="580">
        <f>SUM(D18,D30)</f>
        <v>175547190.31</v>
      </c>
      <c r="E31" s="579">
        <f>SUM(E18,E30)</f>
        <v>271366770.69</v>
      </c>
    </row>
    <row r="32" spans="1:5" ht="17.100000000000001" customHeight="1" x14ac:dyDescent="0.3">
      <c r="A32" s="578" t="s">
        <v>765</v>
      </c>
    </row>
    <row r="33" spans="1:10" ht="17.100000000000001" customHeight="1" x14ac:dyDescent="0.3">
      <c r="A33" s="577"/>
      <c r="B33" s="576"/>
      <c r="C33" s="575"/>
      <c r="D33" s="575"/>
      <c r="E33" s="575"/>
    </row>
    <row r="34" spans="1:10" ht="17.100000000000001" customHeight="1" x14ac:dyDescent="0.3">
      <c r="A34" s="577"/>
      <c r="B34" s="576"/>
      <c r="C34" s="575"/>
      <c r="D34" s="575"/>
      <c r="E34" s="575"/>
    </row>
    <row r="35" spans="1:10" ht="17.100000000000001" customHeight="1" x14ac:dyDescent="0.3">
      <c r="A35" s="577"/>
      <c r="B35" s="576"/>
      <c r="C35" s="575"/>
      <c r="D35" s="575"/>
      <c r="E35" s="575"/>
    </row>
    <row r="36" spans="1:10" ht="17.100000000000001" customHeight="1" x14ac:dyDescent="0.3">
      <c r="A36" s="577"/>
      <c r="B36" s="576"/>
      <c r="C36" s="575"/>
      <c r="D36" s="575"/>
      <c r="E36" s="575"/>
    </row>
    <row r="37" spans="1:10" ht="17.100000000000001" customHeight="1" x14ac:dyDescent="0.3">
      <c r="A37" s="573" t="s">
        <v>44</v>
      </c>
      <c r="J37" s="574"/>
    </row>
  </sheetData>
  <sheetProtection insertHyperlinks="0"/>
  <mergeCells count="7">
    <mergeCell ref="A1:E1"/>
    <mergeCell ref="A3:E3"/>
    <mergeCell ref="A19:E19"/>
    <mergeCell ref="A2:E2"/>
    <mergeCell ref="A5:B6"/>
    <mergeCell ref="A7:E7"/>
    <mergeCell ref="B4:C4"/>
  </mergeCells>
  <printOptions horizontalCentered="1"/>
  <pageMargins left="0.39370078740157483" right="0.39370078740157483" top="0.74803149606299213" bottom="0.74803149606299213" header="0.31496062992125984" footer="0.31496062992125984"/>
  <pageSetup scale="9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9DB39-E03C-4AF6-9DC8-2DF603EABD88}">
  <dimension ref="A1:I37"/>
  <sheetViews>
    <sheetView view="pageBreakPreview" topLeftCell="A16" zoomScale="90" zoomScaleSheetLayoutView="90" workbookViewId="0">
      <selection activeCell="G19" sqref="G19"/>
    </sheetView>
  </sheetViews>
  <sheetFormatPr baseColWidth="10" defaultColWidth="11.28515625" defaultRowHeight="16.5" x14ac:dyDescent="0.3"/>
  <cols>
    <col min="1" max="1" width="4.85546875" style="573" customWidth="1"/>
    <col min="2" max="2" width="41" style="573" customWidth="1"/>
    <col min="3" max="4" width="25.7109375" style="573" customWidth="1"/>
    <col min="5" max="16384" width="11.28515625" style="573"/>
  </cols>
  <sheetData>
    <row r="1" spans="1:6" x14ac:dyDescent="0.3">
      <c r="A1" s="621"/>
      <c r="B1" s="174" t="str">
        <f>'[1]ETCA-I-01'!A1</f>
        <v xml:space="preserve">Comision Estatal del Agua </v>
      </c>
      <c r="C1" s="174"/>
      <c r="D1" s="174"/>
    </row>
    <row r="2" spans="1:6" x14ac:dyDescent="0.3">
      <c r="B2" s="609" t="s">
        <v>783</v>
      </c>
      <c r="C2" s="609"/>
      <c r="D2" s="609"/>
      <c r="F2" s="620"/>
    </row>
    <row r="3" spans="1:6" x14ac:dyDescent="0.3">
      <c r="B3" s="610" t="str">
        <f>'[1]ETCA-I-03'!A3</f>
        <v>Del 01 de Enero  al 31 de Diciembre de 2021</v>
      </c>
      <c r="C3" s="610"/>
      <c r="D3" s="610"/>
    </row>
    <row r="4" spans="1:6" x14ac:dyDescent="0.3">
      <c r="A4" s="619"/>
      <c r="B4" s="618" t="s">
        <v>782</v>
      </c>
      <c r="C4" s="618"/>
      <c r="D4" s="226"/>
    </row>
    <row r="5" spans="1:6" ht="6.75" customHeight="1" thickBot="1" x14ac:dyDescent="0.35"/>
    <row r="6" spans="1:6" s="54" customFormat="1" ht="27.95" customHeight="1" x14ac:dyDescent="0.25">
      <c r="A6" s="607" t="s">
        <v>778</v>
      </c>
      <c r="B6" s="606"/>
      <c r="C6" s="617" t="s">
        <v>108</v>
      </c>
      <c r="D6" s="616" t="s">
        <v>339</v>
      </c>
    </row>
    <row r="7" spans="1:6" s="54" customFormat="1" ht="4.5" customHeight="1" thickBot="1" x14ac:dyDescent="0.3">
      <c r="A7" s="602"/>
      <c r="B7" s="601"/>
      <c r="C7" s="615"/>
      <c r="D7" s="614"/>
    </row>
    <row r="8" spans="1:6" s="54" customFormat="1" ht="21" customHeight="1" x14ac:dyDescent="0.25">
      <c r="A8" s="598" t="s">
        <v>771</v>
      </c>
      <c r="B8" s="597"/>
      <c r="C8" s="597"/>
      <c r="D8" s="596"/>
    </row>
    <row r="9" spans="1:6" s="54" customFormat="1" ht="18" customHeight="1" x14ac:dyDescent="0.25">
      <c r="A9" s="588">
        <v>1</v>
      </c>
      <c r="B9" s="591" t="s">
        <v>439</v>
      </c>
      <c r="C9" s="613">
        <v>15359419.169999998</v>
      </c>
      <c r="D9" s="612">
        <v>15359419.169999998</v>
      </c>
    </row>
    <row r="10" spans="1:6" s="54" customFormat="1" ht="18" customHeight="1" x14ac:dyDescent="0.25">
      <c r="A10" s="588">
        <v>2</v>
      </c>
      <c r="B10" s="591"/>
      <c r="C10" s="613"/>
      <c r="D10" s="612"/>
    </row>
    <row r="11" spans="1:6" s="54" customFormat="1" ht="18" customHeight="1" x14ac:dyDescent="0.25">
      <c r="A11" s="588">
        <v>3</v>
      </c>
      <c r="B11" s="591"/>
      <c r="C11" s="613"/>
      <c r="D11" s="612"/>
    </row>
    <row r="12" spans="1:6" s="54" customFormat="1" ht="18" customHeight="1" x14ac:dyDescent="0.25">
      <c r="A12" s="588">
        <v>4</v>
      </c>
      <c r="B12" s="591"/>
      <c r="C12" s="613"/>
      <c r="D12" s="612"/>
    </row>
    <row r="13" spans="1:6" s="54" customFormat="1" ht="18" customHeight="1" x14ac:dyDescent="0.25">
      <c r="A13" s="588">
        <v>5</v>
      </c>
      <c r="B13" s="591"/>
      <c r="C13" s="613"/>
      <c r="D13" s="612"/>
    </row>
    <row r="14" spans="1:6" s="54" customFormat="1" ht="18" customHeight="1" x14ac:dyDescent="0.25">
      <c r="A14" s="588">
        <v>6</v>
      </c>
      <c r="B14" s="591"/>
      <c r="C14" s="613"/>
      <c r="D14" s="612"/>
    </row>
    <row r="15" spans="1:6" s="54" customFormat="1" ht="18" customHeight="1" x14ac:dyDescent="0.25">
      <c r="A15" s="588">
        <v>7</v>
      </c>
      <c r="B15" s="591"/>
      <c r="C15" s="613"/>
      <c r="D15" s="612"/>
    </row>
    <row r="16" spans="1:6" s="54" customFormat="1" ht="18" customHeight="1" x14ac:dyDescent="0.25">
      <c r="A16" s="588">
        <v>8</v>
      </c>
      <c r="B16" s="591"/>
      <c r="C16" s="613"/>
      <c r="D16" s="612"/>
    </row>
    <row r="17" spans="1:4" s="54" customFormat="1" ht="18" customHeight="1" x14ac:dyDescent="0.25">
      <c r="A17" s="588">
        <v>9</v>
      </c>
      <c r="B17" s="591"/>
      <c r="C17" s="613"/>
      <c r="D17" s="612"/>
    </row>
    <row r="18" spans="1:4" s="54" customFormat="1" ht="18" customHeight="1" x14ac:dyDescent="0.25">
      <c r="A18" s="588">
        <v>10</v>
      </c>
      <c r="B18" s="591"/>
      <c r="C18" s="613"/>
      <c r="D18" s="612"/>
    </row>
    <row r="19" spans="1:4" s="54" customFormat="1" ht="18" customHeight="1" x14ac:dyDescent="0.25">
      <c r="A19" s="588"/>
      <c r="B19" s="595" t="s">
        <v>781</v>
      </c>
      <c r="C19" s="586">
        <f>SUM(C9:C18)</f>
        <v>15359419.169999998</v>
      </c>
      <c r="D19" s="584">
        <f>SUM(D9:D18)</f>
        <v>15359419.169999998</v>
      </c>
    </row>
    <row r="20" spans="1:4" s="54" customFormat="1" ht="21" customHeight="1" x14ac:dyDescent="0.25">
      <c r="A20" s="594" t="s">
        <v>768</v>
      </c>
      <c r="B20" s="593"/>
      <c r="C20" s="593"/>
      <c r="D20" s="592"/>
    </row>
    <row r="21" spans="1:4" s="54" customFormat="1" ht="18" customHeight="1" x14ac:dyDescent="0.25">
      <c r="A21" s="588">
        <v>1</v>
      </c>
      <c r="B21" s="591"/>
      <c r="C21" s="613"/>
      <c r="D21" s="612"/>
    </row>
    <row r="22" spans="1:4" s="54" customFormat="1" ht="18" customHeight="1" x14ac:dyDescent="0.25">
      <c r="A22" s="588">
        <v>2</v>
      </c>
      <c r="B22" s="591"/>
      <c r="C22" s="613"/>
      <c r="D22" s="612"/>
    </row>
    <row r="23" spans="1:4" s="54" customFormat="1" ht="18" customHeight="1" x14ac:dyDescent="0.25">
      <c r="A23" s="588">
        <v>3</v>
      </c>
      <c r="B23" s="591"/>
      <c r="C23" s="613"/>
      <c r="D23" s="612"/>
    </row>
    <row r="24" spans="1:4" s="54" customFormat="1" ht="18" customHeight="1" x14ac:dyDescent="0.25">
      <c r="A24" s="588">
        <v>4</v>
      </c>
      <c r="B24" s="591"/>
      <c r="C24" s="613"/>
      <c r="D24" s="612"/>
    </row>
    <row r="25" spans="1:4" s="54" customFormat="1" ht="18" customHeight="1" x14ac:dyDescent="0.25">
      <c r="A25" s="588">
        <v>5</v>
      </c>
      <c r="B25" s="591"/>
      <c r="C25" s="613"/>
      <c r="D25" s="612"/>
    </row>
    <row r="26" spans="1:4" s="54" customFormat="1" ht="18" customHeight="1" x14ac:dyDescent="0.25">
      <c r="A26" s="588">
        <v>6</v>
      </c>
      <c r="B26" s="591"/>
      <c r="C26" s="613"/>
      <c r="D26" s="612"/>
    </row>
    <row r="27" spans="1:4" s="54" customFormat="1" ht="18" customHeight="1" x14ac:dyDescent="0.25">
      <c r="A27" s="588">
        <v>7</v>
      </c>
      <c r="B27" s="591"/>
      <c r="C27" s="613"/>
      <c r="D27" s="612"/>
    </row>
    <row r="28" spans="1:4" s="54" customFormat="1" ht="18" customHeight="1" x14ac:dyDescent="0.25">
      <c r="A28" s="588">
        <v>8</v>
      </c>
      <c r="B28" s="591"/>
      <c r="C28" s="613"/>
      <c r="D28" s="612"/>
    </row>
    <row r="29" spans="1:4" s="54" customFormat="1" ht="18" customHeight="1" x14ac:dyDescent="0.25">
      <c r="A29" s="588">
        <v>9</v>
      </c>
      <c r="B29" s="591"/>
      <c r="C29" s="613"/>
      <c r="D29" s="612"/>
    </row>
    <row r="30" spans="1:4" s="54" customFormat="1" ht="18" customHeight="1" x14ac:dyDescent="0.25">
      <c r="A30" s="588">
        <v>10</v>
      </c>
      <c r="B30" s="591"/>
      <c r="C30" s="613" t="s">
        <v>44</v>
      </c>
      <c r="D30" s="612"/>
    </row>
    <row r="31" spans="1:4" s="583" customFormat="1" ht="18" customHeight="1" thickBot="1" x14ac:dyDescent="0.35">
      <c r="A31" s="588"/>
      <c r="B31" s="587" t="s">
        <v>780</v>
      </c>
      <c r="C31" s="586">
        <f>SUM(C21:C30)</f>
        <v>0</v>
      </c>
      <c r="D31" s="584">
        <f>SUM(D21:D30)</f>
        <v>0</v>
      </c>
    </row>
    <row r="32" spans="1:4" ht="27.95" customHeight="1" thickBot="1" x14ac:dyDescent="0.35">
      <c r="A32" s="582"/>
      <c r="B32" s="581" t="s">
        <v>766</v>
      </c>
      <c r="C32" s="580">
        <f>SUM(C31,C19)</f>
        <v>15359419.169999998</v>
      </c>
      <c r="D32" s="611">
        <f>SUM(D31,D19)</f>
        <v>15359419.169999998</v>
      </c>
    </row>
    <row r="33" spans="1:9" s="583" customFormat="1" ht="18" customHeight="1" x14ac:dyDescent="0.3">
      <c r="A33" s="578" t="s">
        <v>765</v>
      </c>
      <c r="B33" s="573"/>
      <c r="C33" s="573"/>
      <c r="D33" s="573"/>
      <c r="E33" s="573"/>
    </row>
    <row r="34" spans="1:9" s="583" customFormat="1" ht="18" customHeight="1" x14ac:dyDescent="0.3">
      <c r="A34" s="573"/>
      <c r="B34" s="573"/>
      <c r="C34" s="573"/>
      <c r="D34" s="573"/>
      <c r="E34" s="573"/>
    </row>
    <row r="35" spans="1:9" s="583" customFormat="1" ht="18" customHeight="1" x14ac:dyDescent="0.3">
      <c r="A35" s="573"/>
      <c r="B35" s="573"/>
      <c r="C35" s="573"/>
      <c r="D35" s="573"/>
      <c r="E35" s="573"/>
    </row>
    <row r="36" spans="1:9" ht="17.100000000000001" customHeight="1" x14ac:dyDescent="0.3">
      <c r="A36" s="577"/>
      <c r="B36" s="576"/>
      <c r="C36" s="575"/>
      <c r="D36" s="575"/>
    </row>
    <row r="37" spans="1:9" ht="17.100000000000001" customHeight="1" x14ac:dyDescent="0.3">
      <c r="I37" s="574"/>
    </row>
  </sheetData>
  <sheetProtection insertHyperlinks="0"/>
  <mergeCells count="9">
    <mergeCell ref="A8:D8"/>
    <mergeCell ref="A20:D20"/>
    <mergeCell ref="C6:C7"/>
    <mergeCell ref="D6:D7"/>
    <mergeCell ref="B1:D1"/>
    <mergeCell ref="B2:D2"/>
    <mergeCell ref="B3:D3"/>
    <mergeCell ref="B4:C4"/>
    <mergeCell ref="A6:B7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A6131-6FA3-4F59-8DEA-0BFA9B437F28}">
  <dimension ref="A1:J90"/>
  <sheetViews>
    <sheetView view="pageBreakPreview" zoomScale="130" zoomScaleNormal="120" zoomScaleSheetLayoutView="130" workbookViewId="0">
      <selection activeCell="G19" sqref="G19"/>
    </sheetView>
  </sheetViews>
  <sheetFormatPr baseColWidth="10" defaultColWidth="11.42578125" defaultRowHeight="15" x14ac:dyDescent="0.25"/>
  <cols>
    <col min="1" max="1" width="1.85546875" customWidth="1"/>
    <col min="2" max="2" width="0.85546875" customWidth="1"/>
    <col min="3" max="3" width="48.28515625" customWidth="1"/>
    <col min="5" max="5" width="12.85546875" customWidth="1"/>
  </cols>
  <sheetData>
    <row r="1" spans="1:9" ht="15.75" x14ac:dyDescent="0.25">
      <c r="A1" s="174" t="str">
        <f>'[1]ETCA-I-01'!A1:G1</f>
        <v xml:space="preserve">Comision Estatal del Agua </v>
      </c>
      <c r="B1" s="174"/>
      <c r="C1" s="174"/>
      <c r="D1" s="174"/>
      <c r="E1" s="174"/>
      <c r="F1" s="174"/>
      <c r="G1" s="174"/>
      <c r="H1" s="174"/>
      <c r="I1" s="174"/>
    </row>
    <row r="2" spans="1:9" ht="15.75" customHeight="1" x14ac:dyDescent="0.25">
      <c r="A2" s="173" t="s">
        <v>113</v>
      </c>
      <c r="B2" s="173"/>
      <c r="C2" s="173"/>
      <c r="D2" s="173"/>
      <c r="E2" s="173"/>
      <c r="F2" s="173"/>
      <c r="G2" s="173"/>
      <c r="H2" s="173"/>
      <c r="I2" s="173"/>
    </row>
    <row r="3" spans="1:9" ht="15.75" customHeight="1" x14ac:dyDescent="0.25">
      <c r="A3" s="172" t="str">
        <f>'[1]ETCA-I-10'!A3:K3</f>
        <v>Del 01 de Enero  al 31 de Diciembre de 2021</v>
      </c>
      <c r="B3" s="172"/>
      <c r="C3" s="172"/>
      <c r="D3" s="172"/>
      <c r="E3" s="172"/>
      <c r="F3" s="172"/>
      <c r="G3" s="172"/>
      <c r="H3" s="172"/>
      <c r="I3" s="172"/>
    </row>
    <row r="4" spans="1:9" ht="15.75" customHeight="1" thickBot="1" x14ac:dyDescent="0.3">
      <c r="A4" s="171"/>
      <c r="B4" s="171"/>
      <c r="C4" s="171"/>
      <c r="D4" s="171"/>
      <c r="E4" s="171"/>
      <c r="F4" s="171"/>
      <c r="G4" s="171"/>
      <c r="H4" s="171"/>
      <c r="I4" s="171"/>
    </row>
    <row r="5" spans="1:9" ht="15.75" thickBot="1" x14ac:dyDescent="0.3">
      <c r="A5" s="170"/>
      <c r="B5" s="169"/>
      <c r="C5" s="168"/>
      <c r="D5" s="167" t="s">
        <v>33</v>
      </c>
      <c r="E5" s="166"/>
      <c r="F5" s="166"/>
      <c r="G5" s="166"/>
      <c r="H5" s="165"/>
      <c r="I5" s="160" t="s">
        <v>112</v>
      </c>
    </row>
    <row r="6" spans="1:9" x14ac:dyDescent="0.25">
      <c r="A6" s="164" t="s">
        <v>111</v>
      </c>
      <c r="B6" s="163"/>
      <c r="C6" s="162"/>
      <c r="D6" s="160" t="s">
        <v>110</v>
      </c>
      <c r="E6" s="161" t="s">
        <v>109</v>
      </c>
      <c r="F6" s="160" t="s">
        <v>30</v>
      </c>
      <c r="G6" s="160" t="s">
        <v>108</v>
      </c>
      <c r="H6" s="160" t="s">
        <v>107</v>
      </c>
      <c r="I6" s="159"/>
    </row>
    <row r="7" spans="1:9" ht="15.75" thickBot="1" x14ac:dyDescent="0.3">
      <c r="A7" s="158" t="s">
        <v>106</v>
      </c>
      <c r="B7" s="157"/>
      <c r="C7" s="156"/>
      <c r="D7" s="154"/>
      <c r="E7" s="155"/>
      <c r="F7" s="154"/>
      <c r="G7" s="154"/>
      <c r="H7" s="154"/>
      <c r="I7" s="154"/>
    </row>
    <row r="8" spans="1:9" x14ac:dyDescent="0.25">
      <c r="A8" s="153"/>
      <c r="B8" s="152"/>
      <c r="C8" s="151"/>
      <c r="D8" s="150"/>
      <c r="E8" s="150"/>
      <c r="F8" s="150"/>
      <c r="G8" s="150"/>
      <c r="H8" s="150"/>
      <c r="I8" s="150"/>
    </row>
    <row r="9" spans="1:9" x14ac:dyDescent="0.25">
      <c r="A9" s="122" t="s">
        <v>105</v>
      </c>
      <c r="B9" s="114"/>
      <c r="C9" s="149"/>
      <c r="D9" s="148"/>
      <c r="E9" s="148"/>
      <c r="F9" s="148"/>
      <c r="G9" s="148"/>
      <c r="H9" s="148"/>
      <c r="I9" s="148"/>
    </row>
    <row r="10" spans="1:9" x14ac:dyDescent="0.25">
      <c r="A10" s="115"/>
      <c r="B10" s="121" t="s">
        <v>104</v>
      </c>
      <c r="C10" s="120"/>
      <c r="D10" s="117">
        <v>0</v>
      </c>
      <c r="E10" s="117">
        <v>0</v>
      </c>
      <c r="F10" s="117">
        <f>+D10+E10</f>
        <v>0</v>
      </c>
      <c r="G10" s="117">
        <v>0</v>
      </c>
      <c r="H10" s="117">
        <v>0</v>
      </c>
      <c r="I10" s="116">
        <f>+H10-D10</f>
        <v>0</v>
      </c>
    </row>
    <row r="11" spans="1:9" x14ac:dyDescent="0.25">
      <c r="A11" s="115"/>
      <c r="B11" s="121" t="s">
        <v>103</v>
      </c>
      <c r="C11" s="120"/>
      <c r="D11" s="117">
        <v>0</v>
      </c>
      <c r="E11" s="117">
        <v>0</v>
      </c>
      <c r="F11" s="117">
        <f>+D11+E11</f>
        <v>0</v>
      </c>
      <c r="G11" s="117">
        <v>0</v>
      </c>
      <c r="H11" s="117">
        <v>0</v>
      </c>
      <c r="I11" s="116">
        <f>+H11-D11</f>
        <v>0</v>
      </c>
    </row>
    <row r="12" spans="1:9" x14ac:dyDescent="0.25">
      <c r="A12" s="115"/>
      <c r="B12" s="121" t="s">
        <v>102</v>
      </c>
      <c r="C12" s="120"/>
      <c r="D12" s="117">
        <v>0</v>
      </c>
      <c r="E12" s="117">
        <v>0</v>
      </c>
      <c r="F12" s="117">
        <f>+D12+E12</f>
        <v>0</v>
      </c>
      <c r="G12" s="117">
        <v>0</v>
      </c>
      <c r="H12" s="117">
        <v>0</v>
      </c>
      <c r="I12" s="116">
        <f>+H12-D12</f>
        <v>0</v>
      </c>
    </row>
    <row r="13" spans="1:9" x14ac:dyDescent="0.25">
      <c r="A13" s="115"/>
      <c r="B13" s="121" t="s">
        <v>101</v>
      </c>
      <c r="C13" s="120"/>
      <c r="D13" s="117">
        <v>0</v>
      </c>
      <c r="E13" s="117">
        <v>0</v>
      </c>
      <c r="F13" s="117">
        <f>+D13+E13</f>
        <v>0</v>
      </c>
      <c r="G13" s="117">
        <v>0</v>
      </c>
      <c r="H13" s="117">
        <v>0</v>
      </c>
      <c r="I13" s="116">
        <f>+H13-D13</f>
        <v>0</v>
      </c>
    </row>
    <row r="14" spans="1:9" x14ac:dyDescent="0.25">
      <c r="A14" s="115"/>
      <c r="B14" s="121" t="s">
        <v>100</v>
      </c>
      <c r="C14" s="120"/>
      <c r="D14" s="117">
        <v>0</v>
      </c>
      <c r="E14" s="117">
        <v>692260.99</v>
      </c>
      <c r="F14" s="117">
        <f>+D14+E14</f>
        <v>692260.99</v>
      </c>
      <c r="G14" s="117">
        <v>692260.99</v>
      </c>
      <c r="H14" s="117">
        <v>692260.99</v>
      </c>
      <c r="I14" s="116">
        <f>+H14-D14</f>
        <v>692260.99</v>
      </c>
    </row>
    <row r="15" spans="1:9" x14ac:dyDescent="0.25">
      <c r="A15" s="115"/>
      <c r="B15" s="121" t="s">
        <v>99</v>
      </c>
      <c r="C15" s="120"/>
      <c r="D15" s="117">
        <v>0</v>
      </c>
      <c r="E15" s="117">
        <v>0</v>
      </c>
      <c r="F15" s="117">
        <f>+D15+E15</f>
        <v>0</v>
      </c>
      <c r="G15" s="117">
        <v>0</v>
      </c>
      <c r="H15" s="117"/>
      <c r="I15" s="116">
        <f>+H15-D15</f>
        <v>0</v>
      </c>
    </row>
    <row r="16" spans="1:9" x14ac:dyDescent="0.25">
      <c r="A16" s="115"/>
      <c r="B16" s="121" t="s">
        <v>98</v>
      </c>
      <c r="C16" s="120"/>
      <c r="D16" s="117">
        <v>268433236</v>
      </c>
      <c r="E16" s="117">
        <v>13256670.880000001</v>
      </c>
      <c r="F16" s="117">
        <f>+D16+E16</f>
        <v>281689906.88</v>
      </c>
      <c r="G16" s="117">
        <v>258003107.56999999</v>
      </c>
      <c r="H16" s="117">
        <v>185272694.01999998</v>
      </c>
      <c r="I16" s="116">
        <f>+H16-D16</f>
        <v>-83160541.980000019</v>
      </c>
    </row>
    <row r="17" spans="1:9" x14ac:dyDescent="0.25">
      <c r="A17" s="147"/>
      <c r="B17" s="121" t="s">
        <v>97</v>
      </c>
      <c r="C17" s="120"/>
      <c r="D17" s="146">
        <f>SUM(D19:D29)</f>
        <v>0</v>
      </c>
      <c r="E17" s="146">
        <f>SUM(E19:E29)</f>
        <v>0</v>
      </c>
      <c r="F17" s="146">
        <f>SUM(F19:F29)</f>
        <v>0</v>
      </c>
      <c r="G17" s="146">
        <f>SUM(G19:G29)</f>
        <v>0</v>
      </c>
      <c r="H17" s="146">
        <f>SUM(H19:H29)</f>
        <v>0</v>
      </c>
      <c r="I17" s="146">
        <f>SUM(I19:I29)</f>
        <v>0</v>
      </c>
    </row>
    <row r="18" spans="1:9" x14ac:dyDescent="0.25">
      <c r="A18" s="147"/>
      <c r="B18" s="121" t="s">
        <v>96</v>
      </c>
      <c r="C18" s="120"/>
      <c r="D18" s="146"/>
      <c r="E18" s="146"/>
      <c r="F18" s="146"/>
      <c r="G18" s="146"/>
      <c r="H18" s="146"/>
      <c r="I18" s="146"/>
    </row>
    <row r="19" spans="1:9" x14ac:dyDescent="0.25">
      <c r="A19" s="115"/>
      <c r="B19" s="127"/>
      <c r="C19" s="132" t="s">
        <v>95</v>
      </c>
      <c r="D19" s="117">
        <v>0</v>
      </c>
      <c r="E19" s="117">
        <v>0</v>
      </c>
      <c r="F19" s="117">
        <f>+D19+E19</f>
        <v>0</v>
      </c>
      <c r="G19" s="117">
        <v>0</v>
      </c>
      <c r="H19" s="117">
        <v>0</v>
      </c>
      <c r="I19" s="116">
        <f>+H19-D19</f>
        <v>0</v>
      </c>
    </row>
    <row r="20" spans="1:9" x14ac:dyDescent="0.25">
      <c r="A20" s="115"/>
      <c r="B20" s="127"/>
      <c r="C20" s="132" t="s">
        <v>94</v>
      </c>
      <c r="D20" s="117">
        <v>0</v>
      </c>
      <c r="E20" s="117">
        <v>0</v>
      </c>
      <c r="F20" s="117">
        <f>+D20+E20</f>
        <v>0</v>
      </c>
      <c r="G20" s="117">
        <v>0</v>
      </c>
      <c r="H20" s="117">
        <v>0</v>
      </c>
      <c r="I20" s="116">
        <f>+H20-D20</f>
        <v>0</v>
      </c>
    </row>
    <row r="21" spans="1:9" x14ac:dyDescent="0.25">
      <c r="A21" s="115"/>
      <c r="B21" s="127"/>
      <c r="C21" s="132" t="s">
        <v>93</v>
      </c>
      <c r="D21" s="117">
        <v>0</v>
      </c>
      <c r="E21" s="117">
        <v>0</v>
      </c>
      <c r="F21" s="117">
        <f>+D21+E21</f>
        <v>0</v>
      </c>
      <c r="G21" s="117">
        <v>0</v>
      </c>
      <c r="H21" s="117">
        <v>0</v>
      </c>
      <c r="I21" s="116">
        <f>+H21-D21</f>
        <v>0</v>
      </c>
    </row>
    <row r="22" spans="1:9" x14ac:dyDescent="0.25">
      <c r="A22" s="115"/>
      <c r="B22" s="127"/>
      <c r="C22" s="132" t="s">
        <v>92</v>
      </c>
      <c r="D22" s="117">
        <v>0</v>
      </c>
      <c r="E22" s="117">
        <v>0</v>
      </c>
      <c r="F22" s="117">
        <f>+D22+E22</f>
        <v>0</v>
      </c>
      <c r="G22" s="117">
        <v>0</v>
      </c>
      <c r="H22" s="117">
        <v>0</v>
      </c>
      <c r="I22" s="116">
        <f>+H22-D22</f>
        <v>0</v>
      </c>
    </row>
    <row r="23" spans="1:9" x14ac:dyDescent="0.25">
      <c r="A23" s="115"/>
      <c r="B23" s="127"/>
      <c r="C23" s="132" t="s">
        <v>91</v>
      </c>
      <c r="D23" s="117">
        <v>0</v>
      </c>
      <c r="E23" s="117">
        <v>0</v>
      </c>
      <c r="F23" s="117">
        <f>+D23+E23</f>
        <v>0</v>
      </c>
      <c r="G23" s="117">
        <v>0</v>
      </c>
      <c r="H23" s="117">
        <v>0</v>
      </c>
      <c r="I23" s="116">
        <f>+H23-D23</f>
        <v>0</v>
      </c>
    </row>
    <row r="24" spans="1:9" x14ac:dyDescent="0.25">
      <c r="A24" s="115"/>
      <c r="B24" s="127"/>
      <c r="C24" s="132" t="s">
        <v>90</v>
      </c>
      <c r="D24" s="117">
        <v>0</v>
      </c>
      <c r="E24" s="117">
        <v>0</v>
      </c>
      <c r="F24" s="117">
        <f>+D24+E24</f>
        <v>0</v>
      </c>
      <c r="G24" s="117">
        <v>0</v>
      </c>
      <c r="H24" s="117">
        <v>0</v>
      </c>
      <c r="I24" s="116">
        <f>+H24-D24</f>
        <v>0</v>
      </c>
    </row>
    <row r="25" spans="1:9" x14ac:dyDescent="0.25">
      <c r="A25" s="115"/>
      <c r="B25" s="127"/>
      <c r="C25" s="132" t="s">
        <v>89</v>
      </c>
      <c r="D25" s="117">
        <v>0</v>
      </c>
      <c r="E25" s="117">
        <v>0</v>
      </c>
      <c r="F25" s="117">
        <f>+D25+E25</f>
        <v>0</v>
      </c>
      <c r="G25" s="117">
        <v>0</v>
      </c>
      <c r="H25" s="117">
        <v>0</v>
      </c>
      <c r="I25" s="116">
        <f>+H25-D25</f>
        <v>0</v>
      </c>
    </row>
    <row r="26" spans="1:9" x14ac:dyDescent="0.25">
      <c r="A26" s="115"/>
      <c r="B26" s="127"/>
      <c r="C26" s="132" t="s">
        <v>88</v>
      </c>
      <c r="D26" s="117">
        <v>0</v>
      </c>
      <c r="E26" s="117">
        <v>0</v>
      </c>
      <c r="F26" s="117">
        <f>+D26+E26</f>
        <v>0</v>
      </c>
      <c r="G26" s="117">
        <v>0</v>
      </c>
      <c r="H26" s="117">
        <v>0</v>
      </c>
      <c r="I26" s="116">
        <f>+H26-D26</f>
        <v>0</v>
      </c>
    </row>
    <row r="27" spans="1:9" x14ac:dyDescent="0.25">
      <c r="A27" s="115"/>
      <c r="B27" s="127"/>
      <c r="C27" s="132" t="s">
        <v>87</v>
      </c>
      <c r="D27" s="117">
        <v>0</v>
      </c>
      <c r="E27" s="117">
        <v>0</v>
      </c>
      <c r="F27" s="117">
        <f>+D27+E27</f>
        <v>0</v>
      </c>
      <c r="G27" s="117">
        <v>0</v>
      </c>
      <c r="H27" s="117">
        <v>0</v>
      </c>
      <c r="I27" s="116">
        <f>+H27-D27</f>
        <v>0</v>
      </c>
    </row>
    <row r="28" spans="1:9" x14ac:dyDescent="0.25">
      <c r="A28" s="115"/>
      <c r="B28" s="127"/>
      <c r="C28" s="132" t="s">
        <v>86</v>
      </c>
      <c r="D28" s="117">
        <v>0</v>
      </c>
      <c r="E28" s="117">
        <v>0</v>
      </c>
      <c r="F28" s="117">
        <f>+D28+E28</f>
        <v>0</v>
      </c>
      <c r="G28" s="117">
        <v>0</v>
      </c>
      <c r="H28" s="117">
        <v>0</v>
      </c>
      <c r="I28" s="116">
        <f>+H28-D28</f>
        <v>0</v>
      </c>
    </row>
    <row r="29" spans="1:9" x14ac:dyDescent="0.25">
      <c r="A29" s="115"/>
      <c r="B29" s="127"/>
      <c r="C29" s="132" t="s">
        <v>85</v>
      </c>
      <c r="D29" s="117">
        <v>0</v>
      </c>
      <c r="E29" s="117">
        <v>0</v>
      </c>
      <c r="F29" s="117">
        <f>+D29+E29</f>
        <v>0</v>
      </c>
      <c r="G29" s="117">
        <v>0</v>
      </c>
      <c r="H29" s="117">
        <v>0</v>
      </c>
      <c r="I29" s="116">
        <f>+H29-D29</f>
        <v>0</v>
      </c>
    </row>
    <row r="30" spans="1:9" x14ac:dyDescent="0.25">
      <c r="A30" s="115"/>
      <c r="B30" s="121" t="s">
        <v>84</v>
      </c>
      <c r="C30" s="120"/>
      <c r="D30" s="116">
        <f>SUM(D31:D35)</f>
        <v>0</v>
      </c>
      <c r="E30" s="116">
        <f>SUM(E31:E35)</f>
        <v>0</v>
      </c>
      <c r="F30" s="116">
        <f>SUM(F31:F35)</f>
        <v>0</v>
      </c>
      <c r="G30" s="116">
        <f>SUM(G31:G35)</f>
        <v>0</v>
      </c>
      <c r="H30" s="116">
        <f>SUM(H31:H35)</f>
        <v>0</v>
      </c>
      <c r="I30" s="116">
        <f>SUM(I31:I35)</f>
        <v>0</v>
      </c>
    </row>
    <row r="31" spans="1:9" x14ac:dyDescent="0.25">
      <c r="A31" s="115"/>
      <c r="B31" s="127"/>
      <c r="C31" s="132" t="s">
        <v>83</v>
      </c>
      <c r="D31" s="117">
        <v>0</v>
      </c>
      <c r="E31" s="117">
        <v>0</v>
      </c>
      <c r="F31" s="117">
        <v>0</v>
      </c>
      <c r="G31" s="117"/>
      <c r="H31" s="117">
        <v>0</v>
      </c>
      <c r="I31" s="116">
        <f>+H31-D31</f>
        <v>0</v>
      </c>
    </row>
    <row r="32" spans="1:9" x14ac:dyDescent="0.25">
      <c r="A32" s="115"/>
      <c r="B32" s="127"/>
      <c r="C32" s="132" t="s">
        <v>82</v>
      </c>
      <c r="D32" s="117">
        <v>0</v>
      </c>
      <c r="E32" s="117">
        <v>0</v>
      </c>
      <c r="F32" s="117">
        <f>+D32+E32</f>
        <v>0</v>
      </c>
      <c r="G32" s="117"/>
      <c r="H32" s="117">
        <v>0</v>
      </c>
      <c r="I32" s="116">
        <f>+H32-D32</f>
        <v>0</v>
      </c>
    </row>
    <row r="33" spans="1:9" ht="15.75" thickBot="1" x14ac:dyDescent="0.3">
      <c r="A33" s="131"/>
      <c r="B33" s="130"/>
      <c r="C33" s="145" t="s">
        <v>81</v>
      </c>
      <c r="D33" s="128">
        <v>0</v>
      </c>
      <c r="E33" s="128">
        <v>0</v>
      </c>
      <c r="F33" s="128">
        <f>+D33+E33</f>
        <v>0</v>
      </c>
      <c r="G33" s="128"/>
      <c r="H33" s="128"/>
      <c r="I33" s="108">
        <f>+H33-D33</f>
        <v>0</v>
      </c>
    </row>
    <row r="34" spans="1:9" x14ac:dyDescent="0.25">
      <c r="A34" s="115"/>
      <c r="B34" s="127"/>
      <c r="C34" s="132" t="s">
        <v>80</v>
      </c>
      <c r="D34" s="117">
        <v>0</v>
      </c>
      <c r="E34" s="117">
        <v>0</v>
      </c>
      <c r="F34" s="117">
        <f>+D34+E34</f>
        <v>0</v>
      </c>
      <c r="G34" s="117"/>
      <c r="H34" s="117"/>
      <c r="I34" s="116">
        <f>+H34-D34</f>
        <v>0</v>
      </c>
    </row>
    <row r="35" spans="1:9" x14ac:dyDescent="0.25">
      <c r="A35" s="115"/>
      <c r="B35" s="127"/>
      <c r="C35" s="132" t="s">
        <v>79</v>
      </c>
      <c r="D35" s="117">
        <v>0</v>
      </c>
      <c r="E35" s="117">
        <v>0</v>
      </c>
      <c r="F35" s="117">
        <f>+D35+E35</f>
        <v>0</v>
      </c>
      <c r="G35" s="117"/>
      <c r="H35" s="117"/>
      <c r="I35" s="116">
        <f>+H35-D35</f>
        <v>0</v>
      </c>
    </row>
    <row r="36" spans="1:9" x14ac:dyDescent="0.25">
      <c r="A36" s="115"/>
      <c r="B36" s="144" t="s">
        <v>78</v>
      </c>
      <c r="C36" s="143"/>
      <c r="D36" s="117">
        <v>374742346.10000002</v>
      </c>
      <c r="E36" s="117">
        <v>77448073.889999986</v>
      </c>
      <c r="F36" s="142">
        <f>+D36+E36</f>
        <v>452190419.99000001</v>
      </c>
      <c r="G36" s="117">
        <v>282597513.84000003</v>
      </c>
      <c r="H36" s="117">
        <v>282597513.84000003</v>
      </c>
      <c r="I36" s="141">
        <f>+H36-D36</f>
        <v>-92144832.25999999</v>
      </c>
    </row>
    <row r="37" spans="1:9" x14ac:dyDescent="0.25">
      <c r="A37" s="115"/>
      <c r="B37" s="121" t="s">
        <v>77</v>
      </c>
      <c r="C37" s="120"/>
      <c r="D37" s="116">
        <f>SUM(D38)</f>
        <v>0</v>
      </c>
      <c r="E37" s="116">
        <f>SUM(E38)</f>
        <v>0</v>
      </c>
      <c r="F37" s="116">
        <f>SUM(F38)</f>
        <v>0</v>
      </c>
      <c r="G37" s="116">
        <f>SUM(G38)</f>
        <v>0</v>
      </c>
      <c r="H37" s="116">
        <f>SUM(H38)</f>
        <v>0</v>
      </c>
      <c r="I37" s="116">
        <f>SUM(I38)</f>
        <v>0</v>
      </c>
    </row>
    <row r="38" spans="1:9" x14ac:dyDescent="0.25">
      <c r="A38" s="115"/>
      <c r="B38" s="127"/>
      <c r="C38" s="132" t="s">
        <v>76</v>
      </c>
      <c r="D38" s="117">
        <v>0</v>
      </c>
      <c r="E38" s="117"/>
      <c r="F38" s="117">
        <f>+D38+E38</f>
        <v>0</v>
      </c>
      <c r="G38" s="117"/>
      <c r="H38" s="117"/>
      <c r="I38" s="116">
        <f>+H38-D38</f>
        <v>0</v>
      </c>
    </row>
    <row r="39" spans="1:9" x14ac:dyDescent="0.25">
      <c r="A39" s="115"/>
      <c r="B39" s="121" t="s">
        <v>75</v>
      </c>
      <c r="C39" s="120"/>
      <c r="D39" s="116">
        <f>SUM(D40:D41)</f>
        <v>0</v>
      </c>
      <c r="E39" s="116">
        <f>SUM(E40:E41)</f>
        <v>0</v>
      </c>
      <c r="F39" s="116">
        <f>SUM(F40:F41)</f>
        <v>0</v>
      </c>
      <c r="G39" s="116">
        <f>SUM(G40:G41)</f>
        <v>0</v>
      </c>
      <c r="H39" s="116">
        <f>SUM(H40:H41)</f>
        <v>0</v>
      </c>
      <c r="I39" s="116">
        <f>SUM(I40:I41)</f>
        <v>0</v>
      </c>
    </row>
    <row r="40" spans="1:9" x14ac:dyDescent="0.25">
      <c r="A40" s="115"/>
      <c r="B40" s="127"/>
      <c r="C40" s="132" t="s">
        <v>74</v>
      </c>
      <c r="D40" s="117">
        <v>0</v>
      </c>
      <c r="E40" s="117">
        <v>0</v>
      </c>
      <c r="F40" s="117">
        <f>+D40+E40</f>
        <v>0</v>
      </c>
      <c r="G40" s="117"/>
      <c r="H40" s="117"/>
      <c r="I40" s="116">
        <f>H40-D40</f>
        <v>0</v>
      </c>
    </row>
    <row r="41" spans="1:9" x14ac:dyDescent="0.25">
      <c r="A41" s="115"/>
      <c r="B41" s="127"/>
      <c r="C41" s="132" t="s">
        <v>73</v>
      </c>
      <c r="D41" s="117">
        <v>0</v>
      </c>
      <c r="E41" s="117">
        <v>0</v>
      </c>
      <c r="F41" s="117">
        <f>+D41+E41</f>
        <v>0</v>
      </c>
      <c r="G41" s="117"/>
      <c r="H41" s="117"/>
      <c r="I41" s="116">
        <f>H41-D41</f>
        <v>0</v>
      </c>
    </row>
    <row r="42" spans="1:9" ht="8.25" customHeight="1" x14ac:dyDescent="0.25">
      <c r="A42" s="115"/>
      <c r="B42" s="127"/>
      <c r="C42" s="132"/>
      <c r="D42" s="116"/>
      <c r="E42" s="116"/>
      <c r="F42" s="116"/>
      <c r="G42" s="116"/>
      <c r="H42" s="116"/>
      <c r="I42" s="116"/>
    </row>
    <row r="43" spans="1:9" ht="15" customHeight="1" x14ac:dyDescent="0.25">
      <c r="A43" s="140" t="s">
        <v>72</v>
      </c>
      <c r="B43" s="139"/>
      <c r="C43" s="138"/>
      <c r="D43" s="134">
        <f>+D10+D11+D12+D13+D14+D15+D16+D17+D30+D36+D37+D39</f>
        <v>643175582.10000002</v>
      </c>
      <c r="E43" s="134">
        <f>+E10+E11+E12+E13+E14+E15+E16+E17+E30+E36+E37+E39</f>
        <v>91397005.75999999</v>
      </c>
      <c r="F43" s="134">
        <f>+F10+F11+F12+F13+F14+F15+F16+F17+F30+F36+F37+F39</f>
        <v>734572587.86000001</v>
      </c>
      <c r="G43" s="134">
        <f>+G10+G11+G12+G13+G14+G15+G16+G17+G30+G36+G37+G39</f>
        <v>541292882.4000001</v>
      </c>
      <c r="H43" s="134">
        <f>+H10+H11+H12+H13+H14+H15+H16+H17+H30+H36+H37+H39</f>
        <v>468562468.85000002</v>
      </c>
      <c r="I43" s="134">
        <f>+I10+I11+I12+I13+I14+I15+I16+I17+I30+I36+I37+I39</f>
        <v>-174613113.25</v>
      </c>
    </row>
    <row r="44" spans="1:9" x14ac:dyDescent="0.25">
      <c r="A44" s="140" t="s">
        <v>71</v>
      </c>
      <c r="B44" s="139"/>
      <c r="C44" s="138"/>
      <c r="D44" s="134"/>
      <c r="E44" s="134"/>
      <c r="F44" s="134"/>
      <c r="G44" s="134"/>
      <c r="H44" s="134"/>
      <c r="I44" s="134"/>
    </row>
    <row r="45" spans="1:9" ht="8.25" customHeight="1" x14ac:dyDescent="0.25">
      <c r="A45" s="137"/>
      <c r="B45" s="136"/>
      <c r="C45" s="135"/>
      <c r="D45" s="134"/>
      <c r="E45" s="134"/>
      <c r="F45" s="134"/>
      <c r="G45" s="134"/>
      <c r="H45" s="134"/>
      <c r="I45" s="134"/>
    </row>
    <row r="46" spans="1:9" x14ac:dyDescent="0.25">
      <c r="A46" s="122" t="s">
        <v>70</v>
      </c>
      <c r="B46" s="114"/>
      <c r="C46" s="113"/>
      <c r="D46" s="133"/>
      <c r="E46" s="133"/>
      <c r="F46" s="133"/>
      <c r="G46" s="133"/>
      <c r="H46" s="133"/>
      <c r="I46" s="116" t="str">
        <f>IF(($H$43-$D$43)&lt;=0," ",$H$43-$D$43)</f>
        <v xml:space="preserve"> </v>
      </c>
    </row>
    <row r="47" spans="1:9" ht="11.25" customHeight="1" x14ac:dyDescent="0.25">
      <c r="A47" s="115"/>
      <c r="B47" s="127"/>
      <c r="C47" s="132"/>
      <c r="D47" s="116"/>
      <c r="E47" s="116"/>
      <c r="F47" s="116"/>
      <c r="G47" s="116"/>
      <c r="H47" s="116"/>
      <c r="I47" s="116"/>
    </row>
    <row r="48" spans="1:9" x14ac:dyDescent="0.25">
      <c r="A48" s="122" t="s">
        <v>69</v>
      </c>
      <c r="B48" s="114"/>
      <c r="C48" s="113"/>
      <c r="D48" s="116"/>
      <c r="E48" s="116"/>
      <c r="F48" s="116"/>
      <c r="G48" s="116"/>
      <c r="H48" s="116"/>
      <c r="I48" s="116"/>
    </row>
    <row r="49" spans="1:9" x14ac:dyDescent="0.25">
      <c r="A49" s="115"/>
      <c r="B49" s="121" t="s">
        <v>68</v>
      </c>
      <c r="C49" s="120"/>
      <c r="D49" s="116">
        <f>SUM(D50:D57)</f>
        <v>0</v>
      </c>
      <c r="E49" s="116">
        <f>SUM(E50:E57)</f>
        <v>0</v>
      </c>
      <c r="F49" s="116">
        <f>SUM(F50:F57)</f>
        <v>0</v>
      </c>
      <c r="G49" s="116">
        <f>SUM(G50:G57)</f>
        <v>0</v>
      </c>
      <c r="H49" s="116">
        <f>SUM(H50:H57)</f>
        <v>0</v>
      </c>
      <c r="I49" s="116">
        <f>SUM(I50:I57)</f>
        <v>0</v>
      </c>
    </row>
    <row r="50" spans="1:9" x14ac:dyDescent="0.25">
      <c r="A50" s="115"/>
      <c r="B50" s="127"/>
      <c r="C50" s="132" t="s">
        <v>67</v>
      </c>
      <c r="D50" s="117">
        <v>0</v>
      </c>
      <c r="E50" s="117">
        <v>0</v>
      </c>
      <c r="F50" s="117">
        <f>+D50+E50</f>
        <v>0</v>
      </c>
      <c r="G50" s="117">
        <v>0</v>
      </c>
      <c r="H50" s="117">
        <v>0</v>
      </c>
      <c r="I50" s="116">
        <f>H50-D50</f>
        <v>0</v>
      </c>
    </row>
    <row r="51" spans="1:9" x14ac:dyDescent="0.25">
      <c r="A51" s="115"/>
      <c r="B51" s="127"/>
      <c r="C51" s="132" t="s">
        <v>66</v>
      </c>
      <c r="D51" s="117">
        <v>0</v>
      </c>
      <c r="E51" s="117"/>
      <c r="F51" s="117">
        <f>+D51+E51</f>
        <v>0</v>
      </c>
      <c r="G51" s="117"/>
      <c r="H51" s="117"/>
      <c r="I51" s="116">
        <f>H51-D51</f>
        <v>0</v>
      </c>
    </row>
    <row r="52" spans="1:9" x14ac:dyDescent="0.25">
      <c r="A52" s="115"/>
      <c r="B52" s="127"/>
      <c r="C52" s="132" t="s">
        <v>65</v>
      </c>
      <c r="D52" s="117">
        <v>0</v>
      </c>
      <c r="E52" s="117"/>
      <c r="F52" s="117">
        <f>+D52+E52</f>
        <v>0</v>
      </c>
      <c r="G52" s="117"/>
      <c r="H52" s="117"/>
      <c r="I52" s="116">
        <f>H52-D52</f>
        <v>0</v>
      </c>
    </row>
    <row r="53" spans="1:9" ht="19.5" x14ac:dyDescent="0.25">
      <c r="A53" s="115"/>
      <c r="B53" s="127"/>
      <c r="C53" s="126" t="s">
        <v>64</v>
      </c>
      <c r="D53" s="117">
        <v>0</v>
      </c>
      <c r="E53" s="117"/>
      <c r="F53" s="117">
        <f>+D53+E53</f>
        <v>0</v>
      </c>
      <c r="G53" s="117"/>
      <c r="H53" s="117"/>
      <c r="I53" s="116">
        <f>H53-D53</f>
        <v>0</v>
      </c>
    </row>
    <row r="54" spans="1:9" x14ac:dyDescent="0.25">
      <c r="A54" s="115"/>
      <c r="B54" s="127"/>
      <c r="C54" s="132" t="s">
        <v>63</v>
      </c>
      <c r="D54" s="117">
        <v>0</v>
      </c>
      <c r="E54" s="117">
        <v>0</v>
      </c>
      <c r="F54" s="117">
        <f>+D54+E54</f>
        <v>0</v>
      </c>
      <c r="G54" s="117">
        <v>0</v>
      </c>
      <c r="H54" s="117">
        <v>0</v>
      </c>
      <c r="I54" s="116">
        <f>H54-D54</f>
        <v>0</v>
      </c>
    </row>
    <row r="55" spans="1:9" x14ac:dyDescent="0.25">
      <c r="A55" s="115"/>
      <c r="B55" s="127"/>
      <c r="C55" s="132" t="s">
        <v>62</v>
      </c>
      <c r="D55" s="117">
        <v>0</v>
      </c>
      <c r="E55" s="117"/>
      <c r="F55" s="117">
        <f>+D55+E55</f>
        <v>0</v>
      </c>
      <c r="G55" s="117"/>
      <c r="H55" s="117"/>
      <c r="I55" s="116">
        <f>H55-D55</f>
        <v>0</v>
      </c>
    </row>
    <row r="56" spans="1:9" ht="19.5" x14ac:dyDescent="0.25">
      <c r="A56" s="115"/>
      <c r="B56" s="127"/>
      <c r="C56" s="126" t="s">
        <v>61</v>
      </c>
      <c r="D56" s="117">
        <v>0</v>
      </c>
      <c r="E56" s="117"/>
      <c r="F56" s="117">
        <f>+D56+E56</f>
        <v>0</v>
      </c>
      <c r="G56" s="117"/>
      <c r="H56" s="117"/>
      <c r="I56" s="116">
        <f>H56-D56</f>
        <v>0</v>
      </c>
    </row>
    <row r="57" spans="1:9" ht="19.5" x14ac:dyDescent="0.25">
      <c r="A57" s="115"/>
      <c r="B57" s="127"/>
      <c r="C57" s="126" t="s">
        <v>60</v>
      </c>
      <c r="D57" s="117">
        <v>0</v>
      </c>
      <c r="E57" s="117"/>
      <c r="F57" s="117">
        <f>+D57+E57</f>
        <v>0</v>
      </c>
      <c r="G57" s="117"/>
      <c r="H57" s="117"/>
      <c r="I57" s="116">
        <f>H57-D57</f>
        <v>0</v>
      </c>
    </row>
    <row r="58" spans="1:9" x14ac:dyDescent="0.25">
      <c r="A58" s="115"/>
      <c r="B58" s="121" t="s">
        <v>59</v>
      </c>
      <c r="C58" s="120"/>
      <c r="D58" s="116">
        <f>SUM(D59:D62)</f>
        <v>0</v>
      </c>
      <c r="E58" s="116">
        <f>SUM(E59:E62)</f>
        <v>0</v>
      </c>
      <c r="F58" s="116">
        <f>SUM(F59:F62)</f>
        <v>0</v>
      </c>
      <c r="G58" s="116">
        <f>SUM(G59:G62)</f>
        <v>0</v>
      </c>
      <c r="H58" s="116">
        <f>SUM(H59:H62)</f>
        <v>0</v>
      </c>
      <c r="I58" s="116">
        <f>SUM(I59:I62)</f>
        <v>0</v>
      </c>
    </row>
    <row r="59" spans="1:9" x14ac:dyDescent="0.25">
      <c r="A59" s="115"/>
      <c r="B59" s="127"/>
      <c r="C59" s="132" t="s">
        <v>58</v>
      </c>
      <c r="D59" s="117">
        <v>0</v>
      </c>
      <c r="E59" s="117"/>
      <c r="F59" s="117">
        <f>+D59+E59</f>
        <v>0</v>
      </c>
      <c r="G59" s="117"/>
      <c r="H59" s="117"/>
      <c r="I59" s="116">
        <f>H59-D59</f>
        <v>0</v>
      </c>
    </row>
    <row r="60" spans="1:9" x14ac:dyDescent="0.25">
      <c r="A60" s="115"/>
      <c r="B60" s="127"/>
      <c r="C60" s="132" t="s">
        <v>57</v>
      </c>
      <c r="D60" s="117">
        <v>0</v>
      </c>
      <c r="E60" s="117"/>
      <c r="F60" s="117">
        <v>0</v>
      </c>
      <c r="G60" s="117"/>
      <c r="H60" s="117"/>
      <c r="I60" s="116">
        <f>H60-D60</f>
        <v>0</v>
      </c>
    </row>
    <row r="61" spans="1:9" x14ac:dyDescent="0.25">
      <c r="A61" s="115"/>
      <c r="B61" s="127"/>
      <c r="C61" s="132" t="s">
        <v>56</v>
      </c>
      <c r="D61" s="117">
        <v>0</v>
      </c>
      <c r="E61" s="117"/>
      <c r="F61" s="117">
        <v>0</v>
      </c>
      <c r="G61" s="117"/>
      <c r="H61" s="117"/>
      <c r="I61" s="116">
        <f>H61-D61</f>
        <v>0</v>
      </c>
    </row>
    <row r="62" spans="1:9" x14ac:dyDescent="0.25">
      <c r="A62" s="115"/>
      <c r="B62" s="127"/>
      <c r="C62" s="132" t="s">
        <v>55</v>
      </c>
      <c r="D62" s="117">
        <v>0</v>
      </c>
      <c r="E62" s="117"/>
      <c r="F62" s="117">
        <v>0</v>
      </c>
      <c r="G62" s="117"/>
      <c r="H62" s="117"/>
      <c r="I62" s="116">
        <f>H62-D62</f>
        <v>0</v>
      </c>
    </row>
    <row r="63" spans="1:9" x14ac:dyDescent="0.25">
      <c r="A63" s="115"/>
      <c r="B63" s="121" t="s">
        <v>54</v>
      </c>
      <c r="C63" s="120"/>
      <c r="D63" s="116">
        <f>SUM(D64:D65)</f>
        <v>50175552.999999985</v>
      </c>
      <c r="E63" s="116">
        <f>SUM(E64:E65)</f>
        <v>0</v>
      </c>
      <c r="F63" s="116">
        <f>SUM(F64:F65)</f>
        <v>50175552.999999985</v>
      </c>
      <c r="G63" s="116">
        <f>SUM(G64:G65)</f>
        <v>0</v>
      </c>
      <c r="H63" s="116">
        <f>SUM(H64:H65)</f>
        <v>0</v>
      </c>
      <c r="I63" s="116">
        <f>SUM(I64:I65)</f>
        <v>-50175552.999999985</v>
      </c>
    </row>
    <row r="64" spans="1:9" ht="20.25" thickBot="1" x14ac:dyDescent="0.3">
      <c r="A64" s="131"/>
      <c r="B64" s="130"/>
      <c r="C64" s="129" t="s">
        <v>53</v>
      </c>
      <c r="D64" s="128">
        <v>0</v>
      </c>
      <c r="E64" s="128">
        <v>0</v>
      </c>
      <c r="F64" s="128">
        <f>+D64+E64</f>
        <v>0</v>
      </c>
      <c r="G64" s="128">
        <v>0</v>
      </c>
      <c r="H64" s="128">
        <v>0</v>
      </c>
      <c r="I64" s="108">
        <f>H64-D64</f>
        <v>0</v>
      </c>
    </row>
    <row r="65" spans="1:10" x14ac:dyDescent="0.25">
      <c r="A65" s="115"/>
      <c r="B65" s="127"/>
      <c r="C65" s="126" t="s">
        <v>52</v>
      </c>
      <c r="D65" s="117">
        <v>50175552.999999985</v>
      </c>
      <c r="E65" s="117">
        <v>0</v>
      </c>
      <c r="F65" s="117">
        <f>+D65+E65</f>
        <v>50175552.999999985</v>
      </c>
      <c r="G65" s="117">
        <v>0</v>
      </c>
      <c r="H65" s="117">
        <v>0</v>
      </c>
      <c r="I65" s="116">
        <f>H65-D65</f>
        <v>-50175552.999999985</v>
      </c>
    </row>
    <row r="66" spans="1:10" x14ac:dyDescent="0.25">
      <c r="A66" s="115"/>
      <c r="B66" s="121" t="s">
        <v>51</v>
      </c>
      <c r="C66" s="120"/>
      <c r="D66" s="117">
        <v>59929766.000000015</v>
      </c>
      <c r="E66" s="117">
        <v>70792021.099999994</v>
      </c>
      <c r="F66" s="117">
        <f>+D66+E66</f>
        <v>130721787.10000001</v>
      </c>
      <c r="G66" s="117">
        <v>130721787.08</v>
      </c>
      <c r="H66" s="117">
        <v>130721787.08</v>
      </c>
      <c r="I66" s="116">
        <f>H66-D66</f>
        <v>70792021.079999983</v>
      </c>
    </row>
    <row r="67" spans="1:10" x14ac:dyDescent="0.25">
      <c r="A67" s="115"/>
      <c r="B67" s="121" t="s">
        <v>50</v>
      </c>
      <c r="C67" s="120"/>
      <c r="D67" s="117">
        <v>35000000</v>
      </c>
      <c r="E67" s="117">
        <v>0</v>
      </c>
      <c r="F67" s="117">
        <f>+D67+E67</f>
        <v>35000000</v>
      </c>
      <c r="G67" s="117">
        <v>0</v>
      </c>
      <c r="H67" s="117">
        <v>0</v>
      </c>
      <c r="I67" s="116">
        <f>H67-D67</f>
        <v>-35000000</v>
      </c>
    </row>
    <row r="68" spans="1:10" ht="8.25" customHeight="1" x14ac:dyDescent="0.25">
      <c r="A68" s="115"/>
      <c r="B68" s="121"/>
      <c r="C68" s="120"/>
      <c r="D68" s="116"/>
      <c r="E68" s="116"/>
      <c r="F68" s="116" t="s">
        <v>44</v>
      </c>
      <c r="G68" s="116"/>
      <c r="H68" s="116"/>
      <c r="I68" s="116"/>
    </row>
    <row r="69" spans="1:10" x14ac:dyDescent="0.25">
      <c r="A69" s="125" t="s">
        <v>49</v>
      </c>
      <c r="B69" s="124"/>
      <c r="C69" s="123"/>
      <c r="D69" s="112">
        <f>+D49+D58+D63+D66+D67</f>
        <v>145105319</v>
      </c>
      <c r="E69" s="112">
        <f>+E49+E58+E63+E66+E67</f>
        <v>70792021.099999994</v>
      </c>
      <c r="F69" s="112">
        <f>+F49+F58+F63+F66+F67</f>
        <v>215897340.09999999</v>
      </c>
      <c r="G69" s="112">
        <f>+G49+G58+G63+G66+G67</f>
        <v>130721787.08</v>
      </c>
      <c r="H69" s="112">
        <f>+H49+H58+H63+H66+H67</f>
        <v>130721787.08</v>
      </c>
      <c r="I69" s="112">
        <f>+I49+I58+I63+I66+I67</f>
        <v>-14383531.920000002</v>
      </c>
    </row>
    <row r="70" spans="1:10" ht="6" customHeight="1" x14ac:dyDescent="0.25">
      <c r="A70" s="115"/>
      <c r="B70" s="121"/>
      <c r="C70" s="120"/>
      <c r="D70" s="116"/>
      <c r="E70" s="116"/>
      <c r="F70" s="116" t="s">
        <v>44</v>
      </c>
      <c r="G70" s="116"/>
      <c r="H70" s="116"/>
      <c r="I70" s="116"/>
    </row>
    <row r="71" spans="1:10" x14ac:dyDescent="0.25">
      <c r="A71" s="122" t="s">
        <v>48</v>
      </c>
      <c r="B71" s="114"/>
      <c r="C71" s="113"/>
      <c r="D71" s="112">
        <f>SUM(D72)</f>
        <v>0</v>
      </c>
      <c r="E71" s="112">
        <f>SUM(E72)</f>
        <v>0</v>
      </c>
      <c r="F71" s="112">
        <f>SUM(F72)</f>
        <v>0</v>
      </c>
      <c r="G71" s="112">
        <f>SUM(G72)</f>
        <v>0</v>
      </c>
      <c r="H71" s="112">
        <f>SUM(H72)</f>
        <v>0</v>
      </c>
      <c r="I71" s="112">
        <f>SUM(I72)</f>
        <v>0</v>
      </c>
    </row>
    <row r="72" spans="1:10" x14ac:dyDescent="0.25">
      <c r="A72" s="115"/>
      <c r="B72" s="121" t="s">
        <v>47</v>
      </c>
      <c r="C72" s="120"/>
      <c r="D72" s="117">
        <v>0</v>
      </c>
      <c r="E72" s="117"/>
      <c r="F72" s="117" t="s">
        <v>44</v>
      </c>
      <c r="G72" s="117"/>
      <c r="H72" s="117">
        <v>0</v>
      </c>
      <c r="I72" s="116">
        <f>H72-D72</f>
        <v>0</v>
      </c>
    </row>
    <row r="73" spans="1:10" ht="7.5" customHeight="1" x14ac:dyDescent="0.25">
      <c r="A73" s="115"/>
      <c r="B73" s="121"/>
      <c r="C73" s="120"/>
      <c r="D73" s="116"/>
      <c r="E73" s="116"/>
      <c r="F73" s="116" t="s">
        <v>44</v>
      </c>
      <c r="G73" s="116"/>
      <c r="H73" s="116"/>
      <c r="I73" s="116"/>
    </row>
    <row r="74" spans="1:10" x14ac:dyDescent="0.25">
      <c r="A74" s="122" t="s">
        <v>46</v>
      </c>
      <c r="B74" s="114"/>
      <c r="C74" s="113"/>
      <c r="D74" s="112">
        <f>+D43+D69+D71</f>
        <v>788280901.10000002</v>
      </c>
      <c r="E74" s="112">
        <f>+E43+E69+E71</f>
        <v>162189026.85999998</v>
      </c>
      <c r="F74" s="112">
        <f>+F43+F69+F71</f>
        <v>950469927.96000004</v>
      </c>
      <c r="G74" s="112">
        <f>+G43+G69+G71</f>
        <v>672014669.48000014</v>
      </c>
      <c r="H74" s="112">
        <f>+H43+H69+H71</f>
        <v>599284255.93000007</v>
      </c>
      <c r="I74" s="112">
        <f>+I43+I69+I71</f>
        <v>-188996645.17000002</v>
      </c>
    </row>
    <row r="75" spans="1:10" ht="6" customHeight="1" x14ac:dyDescent="0.25">
      <c r="A75" s="115"/>
      <c r="B75" s="121"/>
      <c r="C75" s="120"/>
      <c r="D75" s="116"/>
      <c r="E75" s="116"/>
      <c r="F75" s="116" t="s">
        <v>44</v>
      </c>
      <c r="G75" s="116"/>
      <c r="H75" s="116"/>
      <c r="I75" s="116"/>
    </row>
    <row r="76" spans="1:10" x14ac:dyDescent="0.25">
      <c r="A76" s="115"/>
      <c r="B76" s="114" t="s">
        <v>45</v>
      </c>
      <c r="C76" s="113"/>
      <c r="D76" s="116"/>
      <c r="E76" s="116"/>
      <c r="F76" s="116" t="s">
        <v>44</v>
      </c>
      <c r="G76" s="116"/>
      <c r="H76" s="116"/>
      <c r="I76" s="116"/>
    </row>
    <row r="77" spans="1:10" ht="21.75" customHeight="1" x14ac:dyDescent="0.25">
      <c r="A77" s="115"/>
      <c r="B77" s="119" t="s">
        <v>43</v>
      </c>
      <c r="C77" s="118"/>
      <c r="D77" s="117">
        <v>0</v>
      </c>
      <c r="E77" s="117">
        <v>0</v>
      </c>
      <c r="F77" s="117">
        <f>+D77+E77</f>
        <v>0</v>
      </c>
      <c r="G77" s="117">
        <v>0</v>
      </c>
      <c r="H77" s="117">
        <v>0</v>
      </c>
      <c r="I77" s="116">
        <f>H77-D77</f>
        <v>0</v>
      </c>
    </row>
    <row r="78" spans="1:10" ht="22.5" customHeight="1" x14ac:dyDescent="0.25">
      <c r="A78" s="115"/>
      <c r="B78" s="119" t="s">
        <v>42</v>
      </c>
      <c r="C78" s="118"/>
      <c r="D78" s="117">
        <v>0</v>
      </c>
      <c r="E78" s="117">
        <v>0</v>
      </c>
      <c r="F78" s="117">
        <f>+D78+E78</f>
        <v>0</v>
      </c>
      <c r="G78" s="117">
        <v>0</v>
      </c>
      <c r="H78" s="117">
        <v>0</v>
      </c>
      <c r="I78" s="116">
        <f>H78-D78</f>
        <v>0</v>
      </c>
    </row>
    <row r="79" spans="1:10" x14ac:dyDescent="0.25">
      <c r="A79" s="115"/>
      <c r="B79" s="114" t="s">
        <v>41</v>
      </c>
      <c r="C79" s="113"/>
      <c r="D79" s="112">
        <f>+D77+D78</f>
        <v>0</v>
      </c>
      <c r="E79" s="112">
        <f>+E77+E78</f>
        <v>0</v>
      </c>
      <c r="F79" s="112">
        <f>+F77+F78</f>
        <v>0</v>
      </c>
      <c r="G79" s="112">
        <f>+G77+G78</f>
        <v>0</v>
      </c>
      <c r="H79" s="112">
        <f>+H77+H78</f>
        <v>0</v>
      </c>
      <c r="I79" s="112">
        <f>+I77+I78</f>
        <v>0</v>
      </c>
      <c r="J79" s="107" t="str">
        <f>IF(D74&lt;&gt;'ETCA-II-01'!C19,"ERROR!!!!! EL MONTO ESTIMADO NO COINCIDE CON LO REPORTADO EN EL FORMATO ETCA-II-01 EN EL TOTAL DE INGRESOS","")</f>
        <v/>
      </c>
    </row>
    <row r="80" spans="1:10" ht="15.75" thickBot="1" x14ac:dyDescent="0.3">
      <c r="A80" s="111"/>
      <c r="B80" s="110"/>
      <c r="C80" s="109"/>
      <c r="D80" s="108"/>
      <c r="E80" s="108"/>
      <c r="F80" s="108"/>
      <c r="G80" s="108"/>
      <c r="H80" s="108"/>
      <c r="I80" s="108"/>
      <c r="J80" s="107" t="str">
        <f>IF(E74&lt;&gt;'ETCA-II-01'!D19,"ERROR!!!!! EL MONTO NO COINCIDE CON LO REPORTADO EN EL FORMATO ETCA-II-01 EN EL TOTAL DE INGRESOS","")</f>
        <v/>
      </c>
    </row>
    <row r="81" spans="10:10" x14ac:dyDescent="0.25">
      <c r="J81" s="107" t="str">
        <f>IF(F74&lt;&gt;'ETCA-II-01'!E19,"ERROR!!!!! EL MONTO NO COINCIDE CON LO REPORTADO EN EL FORMATO ETCA-II-01 EN EL TOTAL DE INGRESOS","")</f>
        <v/>
      </c>
    </row>
    <row r="82" spans="10:10" x14ac:dyDescent="0.25">
      <c r="J82" s="107" t="str">
        <f>IF(G74&lt;&gt;'ETCA-II-01'!F19,"ERROR!!!!! EL MONTO NO COINCIDE CON LO REPORTADO EN EL FORMATO ETCA-II-01 EN EL TOTAL DE INGRESOS","")</f>
        <v/>
      </c>
    </row>
    <row r="83" spans="10:10" x14ac:dyDescent="0.25">
      <c r="J83" s="107" t="str">
        <f>IF(H74&lt;&gt;'ETCA-II-01'!G19,"ERROR!!!!! EL MONTO NO COINCIDE CON LO REPORTADO EN EL FORMATO ETCA-II-01 EN EL TOTAL DE INGRESOS","")</f>
        <v/>
      </c>
    </row>
    <row r="84" spans="10:10" x14ac:dyDescent="0.25">
      <c r="J84" s="107" t="str">
        <f>IF(I74&lt;&gt;'ETCA-II-01'!H19,"ERROR!!!!! EL MONTO NO COINCIDE CON LO REPORTADO EN EL FORMATO ETCA-II-01 EN EL TOTAL DE INGRESOS","")</f>
        <v/>
      </c>
    </row>
    <row r="85" spans="10:10" x14ac:dyDescent="0.25">
      <c r="J85" s="107" t="str">
        <f>IF(D74&lt;&gt;'ETCA-II-01'!C44,"ERROR!!!!! EL MONTO NO COINCIDE CON LO REPORTADO EN EL FORMATO ETCA-II-01 EN EL TOTAL DE INGRESOS","")</f>
        <v/>
      </c>
    </row>
    <row r="86" spans="10:10" x14ac:dyDescent="0.25">
      <c r="J86" s="107" t="str">
        <f>IF(E74&lt;&gt;'ETCA-II-01'!D44,"ERROR!!!!! EL MONTO NO COINCIDE CON LO REPORTADO EN EL FORMATO ETCA-II-01 EN EL TOTAL DE INGRESOS","")</f>
        <v/>
      </c>
    </row>
    <row r="87" spans="10:10" x14ac:dyDescent="0.25">
      <c r="J87" s="107" t="str">
        <f>IF(F74&lt;&gt;'ETCA-II-01'!E44,"ERROR!!!!! EL MONTO NO COINCIDE CON LO REPORTADO EN EL FORMATO ETCA-II-01 EN EL TOTAL DE INGRESOS","")</f>
        <v/>
      </c>
    </row>
    <row r="88" spans="10:10" x14ac:dyDescent="0.25">
      <c r="J88" s="107" t="str">
        <f>IF(G74&lt;&gt;'ETCA-II-01'!F44,"ERROR!!!!! EL MONTO NO COINCIDE CON LO REPORTADO EN EL FORMATO ETCA-II-01 EN EL TOTAL DE INGRESOS","")</f>
        <v/>
      </c>
    </row>
    <row r="89" spans="10:10" x14ac:dyDescent="0.25">
      <c r="J89" s="107" t="str">
        <f>IF(H74&lt;&gt;'ETCA-II-01'!G44,"ERROR!!!!! EL MONTO NO COINCIDE CON LO REPORTADO EN EL FORMATO ETCA-II-01 EN EL TOTAL DE INGRESOS","")</f>
        <v/>
      </c>
    </row>
    <row r="90" spans="10:10" x14ac:dyDescent="0.25">
      <c r="J90" s="107" t="str">
        <f>IF(I74&lt;&gt;'ETCA-II-01'!H44,"ERROR!!!!! EL MONTO NO COINCIDE CON LO REPORTADO EN EL FORMATO ETCA-II-01 EN EL TOTAL DE INGRESOS","")</f>
        <v/>
      </c>
    </row>
  </sheetData>
  <sheetProtection password="C115" sheet="1" scenarios="1" formatColumns="0" formatRows="0" insertHyperlinks="0"/>
  <mergeCells count="62">
    <mergeCell ref="A7:C7"/>
    <mergeCell ref="D6:D7"/>
    <mergeCell ref="E6:E7"/>
    <mergeCell ref="F6:F7"/>
    <mergeCell ref="G6:G7"/>
    <mergeCell ref="H6:H7"/>
    <mergeCell ref="B12:C12"/>
    <mergeCell ref="B13:C13"/>
    <mergeCell ref="A4:I4"/>
    <mergeCell ref="A3:I3"/>
    <mergeCell ref="A2:I2"/>
    <mergeCell ref="A1:I1"/>
    <mergeCell ref="A5:C5"/>
    <mergeCell ref="D5:H5"/>
    <mergeCell ref="I5:I7"/>
    <mergeCell ref="A6:C6"/>
    <mergeCell ref="A8:C8"/>
    <mergeCell ref="B16:C16"/>
    <mergeCell ref="A17:A18"/>
    <mergeCell ref="B17:C17"/>
    <mergeCell ref="B18:C18"/>
    <mergeCell ref="B15:C15"/>
    <mergeCell ref="B14:C14"/>
    <mergeCell ref="A9:C9"/>
    <mergeCell ref="B10:C10"/>
    <mergeCell ref="B11:C11"/>
    <mergeCell ref="D17:D18"/>
    <mergeCell ref="E17:E18"/>
    <mergeCell ref="G43:G45"/>
    <mergeCell ref="H43:H45"/>
    <mergeCell ref="I43:I45"/>
    <mergeCell ref="B30:C30"/>
    <mergeCell ref="B36:C36"/>
    <mergeCell ref="F17:F18"/>
    <mergeCell ref="E43:E45"/>
    <mergeCell ref="F43:F45"/>
    <mergeCell ref="G17:G18"/>
    <mergeCell ref="H17:H18"/>
    <mergeCell ref="I17:I18"/>
    <mergeCell ref="A71:C71"/>
    <mergeCell ref="B72:C72"/>
    <mergeCell ref="A46:C46"/>
    <mergeCell ref="B37:C37"/>
    <mergeCell ref="B39:C39"/>
    <mergeCell ref="D43:D45"/>
    <mergeCell ref="B73:C73"/>
    <mergeCell ref="A48:C48"/>
    <mergeCell ref="B49:C49"/>
    <mergeCell ref="B58:C58"/>
    <mergeCell ref="B63:C63"/>
    <mergeCell ref="B66:C66"/>
    <mergeCell ref="B67:C67"/>
    <mergeCell ref="B68:C68"/>
    <mergeCell ref="A69:C69"/>
    <mergeCell ref="B70:C70"/>
    <mergeCell ref="B80:C80"/>
    <mergeCell ref="A74:C74"/>
    <mergeCell ref="B75:C75"/>
    <mergeCell ref="B76:C76"/>
    <mergeCell ref="B77:C77"/>
    <mergeCell ref="B78:C78"/>
    <mergeCell ref="B79:C79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1760-4E8E-477F-9A96-06DA5A6C3112}">
  <sheetPr>
    <pageSetUpPr fitToPage="1"/>
  </sheetPr>
  <dimension ref="A1:E26"/>
  <sheetViews>
    <sheetView view="pageBreakPreview" zoomScale="120" zoomScaleSheetLayoutView="120" workbookViewId="0">
      <selection activeCell="G19" sqref="G19"/>
    </sheetView>
  </sheetViews>
  <sheetFormatPr baseColWidth="10" defaultColWidth="11.28515625" defaultRowHeight="16.5" x14ac:dyDescent="0.25"/>
  <cols>
    <col min="1" max="1" width="1.28515625" style="1" customWidth="1"/>
    <col min="2" max="2" width="43.85546875" style="1" customWidth="1"/>
    <col min="3" max="4" width="25.7109375" style="1" customWidth="1"/>
    <col min="5" max="5" width="62" style="78" customWidth="1"/>
    <col min="6" max="16384" width="11.28515625" style="1"/>
  </cols>
  <sheetData>
    <row r="1" spans="1:5" x14ac:dyDescent="0.25">
      <c r="A1" s="106" t="str">
        <f>'[1]ETCA-I-01'!A1:G1</f>
        <v xml:space="preserve">Comision Estatal del Agua </v>
      </c>
      <c r="B1" s="106"/>
      <c r="C1" s="106"/>
      <c r="D1" s="106"/>
    </row>
    <row r="2" spans="1:5" s="104" customFormat="1" ht="15.75" x14ac:dyDescent="0.25">
      <c r="A2" s="106" t="s">
        <v>129</v>
      </c>
      <c r="B2" s="106"/>
      <c r="C2" s="106"/>
      <c r="D2" s="106"/>
      <c r="E2" s="228"/>
    </row>
    <row r="3" spans="1:5" s="104" customFormat="1" x14ac:dyDescent="0.25">
      <c r="A3" s="105" t="str">
        <f>'[1]ETCA-I-01'!A3:G3</f>
        <v>Al 31 de Diciembre de 2021</v>
      </c>
      <c r="B3" s="105"/>
      <c r="C3" s="105"/>
      <c r="D3" s="105"/>
      <c r="E3" s="227"/>
    </row>
    <row r="4" spans="1:5" s="26" customFormat="1" ht="17.25" thickBot="1" x14ac:dyDescent="0.3">
      <c r="A4" s="103"/>
      <c r="B4" s="102" t="s">
        <v>128</v>
      </c>
      <c r="C4" s="102"/>
      <c r="D4" s="226"/>
      <c r="E4" s="225"/>
    </row>
    <row r="5" spans="1:5" s="221" customFormat="1" ht="27" customHeight="1" thickBot="1" x14ac:dyDescent="0.3">
      <c r="A5" s="224" t="s">
        <v>127</v>
      </c>
      <c r="B5" s="223"/>
      <c r="C5" s="222"/>
      <c r="D5" s="179">
        <f>'ETCA-II-01'!F19</f>
        <v>672014669.48000002</v>
      </c>
      <c r="E5" s="178" t="str">
        <f>IF(D5&lt;&gt;'ETCA-II-01'!F44,"ERROR!!!!! EL MONTO NO COINCIDE CON LO REPORTADO EN EL FORMATO ETCA-II-01 EN EL TOTAL DEVENGADO DEL ANALÍTICO DE INGRESOS","")</f>
        <v/>
      </c>
    </row>
    <row r="6" spans="1:5" s="211" customFormat="1" ht="9.75" customHeight="1" x14ac:dyDescent="0.25">
      <c r="A6" s="220"/>
      <c r="B6" s="219"/>
      <c r="C6" s="218"/>
      <c r="D6" s="217"/>
      <c r="E6" s="216"/>
    </row>
    <row r="7" spans="1:5" s="211" customFormat="1" ht="17.25" customHeight="1" thickBot="1" x14ac:dyDescent="0.3">
      <c r="A7" s="215"/>
      <c r="B7" s="214"/>
      <c r="C7" s="213"/>
      <c r="D7" s="212"/>
      <c r="E7" s="178"/>
    </row>
    <row r="8" spans="1:5" ht="20.100000000000001" customHeight="1" thickBot="1" x14ac:dyDescent="0.3">
      <c r="A8" s="195" t="s">
        <v>126</v>
      </c>
      <c r="B8" s="194"/>
      <c r="C8" s="193"/>
      <c r="D8" s="192">
        <f>SUM(C9:C14)</f>
        <v>0</v>
      </c>
      <c r="E8" s="178"/>
    </row>
    <row r="9" spans="1:5" ht="20.100000000000001" customHeight="1" x14ac:dyDescent="0.2">
      <c r="A9" s="210"/>
      <c r="B9" s="191" t="s">
        <v>125</v>
      </c>
      <c r="C9" s="209"/>
      <c r="D9" s="183"/>
      <c r="E9" s="208" t="str">
        <f>IF(C9&lt;&gt;'[1]ETCA-I-03'!C20,"ERROR!!!, NO COINCIDEN LOS MONTOS CON LO REPORTADO EN EL FORMATO ETCA-I-03","")</f>
        <v/>
      </c>
    </row>
    <row r="10" spans="1:5" ht="20.100000000000001" customHeight="1" x14ac:dyDescent="0.2">
      <c r="A10" s="210"/>
      <c r="B10" s="190" t="s">
        <v>124</v>
      </c>
      <c r="C10" s="209"/>
      <c r="D10" s="183"/>
      <c r="E10" s="208"/>
    </row>
    <row r="11" spans="1:5" ht="33" customHeight="1" x14ac:dyDescent="0.2">
      <c r="A11" s="210"/>
      <c r="B11" s="190" t="s">
        <v>123</v>
      </c>
      <c r="C11" s="209"/>
      <c r="D11" s="183"/>
      <c r="E11" s="208" t="str">
        <f>IF(C11&lt;&gt;'[1]ETCA-I-03'!C21,"ERROR!!!, NO COINCIDEN LOS MONTOS CON LO REPORTADO EN EL FORMATO ETCA-I-03","")</f>
        <v/>
      </c>
    </row>
    <row r="12" spans="1:5" ht="20.100000000000001" customHeight="1" x14ac:dyDescent="0.2">
      <c r="A12" s="186"/>
      <c r="B12" s="190" t="s">
        <v>122</v>
      </c>
      <c r="C12" s="209"/>
      <c r="D12" s="183"/>
      <c r="E12" s="208" t="str">
        <f>IF(C12&lt;&gt;'[1]ETCA-I-03'!C22,"ERROR!!!, NO COINCIDEN LOS MONTOS CON LO REPORTADO EN EL FORMATO ETCA-I-03","")</f>
        <v/>
      </c>
    </row>
    <row r="13" spans="1:5" ht="20.100000000000001" customHeight="1" x14ac:dyDescent="0.2">
      <c r="A13" s="186"/>
      <c r="B13" s="190" t="s">
        <v>121</v>
      </c>
      <c r="C13" s="209"/>
      <c r="D13" s="183"/>
      <c r="E13" s="208"/>
    </row>
    <row r="14" spans="1:5" ht="24.75" customHeight="1" thickBot="1" x14ac:dyDescent="0.3">
      <c r="A14" s="207" t="s">
        <v>120</v>
      </c>
      <c r="B14" s="206"/>
      <c r="C14" s="205"/>
      <c r="D14" s="204"/>
      <c r="E14" s="178"/>
    </row>
    <row r="15" spans="1:5" ht="7.5" customHeight="1" x14ac:dyDescent="0.25">
      <c r="A15" s="203"/>
      <c r="B15" s="202"/>
      <c r="C15" s="201"/>
      <c r="D15" s="200"/>
      <c r="E15" s="178"/>
    </row>
    <row r="16" spans="1:5" ht="20.100000000000001" customHeight="1" thickBot="1" x14ac:dyDescent="0.3">
      <c r="A16" s="199"/>
      <c r="B16" s="198"/>
      <c r="C16" s="197"/>
      <c r="D16" s="196"/>
      <c r="E16" s="178"/>
    </row>
    <row r="17" spans="1:5" ht="20.100000000000001" customHeight="1" thickBot="1" x14ac:dyDescent="0.3">
      <c r="A17" s="195" t="s">
        <v>119</v>
      </c>
      <c r="B17" s="194"/>
      <c r="C17" s="193"/>
      <c r="D17" s="192">
        <f>SUM(C18:C21)</f>
        <v>0</v>
      </c>
      <c r="E17" s="178"/>
    </row>
    <row r="18" spans="1:5" ht="20.100000000000001" customHeight="1" x14ac:dyDescent="0.25">
      <c r="A18" s="186"/>
      <c r="B18" s="191" t="s">
        <v>118</v>
      </c>
      <c r="C18" s="187"/>
      <c r="D18" s="183"/>
      <c r="E18" s="178"/>
    </row>
    <row r="19" spans="1:5" ht="20.100000000000001" customHeight="1" x14ac:dyDescent="0.25">
      <c r="A19" s="186"/>
      <c r="B19" s="190" t="s">
        <v>7</v>
      </c>
      <c r="C19" s="187"/>
      <c r="D19" s="183"/>
      <c r="E19" s="178"/>
    </row>
    <row r="20" spans="1:5" ht="20.100000000000001" customHeight="1" x14ac:dyDescent="0.25">
      <c r="A20" s="189" t="s">
        <v>117</v>
      </c>
      <c r="B20" s="188"/>
      <c r="C20" s="187"/>
      <c r="D20" s="183"/>
      <c r="E20" s="178"/>
    </row>
    <row r="21" spans="1:5" ht="20.100000000000001" customHeight="1" thickBot="1" x14ac:dyDescent="0.3">
      <c r="A21" s="186"/>
      <c r="B21" s="185"/>
      <c r="C21" s="184"/>
      <c r="D21" s="183"/>
      <c r="E21" s="178"/>
    </row>
    <row r="22" spans="1:5" ht="26.25" customHeight="1" thickBot="1" x14ac:dyDescent="0.3">
      <c r="A22" s="182" t="s">
        <v>116</v>
      </c>
      <c r="B22" s="181"/>
      <c r="C22" s="180"/>
      <c r="D22" s="179">
        <f>D5+D8-D17</f>
        <v>672014669.48000002</v>
      </c>
      <c r="E22" s="178" t="str">
        <f>IF(D22&lt;&gt;'[1]ETCA-I-03'!C24,"ERROR!!!!! EL MONTO NO COINCIDE CON LO REPORTADO EN EL FORMATO ETCA-I-03 EN EL TOTAL DE INGRESOS Y OTROS BENEFICIOS","")</f>
        <v/>
      </c>
    </row>
    <row r="25" spans="1:5" s="175" customFormat="1" ht="13.5" x14ac:dyDescent="0.25">
      <c r="B25" s="177" t="s">
        <v>115</v>
      </c>
      <c r="C25" s="177"/>
      <c r="D25" s="177"/>
      <c r="E25" s="176"/>
    </row>
    <row r="26" spans="1:5" s="175" customFormat="1" ht="13.5" x14ac:dyDescent="0.25">
      <c r="B26" s="177" t="s">
        <v>114</v>
      </c>
      <c r="C26" s="177"/>
      <c r="D26" s="177"/>
      <c r="E26" s="176"/>
    </row>
  </sheetData>
  <sheetProtection password="C195" sheet="1" scenarios="1" insertHyperlinks="0"/>
  <mergeCells count="5">
    <mergeCell ref="A5:B5"/>
    <mergeCell ref="A1:D1"/>
    <mergeCell ref="A2:D2"/>
    <mergeCell ref="A3:D3"/>
    <mergeCell ref="B4:C4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033E-0BCD-4EA7-B509-5509FDA1B1E9}">
  <dimension ref="A1:G90"/>
  <sheetViews>
    <sheetView view="pageBreakPreview" zoomScaleSheetLayoutView="100" workbookViewId="0">
      <selection activeCell="G19" sqref="G19"/>
    </sheetView>
  </sheetViews>
  <sheetFormatPr baseColWidth="10" defaultRowHeight="15" x14ac:dyDescent="0.25"/>
  <cols>
    <col min="1" max="1" width="49.85546875" customWidth="1"/>
    <col min="2" max="2" width="13.7109375" customWidth="1"/>
    <col min="3" max="3" width="15.42578125" customWidth="1"/>
    <col min="4" max="7" width="13.7109375" customWidth="1"/>
  </cols>
  <sheetData>
    <row r="1" spans="1:7" ht="15.75" x14ac:dyDescent="0.25">
      <c r="A1" s="106" t="str">
        <f>'[1]ETCA-I-01'!A1:G1</f>
        <v xml:space="preserve">Comision Estatal del Agua </v>
      </c>
      <c r="B1" s="106"/>
      <c r="C1" s="106"/>
      <c r="D1" s="106"/>
      <c r="E1" s="106"/>
      <c r="F1" s="106"/>
      <c r="G1" s="106"/>
    </row>
    <row r="2" spans="1:7" ht="15.75" x14ac:dyDescent="0.25">
      <c r="A2" s="106" t="s">
        <v>213</v>
      </c>
      <c r="B2" s="106"/>
      <c r="C2" s="106"/>
      <c r="D2" s="106"/>
      <c r="E2" s="106"/>
      <c r="F2" s="106"/>
      <c r="G2" s="106"/>
    </row>
    <row r="3" spans="1:7" ht="15.75" x14ac:dyDescent="0.25">
      <c r="A3" s="106" t="s">
        <v>212</v>
      </c>
      <c r="B3" s="106"/>
      <c r="C3" s="106"/>
      <c r="D3" s="106"/>
      <c r="E3" s="106"/>
      <c r="F3" s="106"/>
      <c r="G3" s="106"/>
    </row>
    <row r="4" spans="1:7" ht="16.5" x14ac:dyDescent="0.25">
      <c r="A4" s="105" t="str">
        <f>'[1]ETCA-I-03'!A3:D3</f>
        <v>Del 01 de Enero  al 31 de Diciembre de 2021</v>
      </c>
      <c r="B4" s="105"/>
      <c r="C4" s="105"/>
      <c r="D4" s="105"/>
      <c r="E4" s="105"/>
      <c r="F4" s="105"/>
      <c r="G4" s="105"/>
    </row>
    <row r="5" spans="1:7" ht="17.25" thickBot="1" x14ac:dyDescent="0.3">
      <c r="A5" s="254" t="s">
        <v>211</v>
      </c>
      <c r="B5" s="254"/>
      <c r="C5" s="254"/>
      <c r="D5" s="254"/>
      <c r="E5" s="254"/>
      <c r="F5" s="226"/>
      <c r="G5" s="26"/>
    </row>
    <row r="6" spans="1:7" ht="38.25" x14ac:dyDescent="0.25">
      <c r="A6" s="253" t="s">
        <v>210</v>
      </c>
      <c r="B6" s="252" t="s">
        <v>209</v>
      </c>
      <c r="C6" s="252" t="s">
        <v>109</v>
      </c>
      <c r="D6" s="251" t="s">
        <v>208</v>
      </c>
      <c r="E6" s="250" t="s">
        <v>207</v>
      </c>
      <c r="F6" s="250" t="s">
        <v>206</v>
      </c>
      <c r="G6" s="249" t="s">
        <v>205</v>
      </c>
    </row>
    <row r="7" spans="1:7" ht="15.75" thickBot="1" x14ac:dyDescent="0.3">
      <c r="A7" s="248"/>
      <c r="B7" s="247" t="s">
        <v>26</v>
      </c>
      <c r="C7" s="247" t="s">
        <v>25</v>
      </c>
      <c r="D7" s="246" t="s">
        <v>204</v>
      </c>
      <c r="E7" s="245" t="s">
        <v>23</v>
      </c>
      <c r="F7" s="245" t="s">
        <v>22</v>
      </c>
      <c r="G7" s="244" t="s">
        <v>203</v>
      </c>
    </row>
    <row r="8" spans="1:7" x14ac:dyDescent="0.25">
      <c r="A8" s="243" t="s">
        <v>202</v>
      </c>
      <c r="B8" s="240">
        <f>SUM(B9:B15)</f>
        <v>228381131.27051684</v>
      </c>
      <c r="C8" s="240">
        <f>SUM(C9:C15)</f>
        <v>13382054.330000002</v>
      </c>
      <c r="D8" s="240">
        <f>B8+C8</f>
        <v>241763185.60051686</v>
      </c>
      <c r="E8" s="240">
        <f>SUM(E9:E15)</f>
        <v>230621556.50000003</v>
      </c>
      <c r="F8" s="240">
        <f>SUM(F9:F15)</f>
        <v>219772465.42000002</v>
      </c>
      <c r="G8" s="238">
        <f>D8-E8</f>
        <v>11141629.100516826</v>
      </c>
    </row>
    <row r="9" spans="1:7" x14ac:dyDescent="0.25">
      <c r="A9" s="241" t="s">
        <v>201</v>
      </c>
      <c r="B9" s="239">
        <v>128715176.53765386</v>
      </c>
      <c r="C9" s="239">
        <v>7287593.2799999993</v>
      </c>
      <c r="D9" s="240">
        <f>B9+C9</f>
        <v>136002769.81765386</v>
      </c>
      <c r="E9" s="239">
        <v>128760871.70999999</v>
      </c>
      <c r="F9" s="239">
        <v>124599026.20999999</v>
      </c>
      <c r="G9" s="238">
        <f>D9-E9</f>
        <v>7241898.1076538712</v>
      </c>
    </row>
    <row r="10" spans="1:7" x14ac:dyDescent="0.25">
      <c r="A10" s="241" t="s">
        <v>200</v>
      </c>
      <c r="B10" s="239">
        <v>2499030.636425056</v>
      </c>
      <c r="C10" s="239">
        <v>23669.5</v>
      </c>
      <c r="D10" s="240">
        <f>B10+C10</f>
        <v>2522700.136425056</v>
      </c>
      <c r="E10" s="239">
        <v>2285316.08</v>
      </c>
      <c r="F10" s="239">
        <v>2219689.14</v>
      </c>
      <c r="G10" s="238">
        <f>D10-E10</f>
        <v>237384.05642505595</v>
      </c>
    </row>
    <row r="11" spans="1:7" x14ac:dyDescent="0.25">
      <c r="A11" s="241" t="s">
        <v>199</v>
      </c>
      <c r="B11" s="239">
        <v>13492089.137547543</v>
      </c>
      <c r="C11" s="239">
        <v>7351986.2199999997</v>
      </c>
      <c r="D11" s="240">
        <f>B11+C11</f>
        <v>20844075.357547544</v>
      </c>
      <c r="E11" s="239">
        <v>19595210.740000002</v>
      </c>
      <c r="F11" s="239">
        <v>19441411.25</v>
      </c>
      <c r="G11" s="238">
        <f>D11-E11</f>
        <v>1248864.6175475419</v>
      </c>
    </row>
    <row r="12" spans="1:7" x14ac:dyDescent="0.25">
      <c r="A12" s="241" t="s">
        <v>198</v>
      </c>
      <c r="B12" s="239">
        <v>43124348.720805742</v>
      </c>
      <c r="C12" s="239">
        <v>27463.050000000047</v>
      </c>
      <c r="D12" s="240">
        <f>B12+C12</f>
        <v>43151811.770805739</v>
      </c>
      <c r="E12" s="239">
        <v>42495166.330000006</v>
      </c>
      <c r="F12" s="239">
        <v>37832891.960000001</v>
      </c>
      <c r="G12" s="238">
        <f>D12-E12</f>
        <v>656645.4408057332</v>
      </c>
    </row>
    <row r="13" spans="1:7" x14ac:dyDescent="0.25">
      <c r="A13" s="241" t="s">
        <v>197</v>
      </c>
      <c r="B13" s="239">
        <v>37148885.182872325</v>
      </c>
      <c r="C13" s="239">
        <v>179712.69000000041</v>
      </c>
      <c r="D13" s="240">
        <f>B13+C13</f>
        <v>37328597.872872323</v>
      </c>
      <c r="E13" s="239">
        <v>35641498.369999997</v>
      </c>
      <c r="F13" s="239">
        <v>34027190.590000004</v>
      </c>
      <c r="G13" s="238">
        <f>D13-E13</f>
        <v>1687099.5028723255</v>
      </c>
    </row>
    <row r="14" spans="1:7" x14ac:dyDescent="0.25">
      <c r="A14" s="241" t="s">
        <v>196</v>
      </c>
      <c r="B14" s="239">
        <v>2239027.0000000005</v>
      </c>
      <c r="C14" s="239">
        <v>-2169998</v>
      </c>
      <c r="D14" s="240">
        <f>B14+C14</f>
        <v>69029.000000000466</v>
      </c>
      <c r="E14" s="239">
        <v>0</v>
      </c>
      <c r="F14" s="239">
        <v>0</v>
      </c>
      <c r="G14" s="238">
        <f>D14-E14</f>
        <v>69029.000000000466</v>
      </c>
    </row>
    <row r="15" spans="1:7" x14ac:dyDescent="0.25">
      <c r="A15" s="241" t="s">
        <v>195</v>
      </c>
      <c r="B15" s="239">
        <v>1162574.0552123273</v>
      </c>
      <c r="C15" s="239">
        <v>681627.59000000008</v>
      </c>
      <c r="D15" s="240">
        <f>B15+C15</f>
        <v>1844201.6452123274</v>
      </c>
      <c r="E15" s="239">
        <v>1843493.2699999998</v>
      </c>
      <c r="F15" s="239">
        <v>1652256.2699999998</v>
      </c>
      <c r="G15" s="238">
        <f>D15-E15</f>
        <v>708.37521232757717</v>
      </c>
    </row>
    <row r="16" spans="1:7" x14ac:dyDescent="0.25">
      <c r="A16" s="242" t="s">
        <v>194</v>
      </c>
      <c r="B16" s="240">
        <f>SUM(B17:B25)</f>
        <v>32743753.537615076</v>
      </c>
      <c r="C16" s="240">
        <f>SUM(C17:C25)</f>
        <v>2922204.9199999995</v>
      </c>
      <c r="D16" s="240">
        <f>B16+C16</f>
        <v>35665958.457615077</v>
      </c>
      <c r="E16" s="240">
        <f>SUM(E17:E25)</f>
        <v>17918098.590000004</v>
      </c>
      <c r="F16" s="240">
        <f>SUM(F17:F25)</f>
        <v>16708730.170000002</v>
      </c>
      <c r="G16" s="238">
        <f>D16-E16</f>
        <v>17747859.867615074</v>
      </c>
    </row>
    <row r="17" spans="1:7" ht="25.5" x14ac:dyDescent="0.25">
      <c r="A17" s="241" t="s">
        <v>193</v>
      </c>
      <c r="B17" s="239">
        <v>2532110.0925888894</v>
      </c>
      <c r="C17" s="239">
        <v>-263781.43</v>
      </c>
      <c r="D17" s="240">
        <f>B17+C17</f>
        <v>2268328.6625888892</v>
      </c>
      <c r="E17" s="239">
        <v>984095.03000000014</v>
      </c>
      <c r="F17" s="239">
        <v>955178.28</v>
      </c>
      <c r="G17" s="238">
        <f>D17-E17</f>
        <v>1284233.632588889</v>
      </c>
    </row>
    <row r="18" spans="1:7" x14ac:dyDescent="0.25">
      <c r="A18" s="241" t="s">
        <v>192</v>
      </c>
      <c r="B18" s="239">
        <v>515556.00400065101</v>
      </c>
      <c r="C18" s="239">
        <v>210173.21000000002</v>
      </c>
      <c r="D18" s="240">
        <f>B18+C18</f>
        <v>725729.21400065103</v>
      </c>
      <c r="E18" s="239">
        <v>616422.6</v>
      </c>
      <c r="F18" s="239">
        <v>562187.4</v>
      </c>
      <c r="G18" s="238">
        <f>D18-E18</f>
        <v>109306.61400065105</v>
      </c>
    </row>
    <row r="19" spans="1:7" x14ac:dyDescent="0.25">
      <c r="A19" s="241" t="s">
        <v>191</v>
      </c>
      <c r="B19" s="239">
        <v>7291594.7244469412</v>
      </c>
      <c r="C19" s="239">
        <v>-858199.75999999989</v>
      </c>
      <c r="D19" s="240">
        <f>B19+C19</f>
        <v>6433394.9644469414</v>
      </c>
      <c r="E19" s="239">
        <v>2206068.25</v>
      </c>
      <c r="F19" s="239">
        <v>1967890.6100000003</v>
      </c>
      <c r="G19" s="238">
        <f>D19-E19</f>
        <v>4227326.7144469414</v>
      </c>
    </row>
    <row r="20" spans="1:7" x14ac:dyDescent="0.25">
      <c r="A20" s="241" t="s">
        <v>190</v>
      </c>
      <c r="B20" s="239">
        <v>733994.09585450799</v>
      </c>
      <c r="C20" s="239">
        <v>235562.38999999998</v>
      </c>
      <c r="D20" s="240">
        <f>B20+C20</f>
        <v>969556.48585450801</v>
      </c>
      <c r="E20" s="239">
        <v>569994.24999999988</v>
      </c>
      <c r="F20" s="239">
        <v>558273.13</v>
      </c>
      <c r="G20" s="238">
        <f>D20-E20</f>
        <v>399562.23585450812</v>
      </c>
    </row>
    <row r="21" spans="1:7" x14ac:dyDescent="0.25">
      <c r="A21" s="241" t="s">
        <v>189</v>
      </c>
      <c r="B21" s="239">
        <v>8850206.9450112432</v>
      </c>
      <c r="C21" s="239">
        <v>-1530652.56</v>
      </c>
      <c r="D21" s="240">
        <f>B21+C21</f>
        <v>7319554.3850112427</v>
      </c>
      <c r="E21" s="239">
        <v>226065.92000000001</v>
      </c>
      <c r="F21" s="239">
        <v>226065.92000000001</v>
      </c>
      <c r="G21" s="238">
        <f>D21-E21</f>
        <v>7093488.4650112428</v>
      </c>
    </row>
    <row r="22" spans="1:7" x14ac:dyDescent="0.25">
      <c r="A22" s="241" t="s">
        <v>188</v>
      </c>
      <c r="B22" s="239">
        <v>7882079.9040440097</v>
      </c>
      <c r="C22" s="239">
        <v>2944291.0599999996</v>
      </c>
      <c r="D22" s="240">
        <f>B22+C22</f>
        <v>10826370.964044008</v>
      </c>
      <c r="E22" s="239">
        <v>10273233.500000002</v>
      </c>
      <c r="F22" s="239">
        <v>9483576.6699999999</v>
      </c>
      <c r="G22" s="238">
        <f>D22-E22</f>
        <v>553137.46404400654</v>
      </c>
    </row>
    <row r="23" spans="1:7" x14ac:dyDescent="0.25">
      <c r="A23" s="241" t="s">
        <v>187</v>
      </c>
      <c r="B23" s="239">
        <v>2391286.6141817095</v>
      </c>
      <c r="C23" s="239">
        <v>75367</v>
      </c>
      <c r="D23" s="240">
        <f>B23+C23</f>
        <v>2466653.6141817095</v>
      </c>
      <c r="E23" s="239">
        <v>570968.38</v>
      </c>
      <c r="F23" s="239">
        <v>570547.76</v>
      </c>
      <c r="G23" s="238">
        <f>D23-E23</f>
        <v>1895685.2341817096</v>
      </c>
    </row>
    <row r="24" spans="1:7" x14ac:dyDescent="0.25">
      <c r="A24" s="241" t="s">
        <v>186</v>
      </c>
      <c r="B24" s="239">
        <v>0</v>
      </c>
      <c r="C24" s="239">
        <v>0</v>
      </c>
      <c r="D24" s="240">
        <f>B24+C24</f>
        <v>0</v>
      </c>
      <c r="E24" s="239">
        <v>0</v>
      </c>
      <c r="F24" s="239">
        <v>0</v>
      </c>
      <c r="G24" s="238">
        <f>D24-E24</f>
        <v>0</v>
      </c>
    </row>
    <row r="25" spans="1:7" x14ac:dyDescent="0.25">
      <c r="A25" s="241" t="s">
        <v>185</v>
      </c>
      <c r="B25" s="239">
        <v>2546925.1574871233</v>
      </c>
      <c r="C25" s="239">
        <v>2109445.0099999998</v>
      </c>
      <c r="D25" s="240">
        <f>B25+C25</f>
        <v>4656370.167487123</v>
      </c>
      <c r="E25" s="239">
        <v>2471250.66</v>
      </c>
      <c r="F25" s="239">
        <v>2385010.4000000004</v>
      </c>
      <c r="G25" s="238">
        <f>D25-E25</f>
        <v>2185119.5074871229</v>
      </c>
    </row>
    <row r="26" spans="1:7" x14ac:dyDescent="0.25">
      <c r="A26" s="242" t="s">
        <v>184</v>
      </c>
      <c r="B26" s="240">
        <f>SUM(B27:B35)</f>
        <v>188213199.19262657</v>
      </c>
      <c r="C26" s="240">
        <f>SUM(C27:C35)</f>
        <v>-3884571.6399999997</v>
      </c>
      <c r="D26" s="240">
        <f>B26+C26</f>
        <v>184328627.55262658</v>
      </c>
      <c r="E26" s="240">
        <f>SUM(E27:E35)</f>
        <v>165188326.43000004</v>
      </c>
      <c r="F26" s="240">
        <f>SUM(F27:F35)</f>
        <v>141449477.61000001</v>
      </c>
      <c r="G26" s="238">
        <f>D26-E26</f>
        <v>19140301.122626543</v>
      </c>
    </row>
    <row r="27" spans="1:7" x14ac:dyDescent="0.25">
      <c r="A27" s="241" t="s">
        <v>183</v>
      </c>
      <c r="B27" s="239">
        <v>119789910.95852274</v>
      </c>
      <c r="C27" s="239">
        <v>-1692222.2899999996</v>
      </c>
      <c r="D27" s="240">
        <f>B27+C27</f>
        <v>118097688.66852273</v>
      </c>
      <c r="E27" s="239">
        <v>110979789.72999999</v>
      </c>
      <c r="F27" s="239">
        <v>110166026.39</v>
      </c>
      <c r="G27" s="238">
        <f>D27-E27</f>
        <v>7117898.9385227412</v>
      </c>
    </row>
    <row r="28" spans="1:7" x14ac:dyDescent="0.25">
      <c r="A28" s="241" t="s">
        <v>182</v>
      </c>
      <c r="B28" s="239">
        <v>6189840.4854979319</v>
      </c>
      <c r="C28" s="239">
        <v>24901.809999999987</v>
      </c>
      <c r="D28" s="240">
        <f>B28+C28</f>
        <v>6214742.2954979315</v>
      </c>
      <c r="E28" s="239">
        <v>5400471.29</v>
      </c>
      <c r="F28" s="239">
        <v>3679155.0900000003</v>
      </c>
      <c r="G28" s="238">
        <f>D28-E28</f>
        <v>814271.0054979315</v>
      </c>
    </row>
    <row r="29" spans="1:7" x14ac:dyDescent="0.25">
      <c r="A29" s="241" t="s">
        <v>181</v>
      </c>
      <c r="B29" s="239">
        <v>15233054.221186515</v>
      </c>
      <c r="C29" s="239">
        <v>-2908320.7</v>
      </c>
      <c r="D29" s="240">
        <f>B29+C29</f>
        <v>12324733.521186516</v>
      </c>
      <c r="E29" s="239">
        <v>9051715.3399999999</v>
      </c>
      <c r="F29" s="239">
        <v>8232587.8100000005</v>
      </c>
      <c r="G29" s="238">
        <f>D29-E29</f>
        <v>3273018.1811865158</v>
      </c>
    </row>
    <row r="30" spans="1:7" x14ac:dyDescent="0.25">
      <c r="A30" s="241" t="s">
        <v>180</v>
      </c>
      <c r="B30" s="239">
        <v>19927345.69716461</v>
      </c>
      <c r="C30" s="239">
        <v>-8617678.2699999996</v>
      </c>
      <c r="D30" s="240">
        <f>B30+C30</f>
        <v>11309667.42716461</v>
      </c>
      <c r="E30" s="239">
        <v>5995545.6099999994</v>
      </c>
      <c r="F30" s="239">
        <v>4777118.96</v>
      </c>
      <c r="G30" s="238">
        <f>D30-E30</f>
        <v>5314121.8171646111</v>
      </c>
    </row>
    <row r="31" spans="1:7" ht="25.5" x14ac:dyDescent="0.25">
      <c r="A31" s="241" t="s">
        <v>179</v>
      </c>
      <c r="B31" s="239">
        <v>9094613.4361911993</v>
      </c>
      <c r="C31" s="239">
        <v>2665215.29</v>
      </c>
      <c r="D31" s="240">
        <f>B31+C31</f>
        <v>11759828.7261912</v>
      </c>
      <c r="E31" s="239">
        <v>10411725.640000001</v>
      </c>
      <c r="F31" s="239">
        <v>8987824.3499999996</v>
      </c>
      <c r="G31" s="238">
        <f>D31-E31</f>
        <v>1348103.0861911997</v>
      </c>
    </row>
    <row r="32" spans="1:7" x14ac:dyDescent="0.25">
      <c r="A32" s="241" t="s">
        <v>178</v>
      </c>
      <c r="B32" s="239">
        <v>1571081.2150268822</v>
      </c>
      <c r="C32" s="239">
        <v>-232249.85</v>
      </c>
      <c r="D32" s="240">
        <f>B32+C32</f>
        <v>1338831.3650268822</v>
      </c>
      <c r="E32" s="239">
        <v>925224.3</v>
      </c>
      <c r="F32" s="239">
        <v>295515.3</v>
      </c>
      <c r="G32" s="238">
        <f>D32-E32</f>
        <v>413607.0650268821</v>
      </c>
    </row>
    <row r="33" spans="1:7" x14ac:dyDescent="0.25">
      <c r="A33" s="241" t="s">
        <v>177</v>
      </c>
      <c r="B33" s="239">
        <v>3284689.3688056255</v>
      </c>
      <c r="C33" s="239">
        <v>-960031.94</v>
      </c>
      <c r="D33" s="240">
        <f>B33+C33</f>
        <v>2324657.4288056255</v>
      </c>
      <c r="E33" s="239">
        <v>2069000.7400000002</v>
      </c>
      <c r="F33" s="239">
        <v>2068850.7400000002</v>
      </c>
      <c r="G33" s="238">
        <f>D33-E33</f>
        <v>255656.68880562531</v>
      </c>
    </row>
    <row r="34" spans="1:7" ht="15.75" thickBot="1" x14ac:dyDescent="0.3">
      <c r="A34" s="237" t="s">
        <v>176</v>
      </c>
      <c r="B34" s="235">
        <v>156050</v>
      </c>
      <c r="C34" s="235">
        <v>-128120</v>
      </c>
      <c r="D34" s="236">
        <f>B34+C34</f>
        <v>27930</v>
      </c>
      <c r="E34" s="235">
        <v>3810</v>
      </c>
      <c r="F34" s="235">
        <v>3810</v>
      </c>
      <c r="G34" s="234">
        <f>D34-E34</f>
        <v>24120</v>
      </c>
    </row>
    <row r="35" spans="1:7" x14ac:dyDescent="0.25">
      <c r="A35" s="241" t="s">
        <v>175</v>
      </c>
      <c r="B35" s="239">
        <v>12966613.810231052</v>
      </c>
      <c r="C35" s="239">
        <v>7963934.3099999996</v>
      </c>
      <c r="D35" s="240">
        <f>B35+C35</f>
        <v>20930548.120231051</v>
      </c>
      <c r="E35" s="239">
        <v>20351043.780000001</v>
      </c>
      <c r="F35" s="239">
        <v>3238588.97</v>
      </c>
      <c r="G35" s="238">
        <f>D35-E35</f>
        <v>579504.34023104981</v>
      </c>
    </row>
    <row r="36" spans="1:7" x14ac:dyDescent="0.25">
      <c r="A36" s="242" t="s">
        <v>174</v>
      </c>
      <c r="B36" s="240">
        <f>SUM(B37:B45)</f>
        <v>0</v>
      </c>
      <c r="C36" s="240">
        <f>SUM(C37:C45)</f>
        <v>7796998.4399999995</v>
      </c>
      <c r="D36" s="240">
        <f>B36+C36</f>
        <v>7796998.4399999995</v>
      </c>
      <c r="E36" s="240">
        <f>SUM(E37:E45)</f>
        <v>7603911.4199999999</v>
      </c>
      <c r="F36" s="240">
        <f>SUM(F37:F45)</f>
        <v>7603911.4199999999</v>
      </c>
      <c r="G36" s="238">
        <f>D36-E36</f>
        <v>193087.01999999955</v>
      </c>
    </row>
    <row r="37" spans="1:7" x14ac:dyDescent="0.25">
      <c r="A37" s="241" t="s">
        <v>173</v>
      </c>
      <c r="B37" s="239"/>
      <c r="C37" s="239"/>
      <c r="D37" s="240">
        <f>B37+C37</f>
        <v>0</v>
      </c>
      <c r="E37" s="239"/>
      <c r="F37" s="239"/>
      <c r="G37" s="238">
        <f>D37-E37</f>
        <v>0</v>
      </c>
    </row>
    <row r="38" spans="1:7" x14ac:dyDescent="0.25">
      <c r="A38" s="241" t="s">
        <v>172</v>
      </c>
      <c r="B38" s="239"/>
      <c r="C38" s="239">
        <v>7796998.4399999995</v>
      </c>
      <c r="D38" s="240">
        <f>B38+C38</f>
        <v>7796998.4399999995</v>
      </c>
      <c r="E38" s="239">
        <v>7603911.4199999999</v>
      </c>
      <c r="F38" s="239">
        <v>7603911.4199999999</v>
      </c>
      <c r="G38" s="238">
        <f>D38-E38</f>
        <v>193087.01999999955</v>
      </c>
    </row>
    <row r="39" spans="1:7" x14ac:dyDescent="0.25">
      <c r="A39" s="241" t="s">
        <v>171</v>
      </c>
      <c r="B39" s="239"/>
      <c r="C39" s="239"/>
      <c r="D39" s="240">
        <f>B39+C39</f>
        <v>0</v>
      </c>
      <c r="E39" s="239"/>
      <c r="F39" s="239"/>
      <c r="G39" s="238">
        <f>D39-E39</f>
        <v>0</v>
      </c>
    </row>
    <row r="40" spans="1:7" x14ac:dyDescent="0.25">
      <c r="A40" s="241" t="s">
        <v>170</v>
      </c>
      <c r="B40" s="239"/>
      <c r="C40" s="239"/>
      <c r="D40" s="240">
        <f>B40+C40</f>
        <v>0</v>
      </c>
      <c r="E40" s="239"/>
      <c r="F40" s="239"/>
      <c r="G40" s="238">
        <f>D40-E40</f>
        <v>0</v>
      </c>
    </row>
    <row r="41" spans="1:7" x14ac:dyDescent="0.25">
      <c r="A41" s="241" t="s">
        <v>169</v>
      </c>
      <c r="B41" s="239"/>
      <c r="C41" s="239"/>
      <c r="D41" s="240">
        <f>B41+C41</f>
        <v>0</v>
      </c>
      <c r="E41" s="239"/>
      <c r="F41" s="239"/>
      <c r="G41" s="238">
        <f>D41-E41</f>
        <v>0</v>
      </c>
    </row>
    <row r="42" spans="1:7" x14ac:dyDescent="0.25">
      <c r="A42" s="241" t="s">
        <v>168</v>
      </c>
      <c r="B42" s="239"/>
      <c r="C42" s="239"/>
      <c r="D42" s="240">
        <f>B42+C42</f>
        <v>0</v>
      </c>
      <c r="E42" s="239"/>
      <c r="F42" s="239"/>
      <c r="G42" s="238">
        <f>D42-E42</f>
        <v>0</v>
      </c>
    </row>
    <row r="43" spans="1:7" x14ac:dyDescent="0.25">
      <c r="A43" s="241" t="s">
        <v>167</v>
      </c>
      <c r="B43" s="239"/>
      <c r="C43" s="239"/>
      <c r="D43" s="240">
        <f>B43+C43</f>
        <v>0</v>
      </c>
      <c r="E43" s="239"/>
      <c r="F43" s="239"/>
      <c r="G43" s="238">
        <f>D43-E43</f>
        <v>0</v>
      </c>
    </row>
    <row r="44" spans="1:7" x14ac:dyDescent="0.25">
      <c r="A44" s="241" t="s">
        <v>166</v>
      </c>
      <c r="B44" s="239"/>
      <c r="C44" s="239"/>
      <c r="D44" s="240">
        <f>B44+C44</f>
        <v>0</v>
      </c>
      <c r="E44" s="239"/>
      <c r="F44" s="239"/>
      <c r="G44" s="238">
        <f>D44-E44</f>
        <v>0</v>
      </c>
    </row>
    <row r="45" spans="1:7" x14ac:dyDescent="0.25">
      <c r="A45" s="241" t="s">
        <v>165</v>
      </c>
      <c r="B45" s="239"/>
      <c r="C45" s="239"/>
      <c r="D45" s="240">
        <f>B45+C45</f>
        <v>0</v>
      </c>
      <c r="E45" s="239"/>
      <c r="F45" s="239"/>
      <c r="G45" s="238">
        <f>D45-E45</f>
        <v>0</v>
      </c>
    </row>
    <row r="46" spans="1:7" x14ac:dyDescent="0.25">
      <c r="A46" s="242" t="s">
        <v>164</v>
      </c>
      <c r="B46" s="240">
        <f>SUM(B47:B55)</f>
        <v>0</v>
      </c>
      <c r="C46" s="240">
        <f>SUM(C47:C55)</f>
        <v>484002.88</v>
      </c>
      <c r="D46" s="240">
        <f>B46+C46</f>
        <v>484002.88</v>
      </c>
      <c r="E46" s="240">
        <f>SUM(E47:E55)</f>
        <v>483318.48</v>
      </c>
      <c r="F46" s="240">
        <f>SUM(F47:F55)</f>
        <v>483317.48</v>
      </c>
      <c r="G46" s="238">
        <f>D46-E46</f>
        <v>684.40000000002328</v>
      </c>
    </row>
    <row r="47" spans="1:7" x14ac:dyDescent="0.25">
      <c r="A47" s="241" t="s">
        <v>163</v>
      </c>
      <c r="B47" s="239">
        <v>0</v>
      </c>
      <c r="C47" s="239">
        <v>88392</v>
      </c>
      <c r="D47" s="240">
        <f>B47+C47</f>
        <v>88392</v>
      </c>
      <c r="E47" s="239">
        <v>88392</v>
      </c>
      <c r="F47" s="239">
        <v>88392</v>
      </c>
      <c r="G47" s="238">
        <f>D47-E47</f>
        <v>0</v>
      </c>
    </row>
    <row r="48" spans="1:7" x14ac:dyDescent="0.25">
      <c r="A48" s="241" t="s">
        <v>162</v>
      </c>
      <c r="B48" s="239"/>
      <c r="C48" s="239">
        <v>81000</v>
      </c>
      <c r="D48" s="240">
        <f>B48+C48</f>
        <v>81000</v>
      </c>
      <c r="E48" s="239">
        <v>80723.240000000005</v>
      </c>
      <c r="F48" s="239">
        <v>80723.240000000005</v>
      </c>
      <c r="G48" s="238">
        <f>D48-E48</f>
        <v>276.75999999999476</v>
      </c>
    </row>
    <row r="49" spans="1:7" x14ac:dyDescent="0.25">
      <c r="A49" s="241" t="s">
        <v>161</v>
      </c>
      <c r="B49" s="239"/>
      <c r="C49" s="239"/>
      <c r="D49" s="240">
        <f>B49+C49</f>
        <v>0</v>
      </c>
      <c r="E49" s="239"/>
      <c r="F49" s="239"/>
      <c r="G49" s="238">
        <f>D49-E49</f>
        <v>0</v>
      </c>
    </row>
    <row r="50" spans="1:7" x14ac:dyDescent="0.25">
      <c r="A50" s="241" t="s">
        <v>160</v>
      </c>
      <c r="B50" s="239"/>
      <c r="C50" s="239"/>
      <c r="D50" s="240">
        <f>B50+C50</f>
        <v>0</v>
      </c>
      <c r="E50" s="239"/>
      <c r="F50" s="239"/>
      <c r="G50" s="238">
        <f>D50-E50</f>
        <v>0</v>
      </c>
    </row>
    <row r="51" spans="1:7" x14ac:dyDescent="0.25">
      <c r="A51" s="241" t="s">
        <v>159</v>
      </c>
      <c r="B51" s="239"/>
      <c r="C51" s="239"/>
      <c r="D51" s="240">
        <f>B51+C51</f>
        <v>0</v>
      </c>
      <c r="E51" s="239"/>
      <c r="F51" s="239"/>
      <c r="G51" s="238">
        <f>D51-E51</f>
        <v>0</v>
      </c>
    </row>
    <row r="52" spans="1:7" x14ac:dyDescent="0.25">
      <c r="A52" s="241" t="s">
        <v>158</v>
      </c>
      <c r="B52" s="239"/>
      <c r="C52" s="239">
        <v>314610.88</v>
      </c>
      <c r="D52" s="240">
        <f>B52+C52</f>
        <v>314610.88</v>
      </c>
      <c r="E52" s="239">
        <v>314203.24</v>
      </c>
      <c r="F52" s="239">
        <v>314202.23999999999</v>
      </c>
      <c r="G52" s="238">
        <f>D52-E52</f>
        <v>407.64000000001397</v>
      </c>
    </row>
    <row r="53" spans="1:7" x14ac:dyDescent="0.25">
      <c r="A53" s="241" t="s">
        <v>157</v>
      </c>
      <c r="B53" s="239"/>
      <c r="C53" s="239"/>
      <c r="D53" s="240">
        <f>B53+C53</f>
        <v>0</v>
      </c>
      <c r="E53" s="239"/>
      <c r="F53" s="239"/>
      <c r="G53" s="238">
        <f>D53-E53</f>
        <v>0</v>
      </c>
    </row>
    <row r="54" spans="1:7" x14ac:dyDescent="0.25">
      <c r="A54" s="241" t="s">
        <v>156</v>
      </c>
      <c r="B54" s="239"/>
      <c r="C54" s="239"/>
      <c r="D54" s="240">
        <f>B54+C54</f>
        <v>0</v>
      </c>
      <c r="E54" s="239"/>
      <c r="F54" s="239"/>
      <c r="G54" s="238">
        <f>D54-E54</f>
        <v>0</v>
      </c>
    </row>
    <row r="55" spans="1:7" x14ac:dyDescent="0.25">
      <c r="A55" s="241" t="s">
        <v>155</v>
      </c>
      <c r="B55" s="239"/>
      <c r="C55" s="239"/>
      <c r="D55" s="240">
        <f>B55+C55</f>
        <v>0</v>
      </c>
      <c r="E55" s="239"/>
      <c r="F55" s="239"/>
      <c r="G55" s="238">
        <f>D55-E55</f>
        <v>0</v>
      </c>
    </row>
    <row r="56" spans="1:7" x14ac:dyDescent="0.25">
      <c r="A56" s="242" t="s">
        <v>154</v>
      </c>
      <c r="B56" s="240">
        <f>SUM(B57:B59)</f>
        <v>215211231</v>
      </c>
      <c r="C56" s="240">
        <f>SUM(C57:C59)</f>
        <v>181992760.80000001</v>
      </c>
      <c r="D56" s="240">
        <f>B56+C56</f>
        <v>397203991.80000001</v>
      </c>
      <c r="E56" s="240">
        <f>SUM(E57:E59)</f>
        <v>130364245.41999999</v>
      </c>
      <c r="F56" s="240">
        <f>SUM(F57:F59)</f>
        <v>127107858.33</v>
      </c>
      <c r="G56" s="238">
        <f>D56-E56</f>
        <v>266839746.38000003</v>
      </c>
    </row>
    <row r="57" spans="1:7" x14ac:dyDescent="0.25">
      <c r="A57" s="241" t="s">
        <v>153</v>
      </c>
      <c r="B57" s="239">
        <v>215211231</v>
      </c>
      <c r="C57" s="239">
        <v>181992760.80000001</v>
      </c>
      <c r="D57" s="240">
        <f>B57+C57</f>
        <v>397203991.80000001</v>
      </c>
      <c r="E57" s="239">
        <v>130364245.41999999</v>
      </c>
      <c r="F57" s="239">
        <v>127107858.33</v>
      </c>
      <c r="G57" s="238">
        <f>D57-E57</f>
        <v>266839746.38000003</v>
      </c>
    </row>
    <row r="58" spans="1:7" x14ac:dyDescent="0.25">
      <c r="A58" s="241" t="s">
        <v>152</v>
      </c>
      <c r="B58" s="239"/>
      <c r="C58" s="239"/>
      <c r="D58" s="240">
        <f>B58+C58</f>
        <v>0</v>
      </c>
      <c r="E58" s="239"/>
      <c r="F58" s="239"/>
      <c r="G58" s="238">
        <f>D58-E58</f>
        <v>0</v>
      </c>
    </row>
    <row r="59" spans="1:7" x14ac:dyDescent="0.25">
      <c r="A59" s="241" t="s">
        <v>151</v>
      </c>
      <c r="B59" s="239"/>
      <c r="C59" s="239"/>
      <c r="D59" s="240">
        <f>B59+C59</f>
        <v>0</v>
      </c>
      <c r="E59" s="239"/>
      <c r="F59" s="239"/>
      <c r="G59" s="238">
        <f>D59-E59</f>
        <v>0</v>
      </c>
    </row>
    <row r="60" spans="1:7" x14ac:dyDescent="0.25">
      <c r="A60" s="242" t="s">
        <v>150</v>
      </c>
      <c r="B60" s="240">
        <f>SUM(B61:B67)</f>
        <v>123731586.09999999</v>
      </c>
      <c r="C60" s="240">
        <f>SUM(C61:C67)</f>
        <v>0</v>
      </c>
      <c r="D60" s="240">
        <f>B60+C60</f>
        <v>123731586.09999999</v>
      </c>
      <c r="E60" s="240">
        <f>SUM(E61:E67)</f>
        <v>0</v>
      </c>
      <c r="F60" s="240">
        <f>SUM(F61:F67)</f>
        <v>0</v>
      </c>
      <c r="G60" s="238">
        <f>D60-E60</f>
        <v>123731586.09999999</v>
      </c>
    </row>
    <row r="61" spans="1:7" x14ac:dyDescent="0.25">
      <c r="A61" s="241" t="s">
        <v>149</v>
      </c>
      <c r="B61" s="239"/>
      <c r="C61" s="239"/>
      <c r="D61" s="240">
        <f>B61+C61</f>
        <v>0</v>
      </c>
      <c r="E61" s="239"/>
      <c r="F61" s="239"/>
      <c r="G61" s="238">
        <f>D61-E61</f>
        <v>0</v>
      </c>
    </row>
    <row r="62" spans="1:7" ht="15.75" thickBot="1" x14ac:dyDescent="0.3">
      <c r="A62" s="237" t="s">
        <v>148</v>
      </c>
      <c r="B62" s="235"/>
      <c r="C62" s="235"/>
      <c r="D62" s="236">
        <f>B62+C62</f>
        <v>0</v>
      </c>
      <c r="E62" s="235"/>
      <c r="F62" s="235"/>
      <c r="G62" s="234">
        <f>D62-E62</f>
        <v>0</v>
      </c>
    </row>
    <row r="63" spans="1:7" x14ac:dyDescent="0.25">
      <c r="A63" s="241" t="s">
        <v>147</v>
      </c>
      <c r="B63" s="239"/>
      <c r="C63" s="239"/>
      <c r="D63" s="240">
        <f>B63+C63</f>
        <v>0</v>
      </c>
      <c r="E63" s="239"/>
      <c r="F63" s="239"/>
      <c r="G63" s="238">
        <f>D63-E63</f>
        <v>0</v>
      </c>
    </row>
    <row r="64" spans="1:7" x14ac:dyDescent="0.25">
      <c r="A64" s="241" t="s">
        <v>146</v>
      </c>
      <c r="B64" s="239"/>
      <c r="C64" s="239"/>
      <c r="D64" s="240">
        <f>B64+C64</f>
        <v>0</v>
      </c>
      <c r="E64" s="239"/>
      <c r="F64" s="239"/>
      <c r="G64" s="238">
        <f>D64-E64</f>
        <v>0</v>
      </c>
    </row>
    <row r="65" spans="1:7" x14ac:dyDescent="0.25">
      <c r="A65" s="241" t="s">
        <v>145</v>
      </c>
      <c r="B65" s="239"/>
      <c r="C65" s="239"/>
      <c r="D65" s="240">
        <f>B65+C65</f>
        <v>0</v>
      </c>
      <c r="E65" s="239"/>
      <c r="F65" s="239"/>
      <c r="G65" s="238">
        <f>D65-E65</f>
        <v>0</v>
      </c>
    </row>
    <row r="66" spans="1:7" x14ac:dyDescent="0.25">
      <c r="A66" s="241" t="s">
        <v>144</v>
      </c>
      <c r="B66" s="239"/>
      <c r="C66" s="239"/>
      <c r="D66" s="240">
        <f>B66+C66</f>
        <v>0</v>
      </c>
      <c r="E66" s="239"/>
      <c r="F66" s="239"/>
      <c r="G66" s="238">
        <f>D66-E66</f>
        <v>0</v>
      </c>
    </row>
    <row r="67" spans="1:7" x14ac:dyDescent="0.25">
      <c r="A67" s="241" t="s">
        <v>143</v>
      </c>
      <c r="B67" s="239">
        <v>123731586.09999999</v>
      </c>
      <c r="C67" s="239"/>
      <c r="D67" s="240">
        <f>B67+C67</f>
        <v>123731586.09999999</v>
      </c>
      <c r="E67" s="239"/>
      <c r="F67" s="239"/>
      <c r="G67" s="238">
        <f>D67-E67</f>
        <v>123731586.09999999</v>
      </c>
    </row>
    <row r="68" spans="1:7" x14ac:dyDescent="0.25">
      <c r="A68" s="242" t="s">
        <v>142</v>
      </c>
      <c r="B68" s="240">
        <f>SUM(B69:B71)</f>
        <v>0</v>
      </c>
      <c r="C68" s="240">
        <f>SUM(C69:C71)</f>
        <v>0</v>
      </c>
      <c r="D68" s="240">
        <f>B68+C68</f>
        <v>0</v>
      </c>
      <c r="E68" s="240">
        <f>SUM(E69:E71)</f>
        <v>0</v>
      </c>
      <c r="F68" s="240">
        <f>SUM(F69:F71)</f>
        <v>0</v>
      </c>
      <c r="G68" s="238">
        <f>D68-E68</f>
        <v>0</v>
      </c>
    </row>
    <row r="69" spans="1:7" x14ac:dyDescent="0.25">
      <c r="A69" s="241" t="s">
        <v>141</v>
      </c>
      <c r="B69" s="239"/>
      <c r="C69" s="239"/>
      <c r="D69" s="240">
        <f>B69+C69</f>
        <v>0</v>
      </c>
      <c r="E69" s="239"/>
      <c r="F69" s="239"/>
      <c r="G69" s="238">
        <f>D69-E69</f>
        <v>0</v>
      </c>
    </row>
    <row r="70" spans="1:7" x14ac:dyDescent="0.25">
      <c r="A70" s="241" t="s">
        <v>140</v>
      </c>
      <c r="B70" s="239"/>
      <c r="C70" s="239"/>
      <c r="D70" s="240">
        <f>B70+C70</f>
        <v>0</v>
      </c>
      <c r="E70" s="239"/>
      <c r="F70" s="239"/>
      <c r="G70" s="238">
        <f>D70-E70</f>
        <v>0</v>
      </c>
    </row>
    <row r="71" spans="1:7" x14ac:dyDescent="0.25">
      <c r="A71" s="241" t="s">
        <v>139</v>
      </c>
      <c r="B71" s="239"/>
      <c r="C71" s="239"/>
      <c r="D71" s="240">
        <f>B71+C71</f>
        <v>0</v>
      </c>
      <c r="E71" s="239"/>
      <c r="F71" s="239"/>
      <c r="G71" s="238">
        <f>D71-E71</f>
        <v>0</v>
      </c>
    </row>
    <row r="72" spans="1:7" x14ac:dyDescent="0.25">
      <c r="A72" s="242" t="s">
        <v>138</v>
      </c>
      <c r="B72" s="240">
        <f>SUM(B73:B79)</f>
        <v>0</v>
      </c>
      <c r="C72" s="240">
        <f>SUM(C73:C79)</f>
        <v>96535920.810000002</v>
      </c>
      <c r="D72" s="240">
        <f>B72+C72</f>
        <v>96535920.810000002</v>
      </c>
      <c r="E72" s="240">
        <f>SUM(E73:E79)</f>
        <v>94584705.879999995</v>
      </c>
      <c r="F72" s="240">
        <f>SUM(F73:F79)</f>
        <v>93021258.24000001</v>
      </c>
      <c r="G72" s="238">
        <f>D72-E72</f>
        <v>1951214.9300000072</v>
      </c>
    </row>
    <row r="73" spans="1:7" x14ac:dyDescent="0.25">
      <c r="A73" s="241" t="s">
        <v>137</v>
      </c>
      <c r="B73" s="239"/>
      <c r="C73" s="239">
        <v>22920675.659999996</v>
      </c>
      <c r="D73" s="240">
        <f>B73+C73</f>
        <v>22920675.659999996</v>
      </c>
      <c r="E73" s="239">
        <v>22920675.659999996</v>
      </c>
      <c r="F73" s="239">
        <v>22920675.659999996</v>
      </c>
      <c r="G73" s="238">
        <f>D73-E73</f>
        <v>0</v>
      </c>
    </row>
    <row r="74" spans="1:7" x14ac:dyDescent="0.25">
      <c r="A74" s="241" t="s">
        <v>136</v>
      </c>
      <c r="B74" s="239"/>
      <c r="C74" s="239">
        <v>15359419.179999998</v>
      </c>
      <c r="D74" s="240">
        <f>B74+C74</f>
        <v>15359419.179999998</v>
      </c>
      <c r="E74" s="239">
        <v>15359419.17</v>
      </c>
      <c r="F74" s="239">
        <v>15359419.17</v>
      </c>
      <c r="G74" s="238">
        <f>D74-E74</f>
        <v>9.9999979138374329E-3</v>
      </c>
    </row>
    <row r="75" spans="1:7" x14ac:dyDescent="0.25">
      <c r="A75" s="241" t="s">
        <v>135</v>
      </c>
      <c r="B75" s="239"/>
      <c r="C75" s="239"/>
      <c r="D75" s="240">
        <f>B75+C75</f>
        <v>0</v>
      </c>
      <c r="E75" s="239"/>
      <c r="F75" s="239"/>
      <c r="G75" s="238">
        <f>D75-E75</f>
        <v>0</v>
      </c>
    </row>
    <row r="76" spans="1:7" x14ac:dyDescent="0.25">
      <c r="A76" s="241" t="s">
        <v>134</v>
      </c>
      <c r="B76" s="239"/>
      <c r="C76" s="239"/>
      <c r="D76" s="240">
        <f>B76+C76</f>
        <v>0</v>
      </c>
      <c r="E76" s="239"/>
      <c r="F76" s="239"/>
      <c r="G76" s="238">
        <f>D76-E76</f>
        <v>0</v>
      </c>
    </row>
    <row r="77" spans="1:7" x14ac:dyDescent="0.25">
      <c r="A77" s="241" t="s">
        <v>133</v>
      </c>
      <c r="B77" s="239"/>
      <c r="C77" s="239"/>
      <c r="D77" s="240">
        <f>B77+C77</f>
        <v>0</v>
      </c>
      <c r="E77" s="239"/>
      <c r="F77" s="239"/>
      <c r="G77" s="238">
        <f>D77-E77</f>
        <v>0</v>
      </c>
    </row>
    <row r="78" spans="1:7" x14ac:dyDescent="0.25">
      <c r="A78" s="241" t="s">
        <v>132</v>
      </c>
      <c r="B78" s="239"/>
      <c r="C78" s="239"/>
      <c r="D78" s="240">
        <f>B78+C78</f>
        <v>0</v>
      </c>
      <c r="E78" s="239"/>
      <c r="F78" s="239"/>
      <c r="G78" s="238">
        <f>D78-E78</f>
        <v>0</v>
      </c>
    </row>
    <row r="79" spans="1:7" ht="15.75" thickBot="1" x14ac:dyDescent="0.3">
      <c r="A79" s="237" t="s">
        <v>131</v>
      </c>
      <c r="B79" s="235"/>
      <c r="C79" s="235">
        <v>58255825.969999999</v>
      </c>
      <c r="D79" s="236">
        <f>B79+C79</f>
        <v>58255825.969999999</v>
      </c>
      <c r="E79" s="235">
        <v>56304611.049999997</v>
      </c>
      <c r="F79" s="235">
        <v>54741163.410000004</v>
      </c>
      <c r="G79" s="234">
        <f>D79-E79</f>
        <v>1951214.9200000018</v>
      </c>
    </row>
    <row r="80" spans="1:7" ht="15.75" thickBot="1" x14ac:dyDescent="0.3">
      <c r="A80" s="233" t="s">
        <v>130</v>
      </c>
      <c r="B80" s="232">
        <f>B72+B68+B60+B56+B46+B36+B26+B16+B8</f>
        <v>788280901.10075855</v>
      </c>
      <c r="C80" s="232">
        <f>C72+C68+C60+C56+C46+C36+C26+C16+C8</f>
        <v>299229370.54000002</v>
      </c>
      <c r="D80" s="232">
        <f>B80+C80</f>
        <v>1087510271.6407585</v>
      </c>
      <c r="E80" s="232">
        <f>E72+E68+E60+E56+E46+E36+E26+E16+E8</f>
        <v>646764162.72000003</v>
      </c>
      <c r="F80" s="232">
        <f>F72+F68+F60+F56+F46+F36+F26+F16+F8</f>
        <v>606147018.67000008</v>
      </c>
      <c r="G80" s="231">
        <f>D80-E80</f>
        <v>440746108.92075849</v>
      </c>
    </row>
    <row r="81" spans="1:7" x14ac:dyDescent="0.25">
      <c r="A81" s="230"/>
      <c r="B81" s="229"/>
      <c r="C81" s="229"/>
      <c r="D81" s="229"/>
      <c r="E81" s="229"/>
      <c r="F81" s="229"/>
      <c r="G81" s="229"/>
    </row>
    <row r="82" spans="1:7" x14ac:dyDescent="0.25">
      <c r="A82" s="230"/>
      <c r="B82" s="229"/>
      <c r="C82" s="229"/>
      <c r="D82" s="229"/>
      <c r="E82" s="229"/>
      <c r="F82" s="229"/>
      <c r="G82" s="229"/>
    </row>
    <row r="83" spans="1:7" x14ac:dyDescent="0.25">
      <c r="A83" s="230"/>
      <c r="B83" s="229"/>
      <c r="C83" s="229"/>
      <c r="D83" s="229"/>
      <c r="E83" s="229"/>
      <c r="F83" s="229"/>
      <c r="G83" s="229"/>
    </row>
    <row r="84" spans="1:7" x14ac:dyDescent="0.25">
      <c r="A84" s="230"/>
      <c r="B84" s="229"/>
      <c r="C84" s="229"/>
      <c r="D84" s="229"/>
      <c r="E84" s="229"/>
      <c r="F84" s="229"/>
      <c r="G84" s="229"/>
    </row>
    <row r="85" spans="1:7" x14ac:dyDescent="0.25">
      <c r="A85" s="230"/>
      <c r="B85" s="229"/>
      <c r="C85" s="229"/>
      <c r="D85" s="229"/>
      <c r="E85" s="229"/>
      <c r="F85" s="229"/>
      <c r="G85" s="229"/>
    </row>
    <row r="86" spans="1:7" x14ac:dyDescent="0.25">
      <c r="A86" s="230"/>
      <c r="B86" s="229"/>
      <c r="C86" s="229"/>
      <c r="D86" s="229"/>
      <c r="E86" s="229"/>
      <c r="F86" s="229"/>
      <c r="G86" s="229"/>
    </row>
    <row r="87" spans="1:7" ht="16.5" x14ac:dyDescent="0.25">
      <c r="A87" s="1"/>
      <c r="B87" s="1"/>
      <c r="C87" s="1"/>
      <c r="D87" s="1"/>
      <c r="E87" s="1"/>
      <c r="F87" s="1"/>
      <c r="G87" s="1"/>
    </row>
    <row r="88" spans="1:7" ht="16.5" x14ac:dyDescent="0.25">
      <c r="A88" s="1"/>
      <c r="B88" s="1"/>
      <c r="C88" s="1"/>
      <c r="D88" s="1"/>
      <c r="E88" s="1"/>
      <c r="F88" s="1"/>
      <c r="G88" s="1"/>
    </row>
    <row r="89" spans="1:7" ht="16.5" x14ac:dyDescent="0.25">
      <c r="A89" s="1"/>
      <c r="B89" s="1"/>
      <c r="C89" s="1"/>
      <c r="D89" s="1"/>
      <c r="E89" s="1"/>
      <c r="F89" s="1"/>
      <c r="G89" s="1"/>
    </row>
    <row r="90" spans="1:7" ht="16.5" x14ac:dyDescent="0.25">
      <c r="A90" s="1"/>
      <c r="B90" s="1"/>
      <c r="C90" s="1"/>
      <c r="D90" s="1"/>
      <c r="E90" s="1"/>
      <c r="F90" s="1"/>
      <c r="G90" s="1"/>
    </row>
  </sheetData>
  <sheetProtection password="C115" sheet="1" scenarios="1" formatColumns="0" formatRows="0"/>
  <mergeCells count="6">
    <mergeCell ref="A6:A7"/>
    <mergeCell ref="A1:G1"/>
    <mergeCell ref="A2:G2"/>
    <mergeCell ref="A3:G3"/>
    <mergeCell ref="A4:G4"/>
    <mergeCell ref="A5:E5"/>
  </mergeCells>
  <pageMargins left="0.70866141732283472" right="0.70866141732283472" top="0.74803149606299213" bottom="0.74803149606299213" header="0.31496062992125984" footer="0.31496062992125984"/>
  <pageSetup scale="67" orientation="portrait" horizontalDpi="1200" verticalDpi="1200" r:id="rId1"/>
  <rowBreaks count="1" manualBreakCount="1">
    <brk id="6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4569B-11BC-4F72-970D-E55E5700ED5A}">
  <dimension ref="A1:I159"/>
  <sheetViews>
    <sheetView view="pageBreakPreview" topLeftCell="A148" zoomScaleSheetLayoutView="100" workbookViewId="0">
      <selection activeCell="G19" sqref="G19"/>
    </sheetView>
  </sheetViews>
  <sheetFormatPr baseColWidth="10" defaultRowHeight="15" x14ac:dyDescent="0.25"/>
  <cols>
    <col min="1" max="1" width="6.140625" customWidth="1"/>
    <col min="2" max="2" width="40" customWidth="1"/>
    <col min="3" max="4" width="12.85546875" customWidth="1"/>
    <col min="5" max="5" width="13.5703125" customWidth="1"/>
    <col min="6" max="7" width="12.85546875" bestFit="1" customWidth="1"/>
    <col min="8" max="8" width="12.7109375" bestFit="1" customWidth="1"/>
  </cols>
  <sheetData>
    <row r="1" spans="1:8" ht="15.75" x14ac:dyDescent="0.25">
      <c r="A1" s="294" t="str">
        <f>'[1]ETCA-I-01'!A1:G1</f>
        <v xml:space="preserve">Comision Estatal del Agua </v>
      </c>
      <c r="B1" s="293"/>
      <c r="C1" s="293"/>
      <c r="D1" s="293"/>
      <c r="E1" s="293"/>
      <c r="F1" s="293"/>
      <c r="G1" s="293"/>
      <c r="H1" s="292"/>
    </row>
    <row r="2" spans="1:8" x14ac:dyDescent="0.25">
      <c r="A2" s="291" t="s">
        <v>299</v>
      </c>
      <c r="B2" s="290"/>
      <c r="C2" s="290"/>
      <c r="D2" s="290"/>
      <c r="E2" s="290"/>
      <c r="F2" s="290"/>
      <c r="G2" s="290"/>
      <c r="H2" s="289"/>
    </row>
    <row r="3" spans="1:8" x14ac:dyDescent="0.25">
      <c r="A3" s="291" t="s">
        <v>298</v>
      </c>
      <c r="B3" s="290"/>
      <c r="C3" s="290"/>
      <c r="D3" s="290"/>
      <c r="E3" s="290"/>
      <c r="F3" s="290"/>
      <c r="G3" s="290"/>
      <c r="H3" s="289"/>
    </row>
    <row r="4" spans="1:8" x14ac:dyDescent="0.25">
      <c r="A4" s="291" t="str">
        <f>'ETCA-II-02'!A3:I3</f>
        <v>Del 01 de Enero  al 31 de Diciembre de 2021</v>
      </c>
      <c r="B4" s="290"/>
      <c r="C4" s="290"/>
      <c r="D4" s="290"/>
      <c r="E4" s="290"/>
      <c r="F4" s="290"/>
      <c r="G4" s="290"/>
      <c r="H4" s="289"/>
    </row>
    <row r="5" spans="1:8" ht="15.75" thickBot="1" x14ac:dyDescent="0.3">
      <c r="A5" s="280" t="s">
        <v>297</v>
      </c>
      <c r="B5" s="288"/>
      <c r="C5" s="288"/>
      <c r="D5" s="288"/>
      <c r="E5" s="288"/>
      <c r="F5" s="288"/>
      <c r="G5" s="288"/>
      <c r="H5" s="287"/>
    </row>
    <row r="6" spans="1:8" ht="15.75" thickBot="1" x14ac:dyDescent="0.3">
      <c r="A6" s="286" t="s">
        <v>296</v>
      </c>
      <c r="B6" s="285"/>
      <c r="C6" s="284" t="s">
        <v>295</v>
      </c>
      <c r="D6" s="283"/>
      <c r="E6" s="283"/>
      <c r="F6" s="283"/>
      <c r="G6" s="282"/>
      <c r="H6" s="281" t="s">
        <v>294</v>
      </c>
    </row>
    <row r="7" spans="1:8" ht="18.75" thickBot="1" x14ac:dyDescent="0.3">
      <c r="A7" s="280"/>
      <c r="B7" s="279"/>
      <c r="C7" s="277" t="s">
        <v>293</v>
      </c>
      <c r="D7" s="278" t="s">
        <v>292</v>
      </c>
      <c r="E7" s="277" t="s">
        <v>291</v>
      </c>
      <c r="F7" s="277" t="s">
        <v>108</v>
      </c>
      <c r="G7" s="277" t="s">
        <v>290</v>
      </c>
      <c r="H7" s="276"/>
    </row>
    <row r="8" spans="1:8" x14ac:dyDescent="0.25">
      <c r="A8" s="275"/>
      <c r="B8" s="273"/>
      <c r="C8" s="273"/>
      <c r="D8" s="274"/>
      <c r="E8" s="273"/>
      <c r="F8" s="273"/>
      <c r="G8" s="273"/>
      <c r="H8" s="272"/>
    </row>
    <row r="9" spans="1:8" x14ac:dyDescent="0.25">
      <c r="A9" s="261" t="s">
        <v>289</v>
      </c>
      <c r="B9" s="260"/>
      <c r="C9" s="259">
        <f>+C10+C18+C28+C38+C48+C58+C62+C71+C75</f>
        <v>643175582.10075855</v>
      </c>
      <c r="D9" s="259">
        <f>+D10+D18+D28+D38+D48+D58+D62+D71+D75</f>
        <v>192168639.04000002</v>
      </c>
      <c r="E9" s="259">
        <f>+E10+E18+E28+E38+E48+E58+E62+E71+E75</f>
        <v>835344221.14075851</v>
      </c>
      <c r="F9" s="259">
        <f>+F10+F18+F28+F38+F48+F58+F62+F71+F75</f>
        <v>615291265.62000012</v>
      </c>
      <c r="G9" s="259">
        <f>+G10+G18+G28+G38+G48+G58+G62+G71+G75</f>
        <v>575508732.37000012</v>
      </c>
      <c r="H9" s="259">
        <f>+H10+H18+H28+H38+H48+H58+H62+H71+H75</f>
        <v>220052955.52075851</v>
      </c>
    </row>
    <row r="10" spans="1:8" x14ac:dyDescent="0.25">
      <c r="A10" s="268" t="s">
        <v>287</v>
      </c>
      <c r="B10" s="267"/>
      <c r="C10" s="263">
        <f>SUM(C11:C17)</f>
        <v>228381131.27051684</v>
      </c>
      <c r="D10" s="263">
        <f>SUM(D11:D17)</f>
        <v>13382054.330000002</v>
      </c>
      <c r="E10" s="263">
        <f>SUM(E11:E17)</f>
        <v>241763185.60051686</v>
      </c>
      <c r="F10" s="263">
        <f>SUM(F11:F17)</f>
        <v>230621556.50000003</v>
      </c>
      <c r="G10" s="263">
        <f>SUM(G11:G17)</f>
        <v>219772465.42000002</v>
      </c>
      <c r="H10" s="263">
        <f>SUM(H11:H17)</f>
        <v>11141629.100516856</v>
      </c>
    </row>
    <row r="11" spans="1:8" x14ac:dyDescent="0.25">
      <c r="A11" s="265"/>
      <c r="B11" s="264" t="s">
        <v>286</v>
      </c>
      <c r="C11" s="266">
        <v>128715176.53765386</v>
      </c>
      <c r="D11" s="266">
        <v>7287593.2799999993</v>
      </c>
      <c r="E11" s="263">
        <f>C11+D11</f>
        <v>136002769.81765386</v>
      </c>
      <c r="F11" s="266">
        <v>128760871.70999999</v>
      </c>
      <c r="G11" s="266">
        <v>124599026.20999999</v>
      </c>
      <c r="H11" s="262">
        <f>+E11-F11</f>
        <v>7241898.1076538712</v>
      </c>
    </row>
    <row r="12" spans="1:8" x14ac:dyDescent="0.25">
      <c r="A12" s="265"/>
      <c r="B12" s="264" t="s">
        <v>285</v>
      </c>
      <c r="C12" s="266">
        <v>2499030.636425056</v>
      </c>
      <c r="D12" s="266">
        <v>23669.5</v>
      </c>
      <c r="E12" s="263">
        <f>C12+D12</f>
        <v>2522700.136425056</v>
      </c>
      <c r="F12" s="266">
        <v>2285316.08</v>
      </c>
      <c r="G12" s="266">
        <v>2219689.14</v>
      </c>
      <c r="H12" s="262">
        <f>+E12-F12</f>
        <v>237384.05642505595</v>
      </c>
    </row>
    <row r="13" spans="1:8" x14ac:dyDescent="0.25">
      <c r="A13" s="265"/>
      <c r="B13" s="264" t="s">
        <v>284</v>
      </c>
      <c r="C13" s="266">
        <v>13492089.137547543</v>
      </c>
      <c r="D13" s="266">
        <v>7351986.2199999997</v>
      </c>
      <c r="E13" s="263">
        <f>C13+D13</f>
        <v>20844075.357547544</v>
      </c>
      <c r="F13" s="266">
        <v>19595210.740000002</v>
      </c>
      <c r="G13" s="266">
        <v>19441411.25</v>
      </c>
      <c r="H13" s="262">
        <f>+E13-F13</f>
        <v>1248864.6175475419</v>
      </c>
    </row>
    <row r="14" spans="1:8" x14ac:dyDescent="0.25">
      <c r="A14" s="265"/>
      <c r="B14" s="264" t="s">
        <v>283</v>
      </c>
      <c r="C14" s="266">
        <v>43124348.720805742</v>
      </c>
      <c r="D14" s="266">
        <v>27463.050000000047</v>
      </c>
      <c r="E14" s="263">
        <f>C14+D14</f>
        <v>43151811.770805739</v>
      </c>
      <c r="F14" s="266">
        <v>42495166.330000006</v>
      </c>
      <c r="G14" s="266">
        <v>37832891.960000001</v>
      </c>
      <c r="H14" s="262">
        <f>+E14-F14</f>
        <v>656645.4408057332</v>
      </c>
    </row>
    <row r="15" spans="1:8" x14ac:dyDescent="0.25">
      <c r="A15" s="265"/>
      <c r="B15" s="264" t="s">
        <v>282</v>
      </c>
      <c r="C15" s="266">
        <v>37148885.182872325</v>
      </c>
      <c r="D15" s="266">
        <v>179712.69000000041</v>
      </c>
      <c r="E15" s="263">
        <f>C15+D15</f>
        <v>37328597.872872323</v>
      </c>
      <c r="F15" s="266">
        <v>35641498.369999997</v>
      </c>
      <c r="G15" s="266">
        <v>34027190.590000004</v>
      </c>
      <c r="H15" s="262">
        <f>+E15-F15</f>
        <v>1687099.5028723255</v>
      </c>
    </row>
    <row r="16" spans="1:8" x14ac:dyDescent="0.25">
      <c r="A16" s="265"/>
      <c r="B16" s="264" t="s">
        <v>281</v>
      </c>
      <c r="C16" s="266">
        <v>2239027.0000000005</v>
      </c>
      <c r="D16" s="266">
        <v>-2169998</v>
      </c>
      <c r="E16" s="263">
        <f>C16+D16</f>
        <v>69029.000000000466</v>
      </c>
      <c r="F16" s="266">
        <v>0</v>
      </c>
      <c r="G16" s="266">
        <v>0</v>
      </c>
      <c r="H16" s="262">
        <f>+E16-F16</f>
        <v>69029.000000000466</v>
      </c>
    </row>
    <row r="17" spans="1:8" x14ac:dyDescent="0.25">
      <c r="A17" s="265"/>
      <c r="B17" s="264" t="s">
        <v>280</v>
      </c>
      <c r="C17" s="266">
        <v>1162574.0552123273</v>
      </c>
      <c r="D17" s="266">
        <v>681627.59000000008</v>
      </c>
      <c r="E17" s="263">
        <f>C17+D17</f>
        <v>1844201.6452123274</v>
      </c>
      <c r="F17" s="266">
        <v>1843493.2699999998</v>
      </c>
      <c r="G17" s="266">
        <v>1652256.2699999998</v>
      </c>
      <c r="H17" s="262">
        <f>+E17-F17</f>
        <v>708.37521232757717</v>
      </c>
    </row>
    <row r="18" spans="1:8" x14ac:dyDescent="0.25">
      <c r="A18" s="268" t="s">
        <v>279</v>
      </c>
      <c r="B18" s="267"/>
      <c r="C18" s="263">
        <f>SUM(C19:C27)</f>
        <v>32743753.537615076</v>
      </c>
      <c r="D18" s="263">
        <f>SUM(D19:D27)</f>
        <v>2922204.9199999995</v>
      </c>
      <c r="E18" s="263">
        <f>SUM(E19:E27)</f>
        <v>35665958.45761507</v>
      </c>
      <c r="F18" s="263">
        <f>SUM(F19:F27)</f>
        <v>17918098.590000004</v>
      </c>
      <c r="G18" s="263">
        <f>SUM(G19:G27)</f>
        <v>16708730.170000002</v>
      </c>
      <c r="H18" s="263">
        <f>SUM(H19:H27)</f>
        <v>17747859.86761507</v>
      </c>
    </row>
    <row r="19" spans="1:8" x14ac:dyDescent="0.25">
      <c r="A19" s="265"/>
      <c r="B19" s="264" t="s">
        <v>278</v>
      </c>
      <c r="C19" s="266">
        <v>2532110.0925888894</v>
      </c>
      <c r="D19" s="266">
        <v>-263781.43</v>
      </c>
      <c r="E19" s="263">
        <f>C19+D19</f>
        <v>2268328.6625888892</v>
      </c>
      <c r="F19" s="266">
        <v>984095.03000000014</v>
      </c>
      <c r="G19" s="266">
        <v>955178.28</v>
      </c>
      <c r="H19" s="262">
        <f>+E19-F19</f>
        <v>1284233.632588889</v>
      </c>
    </row>
    <row r="20" spans="1:8" x14ac:dyDescent="0.25">
      <c r="A20" s="265"/>
      <c r="B20" s="264" t="s">
        <v>277</v>
      </c>
      <c r="C20" s="266">
        <v>515556.00400065101</v>
      </c>
      <c r="D20" s="266">
        <v>210173.21000000002</v>
      </c>
      <c r="E20" s="263">
        <f>C20+D20</f>
        <v>725729.21400065103</v>
      </c>
      <c r="F20" s="266">
        <v>616422.6</v>
      </c>
      <c r="G20" s="266">
        <v>562187.4</v>
      </c>
      <c r="H20" s="262">
        <f>+E20-F20</f>
        <v>109306.61400065105</v>
      </c>
    </row>
    <row r="21" spans="1:8" x14ac:dyDescent="0.25">
      <c r="A21" s="265"/>
      <c r="B21" s="264" t="s">
        <v>276</v>
      </c>
      <c r="C21" s="266">
        <v>7291594.7244469412</v>
      </c>
      <c r="D21" s="266">
        <v>-858199.75999999989</v>
      </c>
      <c r="E21" s="263">
        <f>C21+D21</f>
        <v>6433394.9644469414</v>
      </c>
      <c r="F21" s="266">
        <v>2206068.25</v>
      </c>
      <c r="G21" s="266">
        <v>1967890.6100000003</v>
      </c>
      <c r="H21" s="262">
        <f>+E21-F21</f>
        <v>4227326.7144469414</v>
      </c>
    </row>
    <row r="22" spans="1:8" x14ac:dyDescent="0.25">
      <c r="A22" s="265"/>
      <c r="B22" s="264" t="s">
        <v>275</v>
      </c>
      <c r="C22" s="266">
        <v>733994.09585450799</v>
      </c>
      <c r="D22" s="266">
        <v>235562.38999999998</v>
      </c>
      <c r="E22" s="263">
        <f>C22+D22</f>
        <v>969556.48585450801</v>
      </c>
      <c r="F22" s="266">
        <v>569994.24999999988</v>
      </c>
      <c r="G22" s="266">
        <v>558273.13</v>
      </c>
      <c r="H22" s="262">
        <f>+E22-F22</f>
        <v>399562.23585450812</v>
      </c>
    </row>
    <row r="23" spans="1:8" x14ac:dyDescent="0.25">
      <c r="A23" s="265"/>
      <c r="B23" s="264" t="s">
        <v>274</v>
      </c>
      <c r="C23" s="266">
        <v>8850206.9450112432</v>
      </c>
      <c r="D23" s="266">
        <v>-1530652.56</v>
      </c>
      <c r="E23" s="263">
        <f>C23+D23</f>
        <v>7319554.3850112427</v>
      </c>
      <c r="F23" s="266">
        <v>226065.92000000001</v>
      </c>
      <c r="G23" s="266">
        <v>226065.92000000001</v>
      </c>
      <c r="H23" s="262">
        <f>+E23-F23</f>
        <v>7093488.4650112428</v>
      </c>
    </row>
    <row r="24" spans="1:8" x14ac:dyDescent="0.25">
      <c r="A24" s="265"/>
      <c r="B24" s="264" t="s">
        <v>273</v>
      </c>
      <c r="C24" s="266">
        <v>7882079.9040440097</v>
      </c>
      <c r="D24" s="266">
        <v>2944291.0599999996</v>
      </c>
      <c r="E24" s="263">
        <f>C24+D24</f>
        <v>10826370.964044008</v>
      </c>
      <c r="F24" s="266">
        <v>10273233.500000002</v>
      </c>
      <c r="G24" s="266">
        <v>9483576.6699999999</v>
      </c>
      <c r="H24" s="262">
        <f>+E24-F24</f>
        <v>553137.46404400654</v>
      </c>
    </row>
    <row r="25" spans="1:8" x14ac:dyDescent="0.25">
      <c r="A25" s="265"/>
      <c r="B25" s="264" t="s">
        <v>272</v>
      </c>
      <c r="C25" s="266">
        <v>2391286.6141817095</v>
      </c>
      <c r="D25" s="266">
        <v>75367</v>
      </c>
      <c r="E25" s="263">
        <f>C25+D25</f>
        <v>2466653.6141817095</v>
      </c>
      <c r="F25" s="266">
        <v>570968.38</v>
      </c>
      <c r="G25" s="266">
        <v>570547.76</v>
      </c>
      <c r="H25" s="262">
        <f>+E25-F25</f>
        <v>1895685.2341817096</v>
      </c>
    </row>
    <row r="26" spans="1:8" x14ac:dyDescent="0.25">
      <c r="A26" s="265"/>
      <c r="B26" s="264" t="s">
        <v>271</v>
      </c>
      <c r="C26" s="266">
        <v>0</v>
      </c>
      <c r="D26" s="266">
        <v>0</v>
      </c>
      <c r="E26" s="263">
        <f>C26+D26</f>
        <v>0</v>
      </c>
      <c r="F26" s="266">
        <v>0</v>
      </c>
      <c r="G26" s="266">
        <v>0</v>
      </c>
      <c r="H26" s="262">
        <f>+E26-F26</f>
        <v>0</v>
      </c>
    </row>
    <row r="27" spans="1:8" x14ac:dyDescent="0.25">
      <c r="A27" s="265"/>
      <c r="B27" s="264" t="s">
        <v>270</v>
      </c>
      <c r="C27" s="266">
        <v>2546925.1574871233</v>
      </c>
      <c r="D27" s="266">
        <v>2109445.0099999998</v>
      </c>
      <c r="E27" s="263">
        <f>C27+D27</f>
        <v>4656370.167487123</v>
      </c>
      <c r="F27" s="266">
        <v>2471250.66</v>
      </c>
      <c r="G27" s="266">
        <v>2385010.4000000004</v>
      </c>
      <c r="H27" s="262">
        <f>+E27-F27</f>
        <v>2185119.5074871229</v>
      </c>
    </row>
    <row r="28" spans="1:8" x14ac:dyDescent="0.25">
      <c r="A28" s="268" t="s">
        <v>269</v>
      </c>
      <c r="B28" s="267"/>
      <c r="C28" s="263">
        <f>SUM(C29:C37)</f>
        <v>188213199.19262657</v>
      </c>
      <c r="D28" s="263">
        <f>SUM(D29:D37)</f>
        <v>-3884571.6399999997</v>
      </c>
      <c r="E28" s="263">
        <f>SUM(E29:E37)</f>
        <v>184328627.55262658</v>
      </c>
      <c r="F28" s="263">
        <f>SUM(F29:F37)</f>
        <v>165188326.43000004</v>
      </c>
      <c r="G28" s="263">
        <f>SUM(G29:G37)</f>
        <v>141449477.61000001</v>
      </c>
      <c r="H28" s="263">
        <f>SUM(H29:H37)</f>
        <v>19140301.122626558</v>
      </c>
    </row>
    <row r="29" spans="1:8" x14ac:dyDescent="0.25">
      <c r="A29" s="265"/>
      <c r="B29" s="264" t="s">
        <v>268</v>
      </c>
      <c r="C29" s="266">
        <v>119789910.95852274</v>
      </c>
      <c r="D29" s="266">
        <v>-1692222.2899999996</v>
      </c>
      <c r="E29" s="263">
        <f>C29+D29</f>
        <v>118097688.66852273</v>
      </c>
      <c r="F29" s="266">
        <v>110979789.72999999</v>
      </c>
      <c r="G29" s="266">
        <v>110166026.39</v>
      </c>
      <c r="H29" s="262">
        <f>+E29-F29</f>
        <v>7117898.9385227412</v>
      </c>
    </row>
    <row r="30" spans="1:8" x14ac:dyDescent="0.25">
      <c r="A30" s="265"/>
      <c r="B30" s="264" t="s">
        <v>267</v>
      </c>
      <c r="C30" s="266">
        <v>6189840.4854979319</v>
      </c>
      <c r="D30" s="266">
        <v>24901.809999999987</v>
      </c>
      <c r="E30" s="263">
        <f>C30+D30</f>
        <v>6214742.2954979315</v>
      </c>
      <c r="F30" s="266">
        <v>5400471.29</v>
      </c>
      <c r="G30" s="266">
        <v>3679155.0900000003</v>
      </c>
      <c r="H30" s="262">
        <f>+E30-F30</f>
        <v>814271.0054979315</v>
      </c>
    </row>
    <row r="31" spans="1:8" x14ac:dyDescent="0.25">
      <c r="A31" s="265"/>
      <c r="B31" s="264" t="s">
        <v>266</v>
      </c>
      <c r="C31" s="266">
        <v>15233054.221186515</v>
      </c>
      <c r="D31" s="266">
        <v>-2908320.7</v>
      </c>
      <c r="E31" s="263">
        <f>C31+D31</f>
        <v>12324733.521186516</v>
      </c>
      <c r="F31" s="266">
        <v>9051715.3399999999</v>
      </c>
      <c r="G31" s="266">
        <v>8232587.8100000005</v>
      </c>
      <c r="H31" s="262">
        <f>+E31-F31</f>
        <v>3273018.1811865158</v>
      </c>
    </row>
    <row r="32" spans="1:8" x14ac:dyDescent="0.25">
      <c r="A32" s="265"/>
      <c r="B32" s="264" t="s">
        <v>265</v>
      </c>
      <c r="C32" s="266">
        <v>19927345.69716461</v>
      </c>
      <c r="D32" s="266">
        <v>-8617678.2699999996</v>
      </c>
      <c r="E32" s="263">
        <f>C32+D32</f>
        <v>11309667.42716461</v>
      </c>
      <c r="F32" s="266">
        <v>5995545.6099999994</v>
      </c>
      <c r="G32" s="266">
        <v>4777118.96</v>
      </c>
      <c r="H32" s="262">
        <f>+E32-F32</f>
        <v>5314121.8171646111</v>
      </c>
    </row>
    <row r="33" spans="1:8" x14ac:dyDescent="0.25">
      <c r="A33" s="265"/>
      <c r="B33" s="264" t="s">
        <v>264</v>
      </c>
      <c r="C33" s="266">
        <v>9094613.4361911993</v>
      </c>
      <c r="D33" s="266">
        <v>2665215.29</v>
      </c>
      <c r="E33" s="263">
        <f>C33+D33</f>
        <v>11759828.7261912</v>
      </c>
      <c r="F33" s="266">
        <v>10411725.640000001</v>
      </c>
      <c r="G33" s="266">
        <v>8987824.3499999996</v>
      </c>
      <c r="H33" s="262">
        <f>+E33-F33</f>
        <v>1348103.0861911997</v>
      </c>
    </row>
    <row r="34" spans="1:8" x14ac:dyDescent="0.25">
      <c r="A34" s="265"/>
      <c r="B34" s="264" t="s">
        <v>263</v>
      </c>
      <c r="C34" s="266">
        <v>1571081.2150268822</v>
      </c>
      <c r="D34" s="266">
        <v>-232249.85</v>
      </c>
      <c r="E34" s="263">
        <f>C34+D34</f>
        <v>1338831.3650268822</v>
      </c>
      <c r="F34" s="266">
        <v>925224.3</v>
      </c>
      <c r="G34" s="266">
        <v>295515.3</v>
      </c>
      <c r="H34" s="262">
        <f>+E34-F34</f>
        <v>413607.0650268821</v>
      </c>
    </row>
    <row r="35" spans="1:8" x14ac:dyDescent="0.25">
      <c r="A35" s="265"/>
      <c r="B35" s="264" t="s">
        <v>262</v>
      </c>
      <c r="C35" s="266">
        <v>3284689.3688056255</v>
      </c>
      <c r="D35" s="266">
        <v>-960031.94</v>
      </c>
      <c r="E35" s="263">
        <f>C35+D35</f>
        <v>2324657.4288056255</v>
      </c>
      <c r="F35" s="266">
        <v>2069000.7400000002</v>
      </c>
      <c r="G35" s="266">
        <v>2068850.7400000002</v>
      </c>
      <c r="H35" s="262">
        <f>+E35-F35</f>
        <v>255656.68880562531</v>
      </c>
    </row>
    <row r="36" spans="1:8" x14ac:dyDescent="0.25">
      <c r="A36" s="265"/>
      <c r="B36" s="264" t="s">
        <v>261</v>
      </c>
      <c r="C36" s="266">
        <v>156050</v>
      </c>
      <c r="D36" s="266">
        <v>-128120</v>
      </c>
      <c r="E36" s="263">
        <f>C36+D36</f>
        <v>27930</v>
      </c>
      <c r="F36" s="266">
        <v>3810</v>
      </c>
      <c r="G36" s="266">
        <v>3810</v>
      </c>
      <c r="H36" s="262">
        <f>+E36-F36</f>
        <v>24120</v>
      </c>
    </row>
    <row r="37" spans="1:8" ht="15.75" thickBot="1" x14ac:dyDescent="0.3">
      <c r="A37" s="258"/>
      <c r="B37" s="257" t="s">
        <v>260</v>
      </c>
      <c r="C37" s="270">
        <v>12966613.810231052</v>
      </c>
      <c r="D37" s="270">
        <v>7963934.3099999996</v>
      </c>
      <c r="E37" s="271">
        <f>C37+D37</f>
        <v>20930548.120231051</v>
      </c>
      <c r="F37" s="270">
        <v>20351043.780000001</v>
      </c>
      <c r="G37" s="270">
        <v>3238588.97</v>
      </c>
      <c r="H37" s="269">
        <f>+E37-F37</f>
        <v>579504.34023104981</v>
      </c>
    </row>
    <row r="38" spans="1:8" x14ac:dyDescent="0.25">
      <c r="A38" s="268" t="s">
        <v>259</v>
      </c>
      <c r="B38" s="267"/>
      <c r="C38" s="263">
        <f>SUM(C39:C47)</f>
        <v>0</v>
      </c>
      <c r="D38" s="263">
        <f>SUM(D39:D47)</f>
        <v>7796998.4399999995</v>
      </c>
      <c r="E38" s="263">
        <f>SUM(E39:E47)</f>
        <v>7796998.4399999995</v>
      </c>
      <c r="F38" s="263">
        <f>SUM(F39:F47)</f>
        <v>7603911.4199999999</v>
      </c>
      <c r="G38" s="263">
        <f>SUM(G39:G47)</f>
        <v>7603911.4199999999</v>
      </c>
      <c r="H38" s="263">
        <f>SUM(H39:H47)</f>
        <v>193087.01999999955</v>
      </c>
    </row>
    <row r="39" spans="1:8" x14ac:dyDescent="0.25">
      <c r="A39" s="265"/>
      <c r="B39" s="264" t="s">
        <v>258</v>
      </c>
      <c r="C39" s="266"/>
      <c r="D39" s="266"/>
      <c r="E39" s="263">
        <f>C39+D39</f>
        <v>0</v>
      </c>
      <c r="F39" s="266"/>
      <c r="G39" s="266"/>
      <c r="H39" s="262">
        <f>+E39-F39</f>
        <v>0</v>
      </c>
    </row>
    <row r="40" spans="1:8" x14ac:dyDescent="0.25">
      <c r="A40" s="265"/>
      <c r="B40" s="264" t="s">
        <v>257</v>
      </c>
      <c r="C40" s="266"/>
      <c r="D40" s="266">
        <v>7796998.4399999995</v>
      </c>
      <c r="E40" s="263">
        <f>C40+D40</f>
        <v>7796998.4399999995</v>
      </c>
      <c r="F40" s="266">
        <v>7603911.4199999999</v>
      </c>
      <c r="G40" s="266">
        <v>7603911.4199999999</v>
      </c>
      <c r="H40" s="262">
        <f>+E40-F40</f>
        <v>193087.01999999955</v>
      </c>
    </row>
    <row r="41" spans="1:8" x14ac:dyDescent="0.25">
      <c r="A41" s="265"/>
      <c r="B41" s="264" t="s">
        <v>256</v>
      </c>
      <c r="C41" s="266"/>
      <c r="D41" s="266"/>
      <c r="E41" s="263">
        <f>C41+D41</f>
        <v>0</v>
      </c>
      <c r="F41" s="266"/>
      <c r="G41" s="266"/>
      <c r="H41" s="262">
        <f>+E41-F41</f>
        <v>0</v>
      </c>
    </row>
    <row r="42" spans="1:8" x14ac:dyDescent="0.25">
      <c r="A42" s="265"/>
      <c r="B42" s="264" t="s">
        <v>255</v>
      </c>
      <c r="C42" s="266"/>
      <c r="D42" s="266"/>
      <c r="E42" s="263">
        <f>C42+D42</f>
        <v>0</v>
      </c>
      <c r="F42" s="266"/>
      <c r="G42" s="266"/>
      <c r="H42" s="262">
        <f>+E42-F42</f>
        <v>0</v>
      </c>
    </row>
    <row r="43" spans="1:8" x14ac:dyDescent="0.25">
      <c r="A43" s="265"/>
      <c r="B43" s="264" t="s">
        <v>254</v>
      </c>
      <c r="C43" s="266"/>
      <c r="D43" s="266"/>
      <c r="E43" s="263">
        <f>C43+D43</f>
        <v>0</v>
      </c>
      <c r="F43" s="266"/>
      <c r="G43" s="266"/>
      <c r="H43" s="262">
        <f>+E43-F43</f>
        <v>0</v>
      </c>
    </row>
    <row r="44" spans="1:8" x14ac:dyDescent="0.25">
      <c r="A44" s="265"/>
      <c r="B44" s="264" t="s">
        <v>253</v>
      </c>
      <c r="C44" s="266"/>
      <c r="D44" s="266"/>
      <c r="E44" s="263">
        <f>C44+D44</f>
        <v>0</v>
      </c>
      <c r="F44" s="266"/>
      <c r="G44" s="266"/>
      <c r="H44" s="262">
        <f>+E44-F44</f>
        <v>0</v>
      </c>
    </row>
    <row r="45" spans="1:8" x14ac:dyDescent="0.25">
      <c r="A45" s="265"/>
      <c r="B45" s="264" t="s">
        <v>252</v>
      </c>
      <c r="C45" s="266"/>
      <c r="D45" s="266"/>
      <c r="E45" s="263">
        <f>C45+D45</f>
        <v>0</v>
      </c>
      <c r="F45" s="266"/>
      <c r="G45" s="266"/>
      <c r="H45" s="262">
        <f>+E45-F45</f>
        <v>0</v>
      </c>
    </row>
    <row r="46" spans="1:8" x14ac:dyDescent="0.25">
      <c r="A46" s="265"/>
      <c r="B46" s="264" t="s">
        <v>251</v>
      </c>
      <c r="C46" s="266"/>
      <c r="D46" s="266"/>
      <c r="E46" s="263">
        <f>C46+D46</f>
        <v>0</v>
      </c>
      <c r="F46" s="266"/>
      <c r="G46" s="266"/>
      <c r="H46" s="262">
        <f>+E46-F46</f>
        <v>0</v>
      </c>
    </row>
    <row r="47" spans="1:8" x14ac:dyDescent="0.25">
      <c r="A47" s="265"/>
      <c r="B47" s="264" t="s">
        <v>250</v>
      </c>
      <c r="C47" s="266"/>
      <c r="D47" s="266"/>
      <c r="E47" s="263">
        <f>C47+D47</f>
        <v>0</v>
      </c>
      <c r="F47" s="266"/>
      <c r="G47" s="266"/>
      <c r="H47" s="262">
        <f>+E47-F47</f>
        <v>0</v>
      </c>
    </row>
    <row r="48" spans="1:8" x14ac:dyDescent="0.25">
      <c r="A48" s="268" t="s">
        <v>249</v>
      </c>
      <c r="B48" s="267"/>
      <c r="C48" s="263">
        <f>SUM(C49:C57)</f>
        <v>0</v>
      </c>
      <c r="D48" s="263">
        <f>SUM(D49:D57)</f>
        <v>484002.88</v>
      </c>
      <c r="E48" s="263">
        <f>SUM(E49:E57)</f>
        <v>484002.88</v>
      </c>
      <c r="F48" s="263">
        <f>SUM(F49:F57)</f>
        <v>483318.48</v>
      </c>
      <c r="G48" s="263">
        <f>SUM(G49:G57)</f>
        <v>483317.48</v>
      </c>
      <c r="H48" s="263">
        <f>SUM(H49:H57)</f>
        <v>684.40000000000873</v>
      </c>
    </row>
    <row r="49" spans="1:8" x14ac:dyDescent="0.25">
      <c r="A49" s="265"/>
      <c r="B49" s="264" t="s">
        <v>248</v>
      </c>
      <c r="C49" s="266">
        <v>0</v>
      </c>
      <c r="D49" s="266">
        <v>88392</v>
      </c>
      <c r="E49" s="263">
        <f>C49+D49</f>
        <v>88392</v>
      </c>
      <c r="F49" s="266">
        <v>88392</v>
      </c>
      <c r="G49" s="266">
        <v>88392</v>
      </c>
      <c r="H49" s="262">
        <f>+E49-F49</f>
        <v>0</v>
      </c>
    </row>
    <row r="50" spans="1:8" x14ac:dyDescent="0.25">
      <c r="A50" s="265"/>
      <c r="B50" s="264" t="s">
        <v>247</v>
      </c>
      <c r="C50" s="266">
        <v>0</v>
      </c>
      <c r="D50" s="266">
        <v>81000</v>
      </c>
      <c r="E50" s="263">
        <f>C50+D50</f>
        <v>81000</v>
      </c>
      <c r="F50" s="266">
        <v>80723.240000000005</v>
      </c>
      <c r="G50" s="266">
        <v>80723.240000000005</v>
      </c>
      <c r="H50" s="262">
        <f>+E50-F50</f>
        <v>276.75999999999476</v>
      </c>
    </row>
    <row r="51" spans="1:8" x14ac:dyDescent="0.25">
      <c r="A51" s="265"/>
      <c r="B51" s="264" t="s">
        <v>246</v>
      </c>
      <c r="C51" s="266"/>
      <c r="D51" s="266"/>
      <c r="E51" s="263">
        <f>C51+D51</f>
        <v>0</v>
      </c>
      <c r="F51" s="266"/>
      <c r="G51" s="266"/>
      <c r="H51" s="262">
        <f>+E51-F51</f>
        <v>0</v>
      </c>
    </row>
    <row r="52" spans="1:8" x14ac:dyDescent="0.25">
      <c r="A52" s="265"/>
      <c r="B52" s="264" t="s">
        <v>245</v>
      </c>
      <c r="C52" s="266"/>
      <c r="D52" s="266"/>
      <c r="E52" s="263">
        <f>C52+D52</f>
        <v>0</v>
      </c>
      <c r="F52" s="266"/>
      <c r="G52" s="266"/>
      <c r="H52" s="262">
        <f>+E52-F52</f>
        <v>0</v>
      </c>
    </row>
    <row r="53" spans="1:8" x14ac:dyDescent="0.25">
      <c r="A53" s="265"/>
      <c r="B53" s="264" t="s">
        <v>244</v>
      </c>
      <c r="C53" s="266"/>
      <c r="D53" s="266"/>
      <c r="E53" s="263">
        <f>C53+D53</f>
        <v>0</v>
      </c>
      <c r="F53" s="266"/>
      <c r="G53" s="266"/>
      <c r="H53" s="262">
        <f>+E53-F53</f>
        <v>0</v>
      </c>
    </row>
    <row r="54" spans="1:8" x14ac:dyDescent="0.25">
      <c r="A54" s="265"/>
      <c r="B54" s="264" t="s">
        <v>243</v>
      </c>
      <c r="C54" s="266"/>
      <c r="D54" s="266">
        <v>314610.88</v>
      </c>
      <c r="E54" s="263">
        <f>C54+D54</f>
        <v>314610.88</v>
      </c>
      <c r="F54" s="266">
        <v>314203.24</v>
      </c>
      <c r="G54" s="266">
        <v>314202.23999999999</v>
      </c>
      <c r="H54" s="262">
        <f>+E54-F54</f>
        <v>407.64000000001397</v>
      </c>
    </row>
    <row r="55" spans="1:8" x14ac:dyDescent="0.25">
      <c r="A55" s="265"/>
      <c r="B55" s="264" t="s">
        <v>242</v>
      </c>
      <c r="C55" s="266"/>
      <c r="D55" s="266"/>
      <c r="E55" s="263">
        <f>C55+D55</f>
        <v>0</v>
      </c>
      <c r="F55" s="266"/>
      <c r="G55" s="266"/>
      <c r="H55" s="262">
        <f>+E55-F55</f>
        <v>0</v>
      </c>
    </row>
    <row r="56" spans="1:8" x14ac:dyDescent="0.25">
      <c r="A56" s="265"/>
      <c r="B56" s="264" t="s">
        <v>241</v>
      </c>
      <c r="C56" s="266"/>
      <c r="D56" s="266"/>
      <c r="E56" s="263">
        <f>C56+D56</f>
        <v>0</v>
      </c>
      <c r="F56" s="266"/>
      <c r="G56" s="266"/>
      <c r="H56" s="262">
        <f>+E56-F56</f>
        <v>0</v>
      </c>
    </row>
    <row r="57" spans="1:8" x14ac:dyDescent="0.25">
      <c r="A57" s="265"/>
      <c r="B57" s="264" t="s">
        <v>240</v>
      </c>
      <c r="C57" s="266"/>
      <c r="D57" s="266"/>
      <c r="E57" s="263">
        <f>C57+D57</f>
        <v>0</v>
      </c>
      <c r="F57" s="266"/>
      <c r="G57" s="266"/>
      <c r="H57" s="262">
        <f>+E57-F57</f>
        <v>0</v>
      </c>
    </row>
    <row r="58" spans="1:8" x14ac:dyDescent="0.25">
      <c r="A58" s="268" t="s">
        <v>239</v>
      </c>
      <c r="B58" s="267"/>
      <c r="C58" s="263">
        <f>SUM(C59:C61)</f>
        <v>70105912</v>
      </c>
      <c r="D58" s="263">
        <f>SUM(D59:D61)</f>
        <v>74932029.299999997</v>
      </c>
      <c r="E58" s="263">
        <f>SUM(E59:E61)</f>
        <v>145037941.30000001</v>
      </c>
      <c r="F58" s="263">
        <f>SUM(F59:F61)</f>
        <v>98891348.319999993</v>
      </c>
      <c r="G58" s="263">
        <f>SUM(G59:G61)</f>
        <v>96469572.030000001</v>
      </c>
      <c r="H58" s="263">
        <f>SUM(H59:H61)</f>
        <v>46146592.980000019</v>
      </c>
    </row>
    <row r="59" spans="1:8" x14ac:dyDescent="0.25">
      <c r="A59" s="265"/>
      <c r="B59" s="264" t="s">
        <v>238</v>
      </c>
      <c r="C59" s="266">
        <v>70105912</v>
      </c>
      <c r="D59" s="266">
        <v>74932029.299999997</v>
      </c>
      <c r="E59" s="263">
        <f>C59+D59</f>
        <v>145037941.30000001</v>
      </c>
      <c r="F59" s="266">
        <v>98891348.319999993</v>
      </c>
      <c r="G59" s="266">
        <v>96469572.030000001</v>
      </c>
      <c r="H59" s="262">
        <f>+E59-F59</f>
        <v>46146592.980000019</v>
      </c>
    </row>
    <row r="60" spans="1:8" x14ac:dyDescent="0.25">
      <c r="A60" s="265"/>
      <c r="B60" s="264" t="s">
        <v>237</v>
      </c>
      <c r="C60" s="266"/>
      <c r="D60" s="266"/>
      <c r="E60" s="263">
        <f>C60+D60</f>
        <v>0</v>
      </c>
      <c r="F60" s="266"/>
      <c r="G60" s="266"/>
      <c r="H60" s="262">
        <f>+E60-F60</f>
        <v>0</v>
      </c>
    </row>
    <row r="61" spans="1:8" x14ac:dyDescent="0.25">
      <c r="A61" s="265"/>
      <c r="B61" s="264" t="s">
        <v>236</v>
      </c>
      <c r="C61" s="266"/>
      <c r="D61" s="266"/>
      <c r="E61" s="263">
        <f>C61+D61</f>
        <v>0</v>
      </c>
      <c r="F61" s="266"/>
      <c r="G61" s="266"/>
      <c r="H61" s="262">
        <f>+E61-F61</f>
        <v>0</v>
      </c>
    </row>
    <row r="62" spans="1:8" x14ac:dyDescent="0.25">
      <c r="A62" s="268" t="s">
        <v>235</v>
      </c>
      <c r="B62" s="267"/>
      <c r="C62" s="263">
        <f>SUM(C63:C70)</f>
        <v>123731586.09999999</v>
      </c>
      <c r="D62" s="263">
        <f>SUM(D63:D70)</f>
        <v>0</v>
      </c>
      <c r="E62" s="263">
        <f>SUM(E63:E70)</f>
        <v>123731586.09999999</v>
      </c>
      <c r="F62" s="263">
        <f>SUM(F63:F70)</f>
        <v>0</v>
      </c>
      <c r="G62" s="263">
        <f>SUM(G63:G70)</f>
        <v>0</v>
      </c>
      <c r="H62" s="263">
        <f>SUM(H63:H70)</f>
        <v>123731586.09999999</v>
      </c>
    </row>
    <row r="63" spans="1:8" x14ac:dyDescent="0.25">
      <c r="A63" s="265"/>
      <c r="B63" s="264" t="s">
        <v>234</v>
      </c>
      <c r="C63" s="266"/>
      <c r="D63" s="266"/>
      <c r="E63" s="263">
        <f>C63+D63</f>
        <v>0</v>
      </c>
      <c r="F63" s="266"/>
      <c r="G63" s="266"/>
      <c r="H63" s="262">
        <f>+E63-F63</f>
        <v>0</v>
      </c>
    </row>
    <row r="64" spans="1:8" x14ac:dyDescent="0.25">
      <c r="A64" s="265"/>
      <c r="B64" s="264" t="s">
        <v>233</v>
      </c>
      <c r="C64" s="266"/>
      <c r="D64" s="266"/>
      <c r="E64" s="263">
        <f>C64+D64</f>
        <v>0</v>
      </c>
      <c r="F64" s="266"/>
      <c r="G64" s="266"/>
      <c r="H64" s="262">
        <f>+E64-F64</f>
        <v>0</v>
      </c>
    </row>
    <row r="65" spans="1:8" x14ac:dyDescent="0.25">
      <c r="A65" s="265"/>
      <c r="B65" s="264" t="s">
        <v>232</v>
      </c>
      <c r="C65" s="266"/>
      <c r="D65" s="266"/>
      <c r="E65" s="263">
        <f>C65+D65</f>
        <v>0</v>
      </c>
      <c r="F65" s="266"/>
      <c r="G65" s="266"/>
      <c r="H65" s="262">
        <f>+E65-F65</f>
        <v>0</v>
      </c>
    </row>
    <row r="66" spans="1:8" x14ac:dyDescent="0.25">
      <c r="A66" s="265"/>
      <c r="B66" s="264" t="s">
        <v>231</v>
      </c>
      <c r="C66" s="266"/>
      <c r="D66" s="266"/>
      <c r="E66" s="263">
        <f>C66+D66</f>
        <v>0</v>
      </c>
      <c r="F66" s="266"/>
      <c r="G66" s="266"/>
      <c r="H66" s="262">
        <f>+E66-F66</f>
        <v>0</v>
      </c>
    </row>
    <row r="67" spans="1:8" x14ac:dyDescent="0.25">
      <c r="A67" s="265"/>
      <c r="B67" s="264" t="s">
        <v>230</v>
      </c>
      <c r="C67" s="266"/>
      <c r="D67" s="266"/>
      <c r="E67" s="263">
        <f>C67+D67</f>
        <v>0</v>
      </c>
      <c r="F67" s="266"/>
      <c r="G67" s="266"/>
      <c r="H67" s="262">
        <f>+E67-F67</f>
        <v>0</v>
      </c>
    </row>
    <row r="68" spans="1:8" x14ac:dyDescent="0.25">
      <c r="A68" s="265"/>
      <c r="B68" s="264" t="s">
        <v>229</v>
      </c>
      <c r="C68" s="266"/>
      <c r="D68" s="266"/>
      <c r="E68" s="263">
        <f>C68+D68</f>
        <v>0</v>
      </c>
      <c r="F68" s="266"/>
      <c r="G68" s="266"/>
      <c r="H68" s="262">
        <f>+E68-F68</f>
        <v>0</v>
      </c>
    </row>
    <row r="69" spans="1:8" x14ac:dyDescent="0.25">
      <c r="A69" s="265"/>
      <c r="B69" s="264" t="s">
        <v>228</v>
      </c>
      <c r="C69" s="266"/>
      <c r="D69" s="266"/>
      <c r="E69" s="263">
        <f>C69+D69</f>
        <v>0</v>
      </c>
      <c r="F69" s="266"/>
      <c r="G69" s="266"/>
      <c r="H69" s="262">
        <f>+E69-F69</f>
        <v>0</v>
      </c>
    </row>
    <row r="70" spans="1:8" x14ac:dyDescent="0.25">
      <c r="A70" s="265"/>
      <c r="B70" s="264" t="s">
        <v>227</v>
      </c>
      <c r="C70" s="266">
        <v>123731586.09999999</v>
      </c>
      <c r="D70" s="266"/>
      <c r="E70" s="263">
        <f>C70+D70</f>
        <v>123731586.09999999</v>
      </c>
      <c r="F70" s="266"/>
      <c r="G70" s="266"/>
      <c r="H70" s="262">
        <f>+E70-F70</f>
        <v>123731586.09999999</v>
      </c>
    </row>
    <row r="71" spans="1:8" x14ac:dyDescent="0.25">
      <c r="A71" s="268" t="s">
        <v>226</v>
      </c>
      <c r="B71" s="267"/>
      <c r="C71" s="263">
        <f>SUM(C72:C74)</f>
        <v>0</v>
      </c>
      <c r="D71" s="263">
        <f>SUM(D72:D74)</f>
        <v>0</v>
      </c>
      <c r="E71" s="263">
        <f>SUM(E72:E74)</f>
        <v>0</v>
      </c>
      <c r="F71" s="263">
        <f>SUM(F72:F74)</f>
        <v>0</v>
      </c>
      <c r="G71" s="263">
        <f>SUM(G72:G74)</f>
        <v>0</v>
      </c>
      <c r="H71" s="263">
        <f>SUM(H72:H74)</f>
        <v>0</v>
      </c>
    </row>
    <row r="72" spans="1:8" ht="15.75" thickBot="1" x14ac:dyDescent="0.3">
      <c r="A72" s="258"/>
      <c r="B72" s="257" t="s">
        <v>225</v>
      </c>
      <c r="C72" s="270"/>
      <c r="D72" s="270"/>
      <c r="E72" s="271">
        <f>C72+D72</f>
        <v>0</v>
      </c>
      <c r="F72" s="270"/>
      <c r="G72" s="270"/>
      <c r="H72" s="269">
        <f>+E72-F72</f>
        <v>0</v>
      </c>
    </row>
    <row r="73" spans="1:8" x14ac:dyDescent="0.25">
      <c r="A73" s="265"/>
      <c r="B73" s="264" t="s">
        <v>224</v>
      </c>
      <c r="C73" s="266"/>
      <c r="D73" s="266"/>
      <c r="E73" s="263">
        <f>C73+D73</f>
        <v>0</v>
      </c>
      <c r="F73" s="266"/>
      <c r="G73" s="266"/>
      <c r="H73" s="262">
        <f>+E73-F73</f>
        <v>0</v>
      </c>
    </row>
    <row r="74" spans="1:8" x14ac:dyDescent="0.25">
      <c r="A74" s="265"/>
      <c r="B74" s="264" t="s">
        <v>223</v>
      </c>
      <c r="C74" s="266"/>
      <c r="D74" s="266"/>
      <c r="E74" s="263">
        <f>C74+D74</f>
        <v>0</v>
      </c>
      <c r="F74" s="266"/>
      <c r="G74" s="266"/>
      <c r="H74" s="262">
        <f>+E74-F74</f>
        <v>0</v>
      </c>
    </row>
    <row r="75" spans="1:8" x14ac:dyDescent="0.25">
      <c r="A75" s="268" t="s">
        <v>222</v>
      </c>
      <c r="B75" s="267"/>
      <c r="C75" s="263">
        <f>SUM(C76:C82)</f>
        <v>0</v>
      </c>
      <c r="D75" s="263">
        <f>SUM(D76:D82)</f>
        <v>96535920.810000002</v>
      </c>
      <c r="E75" s="263">
        <f>SUM(E76:E82)</f>
        <v>96535920.810000002</v>
      </c>
      <c r="F75" s="263">
        <f>SUM(F76:F82)</f>
        <v>94584705.879999995</v>
      </c>
      <c r="G75" s="263">
        <f>SUM(G76:G82)</f>
        <v>93021258.24000001</v>
      </c>
      <c r="H75" s="263">
        <f>SUM(H76:H82)</f>
        <v>1951214.9299999997</v>
      </c>
    </row>
    <row r="76" spans="1:8" x14ac:dyDescent="0.25">
      <c r="A76" s="265"/>
      <c r="B76" s="264" t="s">
        <v>221</v>
      </c>
      <c r="C76" s="266"/>
      <c r="D76" s="266">
        <v>22920675.659999996</v>
      </c>
      <c r="E76" s="263">
        <f>C76+D76</f>
        <v>22920675.659999996</v>
      </c>
      <c r="F76" s="266">
        <v>22920675.659999996</v>
      </c>
      <c r="G76" s="266">
        <v>22920675.659999996</v>
      </c>
      <c r="H76" s="262">
        <f>+E76-F76</f>
        <v>0</v>
      </c>
    </row>
    <row r="77" spans="1:8" x14ac:dyDescent="0.25">
      <c r="A77" s="265"/>
      <c r="B77" s="264" t="s">
        <v>220</v>
      </c>
      <c r="C77" s="266"/>
      <c r="D77" s="266">
        <v>15359419.179999998</v>
      </c>
      <c r="E77" s="263">
        <f>C77+D77</f>
        <v>15359419.179999998</v>
      </c>
      <c r="F77" s="266">
        <v>15359419.17</v>
      </c>
      <c r="G77" s="266">
        <v>15359419.17</v>
      </c>
      <c r="H77" s="262">
        <f>+E77-F77</f>
        <v>9.9999979138374329E-3</v>
      </c>
    </row>
    <row r="78" spans="1:8" x14ac:dyDescent="0.25">
      <c r="A78" s="265"/>
      <c r="B78" s="264" t="s">
        <v>219</v>
      </c>
      <c r="C78" s="266"/>
      <c r="D78" s="266"/>
      <c r="E78" s="263">
        <f>C78+D78</f>
        <v>0</v>
      </c>
      <c r="F78" s="266"/>
      <c r="G78" s="266"/>
      <c r="H78" s="262">
        <f>+E78-F78</f>
        <v>0</v>
      </c>
    </row>
    <row r="79" spans="1:8" x14ac:dyDescent="0.25">
      <c r="A79" s="265"/>
      <c r="B79" s="264" t="s">
        <v>218</v>
      </c>
      <c r="C79" s="266"/>
      <c r="D79" s="266"/>
      <c r="E79" s="263">
        <f>C79+D79</f>
        <v>0</v>
      </c>
      <c r="F79" s="266"/>
      <c r="G79" s="266"/>
      <c r="H79" s="262">
        <f>+E79-F79</f>
        <v>0</v>
      </c>
    </row>
    <row r="80" spans="1:8" x14ac:dyDescent="0.25">
      <c r="A80" s="265"/>
      <c r="B80" s="264" t="s">
        <v>217</v>
      </c>
      <c r="C80" s="266"/>
      <c r="D80" s="266"/>
      <c r="E80" s="263">
        <f>C80+D80</f>
        <v>0</v>
      </c>
      <c r="F80" s="266"/>
      <c r="G80" s="266"/>
      <c r="H80" s="262">
        <f>+E80-F80</f>
        <v>0</v>
      </c>
    </row>
    <row r="81" spans="1:8" x14ac:dyDescent="0.25">
      <c r="A81" s="265"/>
      <c r="B81" s="264" t="s">
        <v>216</v>
      </c>
      <c r="C81" s="266"/>
      <c r="D81" s="266"/>
      <c r="E81" s="263">
        <f>C81+D81</f>
        <v>0</v>
      </c>
      <c r="F81" s="266"/>
      <c r="G81" s="266"/>
      <c r="H81" s="262">
        <f>+E81-F81</f>
        <v>0</v>
      </c>
    </row>
    <row r="82" spans="1:8" x14ac:dyDescent="0.25">
      <c r="A82" s="265"/>
      <c r="B82" s="264" t="s">
        <v>215</v>
      </c>
      <c r="C82" s="266"/>
      <c r="D82" s="266">
        <v>58255825.969999999</v>
      </c>
      <c r="E82" s="263">
        <f>C82+D82</f>
        <v>58255825.969999999</v>
      </c>
      <c r="F82" s="266">
        <v>56304611.049999997</v>
      </c>
      <c r="G82" s="266">
        <v>54741163.410000004</v>
      </c>
      <c r="H82" s="262">
        <f>+E82-F82</f>
        <v>1951214.9200000018</v>
      </c>
    </row>
    <row r="83" spans="1:8" x14ac:dyDescent="0.25">
      <c r="A83" s="261" t="s">
        <v>288</v>
      </c>
      <c r="B83" s="260"/>
      <c r="C83" s="259">
        <f>+C84+C92+C102+C112+C122+C132+C136+C145+C149</f>
        <v>145105319</v>
      </c>
      <c r="D83" s="259">
        <f>+D84+D92+D102+D112+D122+D132+D136+D145+D149</f>
        <v>107060731.5</v>
      </c>
      <c r="E83" s="259">
        <f>+E84+E92+E102+E112+E122+E132+E136+E145+E149</f>
        <v>252166050.5</v>
      </c>
      <c r="F83" s="259">
        <f>+F84+F92+F102+F112+F122+F132+F136+F145+F149</f>
        <v>31472897.100000001</v>
      </c>
      <c r="G83" s="259">
        <f>+G84+G92+G102+G112+G122+G132+G136+G145+G149</f>
        <v>30638286.300000001</v>
      </c>
      <c r="H83" s="259">
        <f>+H84+H92+H102+H112+H122+H132+H136+H145+H149</f>
        <v>220693153.40000001</v>
      </c>
    </row>
    <row r="84" spans="1:8" x14ac:dyDescent="0.25">
      <c r="A84" s="268" t="s">
        <v>287</v>
      </c>
      <c r="B84" s="267"/>
      <c r="C84" s="263">
        <f>SUM(C85:C91)</f>
        <v>0</v>
      </c>
      <c r="D84" s="263">
        <f>SUM(D85:D91)</f>
        <v>0</v>
      </c>
      <c r="E84" s="263">
        <f>SUM(E85:E91)</f>
        <v>0</v>
      </c>
      <c r="F84" s="263">
        <f>SUM(F85:F91)</f>
        <v>0</v>
      </c>
      <c r="G84" s="263">
        <f>SUM(G85:G91)</f>
        <v>0</v>
      </c>
      <c r="H84" s="263">
        <f>SUM(H85:H91)</f>
        <v>0</v>
      </c>
    </row>
    <row r="85" spans="1:8" x14ac:dyDescent="0.25">
      <c r="A85" s="265"/>
      <c r="B85" s="264" t="s">
        <v>286</v>
      </c>
      <c r="C85" s="266"/>
      <c r="D85" s="266"/>
      <c r="E85" s="263">
        <f>C85+D85</f>
        <v>0</v>
      </c>
      <c r="F85" s="266"/>
      <c r="G85" s="266"/>
      <c r="H85" s="262">
        <f>+E85-F85</f>
        <v>0</v>
      </c>
    </row>
    <row r="86" spans="1:8" x14ac:dyDescent="0.25">
      <c r="A86" s="265"/>
      <c r="B86" s="264" t="s">
        <v>285</v>
      </c>
      <c r="C86" s="266"/>
      <c r="D86" s="266"/>
      <c r="E86" s="263">
        <f>C86+D86</f>
        <v>0</v>
      </c>
      <c r="F86" s="266"/>
      <c r="G86" s="266"/>
      <c r="H86" s="262">
        <f>+E86-F86</f>
        <v>0</v>
      </c>
    </row>
    <row r="87" spans="1:8" x14ac:dyDescent="0.25">
      <c r="A87" s="265"/>
      <c r="B87" s="264" t="s">
        <v>284</v>
      </c>
      <c r="C87" s="266"/>
      <c r="D87" s="266"/>
      <c r="E87" s="263">
        <f>C87+D87</f>
        <v>0</v>
      </c>
      <c r="F87" s="266"/>
      <c r="G87" s="266"/>
      <c r="H87" s="262">
        <f>+E87-F87</f>
        <v>0</v>
      </c>
    </row>
    <row r="88" spans="1:8" x14ac:dyDescent="0.25">
      <c r="A88" s="265"/>
      <c r="B88" s="264" t="s">
        <v>283</v>
      </c>
      <c r="C88" s="266"/>
      <c r="D88" s="266"/>
      <c r="E88" s="263">
        <f>C88+D88</f>
        <v>0</v>
      </c>
      <c r="F88" s="266"/>
      <c r="G88" s="266"/>
      <c r="H88" s="262">
        <f>+E88-F88</f>
        <v>0</v>
      </c>
    </row>
    <row r="89" spans="1:8" x14ac:dyDescent="0.25">
      <c r="A89" s="265"/>
      <c r="B89" s="264" t="s">
        <v>282</v>
      </c>
      <c r="C89" s="266"/>
      <c r="D89" s="266"/>
      <c r="E89" s="263">
        <f>C89+D89</f>
        <v>0</v>
      </c>
      <c r="F89" s="266"/>
      <c r="G89" s="266"/>
      <c r="H89" s="262">
        <f>+E89-F89</f>
        <v>0</v>
      </c>
    </row>
    <row r="90" spans="1:8" x14ac:dyDescent="0.25">
      <c r="A90" s="265"/>
      <c r="B90" s="264" t="s">
        <v>281</v>
      </c>
      <c r="C90" s="266"/>
      <c r="D90" s="266"/>
      <c r="E90" s="263">
        <f>C90+D90</f>
        <v>0</v>
      </c>
      <c r="F90" s="266"/>
      <c r="G90" s="266"/>
      <c r="H90" s="262">
        <f>+E90-F90</f>
        <v>0</v>
      </c>
    </row>
    <row r="91" spans="1:8" x14ac:dyDescent="0.25">
      <c r="A91" s="265"/>
      <c r="B91" s="264" t="s">
        <v>280</v>
      </c>
      <c r="C91" s="266"/>
      <c r="D91" s="266"/>
      <c r="E91" s="263">
        <f>C91+D91</f>
        <v>0</v>
      </c>
      <c r="F91" s="266"/>
      <c r="G91" s="266"/>
      <c r="H91" s="262">
        <f>+E91-F91</f>
        <v>0</v>
      </c>
    </row>
    <row r="92" spans="1:8" x14ac:dyDescent="0.25">
      <c r="A92" s="268" t="s">
        <v>279</v>
      </c>
      <c r="B92" s="267"/>
      <c r="C92" s="263">
        <f>SUM(C93:C101)</f>
        <v>0</v>
      </c>
      <c r="D92" s="263">
        <f>SUM(D93:D101)</f>
        <v>0</v>
      </c>
      <c r="E92" s="263">
        <f>SUM(E93:E101)</f>
        <v>0</v>
      </c>
      <c r="F92" s="263">
        <f>SUM(F93:F101)</f>
        <v>0</v>
      </c>
      <c r="G92" s="263">
        <f>SUM(G93:G101)</f>
        <v>0</v>
      </c>
      <c r="H92" s="263">
        <f>SUM(H93:H101)</f>
        <v>0</v>
      </c>
    </row>
    <row r="93" spans="1:8" x14ac:dyDescent="0.25">
      <c r="A93" s="265"/>
      <c r="B93" s="264" t="s">
        <v>278</v>
      </c>
      <c r="C93" s="266"/>
      <c r="D93" s="266"/>
      <c r="E93" s="263">
        <f>C93+D93</f>
        <v>0</v>
      </c>
      <c r="F93" s="266"/>
      <c r="G93" s="266"/>
      <c r="H93" s="262">
        <f>+E93-F93</f>
        <v>0</v>
      </c>
    </row>
    <row r="94" spans="1:8" x14ac:dyDescent="0.25">
      <c r="A94" s="265"/>
      <c r="B94" s="264" t="s">
        <v>277</v>
      </c>
      <c r="C94" s="266"/>
      <c r="D94" s="266"/>
      <c r="E94" s="263">
        <f>C94+D94</f>
        <v>0</v>
      </c>
      <c r="F94" s="266"/>
      <c r="G94" s="266"/>
      <c r="H94" s="262">
        <f>+E94-F94</f>
        <v>0</v>
      </c>
    </row>
    <row r="95" spans="1:8" x14ac:dyDescent="0.25">
      <c r="A95" s="265"/>
      <c r="B95" s="264" t="s">
        <v>276</v>
      </c>
      <c r="C95" s="266"/>
      <c r="D95" s="266"/>
      <c r="E95" s="263">
        <f>C95+D95</f>
        <v>0</v>
      </c>
      <c r="F95" s="266"/>
      <c r="G95" s="266"/>
      <c r="H95" s="262">
        <f>+E95-F95</f>
        <v>0</v>
      </c>
    </row>
    <row r="96" spans="1:8" x14ac:dyDescent="0.25">
      <c r="A96" s="265"/>
      <c r="B96" s="264" t="s">
        <v>275</v>
      </c>
      <c r="C96" s="266"/>
      <c r="D96" s="266"/>
      <c r="E96" s="263">
        <f>C96+D96</f>
        <v>0</v>
      </c>
      <c r="F96" s="266"/>
      <c r="G96" s="266"/>
      <c r="H96" s="262">
        <f>+E96-F96</f>
        <v>0</v>
      </c>
    </row>
    <row r="97" spans="1:8" x14ac:dyDescent="0.25">
      <c r="A97" s="265"/>
      <c r="B97" s="264" t="s">
        <v>274</v>
      </c>
      <c r="C97" s="266"/>
      <c r="D97" s="266"/>
      <c r="E97" s="263">
        <f>C97+D97</f>
        <v>0</v>
      </c>
      <c r="F97" s="266"/>
      <c r="G97" s="266"/>
      <c r="H97" s="262">
        <f>+E97-F97</f>
        <v>0</v>
      </c>
    </row>
    <row r="98" spans="1:8" x14ac:dyDescent="0.25">
      <c r="A98" s="265"/>
      <c r="B98" s="264" t="s">
        <v>273</v>
      </c>
      <c r="C98" s="266"/>
      <c r="D98" s="266"/>
      <c r="E98" s="263">
        <f>C98+D98</f>
        <v>0</v>
      </c>
      <c r="F98" s="266"/>
      <c r="G98" s="266"/>
      <c r="H98" s="262">
        <f>+E98-F98</f>
        <v>0</v>
      </c>
    </row>
    <row r="99" spans="1:8" x14ac:dyDescent="0.25">
      <c r="A99" s="265"/>
      <c r="B99" s="264" t="s">
        <v>272</v>
      </c>
      <c r="C99" s="266"/>
      <c r="D99" s="266"/>
      <c r="E99" s="263">
        <f>C99+D99</f>
        <v>0</v>
      </c>
      <c r="F99" s="266"/>
      <c r="G99" s="266"/>
      <c r="H99" s="262">
        <f>+E99-F99</f>
        <v>0</v>
      </c>
    </row>
    <row r="100" spans="1:8" x14ac:dyDescent="0.25">
      <c r="A100" s="265"/>
      <c r="B100" s="264" t="s">
        <v>271</v>
      </c>
      <c r="C100" s="266"/>
      <c r="D100" s="266"/>
      <c r="E100" s="263">
        <f>C100+D100</f>
        <v>0</v>
      </c>
      <c r="F100" s="266"/>
      <c r="G100" s="266"/>
      <c r="H100" s="262">
        <f>+E100-F100</f>
        <v>0</v>
      </c>
    </row>
    <row r="101" spans="1:8" x14ac:dyDescent="0.25">
      <c r="A101" s="265"/>
      <c r="B101" s="264" t="s">
        <v>270</v>
      </c>
      <c r="C101" s="266"/>
      <c r="D101" s="266"/>
      <c r="E101" s="263">
        <f>C101+D101</f>
        <v>0</v>
      </c>
      <c r="F101" s="266"/>
      <c r="G101" s="266"/>
      <c r="H101" s="262">
        <f>+E101-F101</f>
        <v>0</v>
      </c>
    </row>
    <row r="102" spans="1:8" x14ac:dyDescent="0.25">
      <c r="A102" s="268" t="s">
        <v>269</v>
      </c>
      <c r="B102" s="267"/>
      <c r="C102" s="263">
        <f>SUM(C103:C111)</f>
        <v>0</v>
      </c>
      <c r="D102" s="263">
        <f>SUM(D103:D111)</f>
        <v>0</v>
      </c>
      <c r="E102" s="263">
        <f>SUM(E103:E111)</f>
        <v>0</v>
      </c>
      <c r="F102" s="263">
        <f>SUM(F103:F111)</f>
        <v>0</v>
      </c>
      <c r="G102" s="263">
        <f>SUM(G103:G111)</f>
        <v>0</v>
      </c>
      <c r="H102" s="263">
        <f>SUM(H103:H111)</f>
        <v>0</v>
      </c>
    </row>
    <row r="103" spans="1:8" x14ac:dyDescent="0.25">
      <c r="A103" s="265"/>
      <c r="B103" s="264" t="s">
        <v>268</v>
      </c>
      <c r="C103" s="266"/>
      <c r="D103" s="266"/>
      <c r="E103" s="263">
        <f>C103+D103</f>
        <v>0</v>
      </c>
      <c r="F103" s="266"/>
      <c r="G103" s="266"/>
      <c r="H103" s="262">
        <f>+E103-F103</f>
        <v>0</v>
      </c>
    </row>
    <row r="104" spans="1:8" x14ac:dyDescent="0.25">
      <c r="A104" s="265"/>
      <c r="B104" s="264" t="s">
        <v>267</v>
      </c>
      <c r="C104" s="266"/>
      <c r="D104" s="266"/>
      <c r="E104" s="263">
        <f>C104+D104</f>
        <v>0</v>
      </c>
      <c r="F104" s="266"/>
      <c r="G104" s="266"/>
      <c r="H104" s="262">
        <f>+E104-F104</f>
        <v>0</v>
      </c>
    </row>
    <row r="105" spans="1:8" x14ac:dyDescent="0.25">
      <c r="A105" s="265"/>
      <c r="B105" s="264" t="s">
        <v>266</v>
      </c>
      <c r="C105" s="266"/>
      <c r="D105" s="266"/>
      <c r="E105" s="263">
        <f>C105+D105</f>
        <v>0</v>
      </c>
      <c r="F105" s="266"/>
      <c r="G105" s="266"/>
      <c r="H105" s="262">
        <f>+E105-F105</f>
        <v>0</v>
      </c>
    </row>
    <row r="106" spans="1:8" x14ac:dyDescent="0.25">
      <c r="A106" s="265"/>
      <c r="B106" s="264" t="s">
        <v>265</v>
      </c>
      <c r="C106" s="266"/>
      <c r="D106" s="266"/>
      <c r="E106" s="263">
        <f>C106+D106</f>
        <v>0</v>
      </c>
      <c r="F106" s="266"/>
      <c r="G106" s="266"/>
      <c r="H106" s="262">
        <f>+E106-F106</f>
        <v>0</v>
      </c>
    </row>
    <row r="107" spans="1:8" ht="15.75" thickBot="1" x14ac:dyDescent="0.3">
      <c r="A107" s="258"/>
      <c r="B107" s="257" t="s">
        <v>264</v>
      </c>
      <c r="C107" s="270"/>
      <c r="D107" s="270"/>
      <c r="E107" s="271">
        <f>C107+D107</f>
        <v>0</v>
      </c>
      <c r="F107" s="270"/>
      <c r="G107" s="270"/>
      <c r="H107" s="269">
        <f>+E107-F107</f>
        <v>0</v>
      </c>
    </row>
    <row r="108" spans="1:8" x14ac:dyDescent="0.25">
      <c r="A108" s="265"/>
      <c r="B108" s="264" t="s">
        <v>263</v>
      </c>
      <c r="C108" s="266"/>
      <c r="D108" s="266"/>
      <c r="E108" s="263">
        <f>C108+D108</f>
        <v>0</v>
      </c>
      <c r="F108" s="266"/>
      <c r="G108" s="266"/>
      <c r="H108" s="262">
        <f>+E108-F108</f>
        <v>0</v>
      </c>
    </row>
    <row r="109" spans="1:8" x14ac:dyDescent="0.25">
      <c r="A109" s="265"/>
      <c r="B109" s="264" t="s">
        <v>262</v>
      </c>
      <c r="C109" s="266"/>
      <c r="D109" s="266"/>
      <c r="E109" s="263">
        <f>C109+D109</f>
        <v>0</v>
      </c>
      <c r="F109" s="266"/>
      <c r="G109" s="266"/>
      <c r="H109" s="262">
        <f>+E109-F109</f>
        <v>0</v>
      </c>
    </row>
    <row r="110" spans="1:8" x14ac:dyDescent="0.25">
      <c r="A110" s="265"/>
      <c r="B110" s="264" t="s">
        <v>261</v>
      </c>
      <c r="C110" s="266"/>
      <c r="D110" s="266"/>
      <c r="E110" s="263">
        <f>C110+D110</f>
        <v>0</v>
      </c>
      <c r="F110" s="266"/>
      <c r="G110" s="266"/>
      <c r="H110" s="262">
        <f>+E110-F110</f>
        <v>0</v>
      </c>
    </row>
    <row r="111" spans="1:8" x14ac:dyDescent="0.25">
      <c r="A111" s="265"/>
      <c r="B111" s="264" t="s">
        <v>260</v>
      </c>
      <c r="C111" s="266"/>
      <c r="D111" s="266"/>
      <c r="E111" s="263">
        <f>C111+D111</f>
        <v>0</v>
      </c>
      <c r="F111" s="266"/>
      <c r="G111" s="266"/>
      <c r="H111" s="262">
        <f>+E111-F111</f>
        <v>0</v>
      </c>
    </row>
    <row r="112" spans="1:8" x14ac:dyDescent="0.25">
      <c r="A112" s="268" t="s">
        <v>259</v>
      </c>
      <c r="B112" s="267"/>
      <c r="C112" s="263">
        <f>SUM(C113:C121)</f>
        <v>0</v>
      </c>
      <c r="D112" s="263">
        <f>SUM(D113:D121)</f>
        <v>0</v>
      </c>
      <c r="E112" s="263">
        <f>SUM(E113:E121)</f>
        <v>0</v>
      </c>
      <c r="F112" s="263">
        <f>SUM(F113:F121)</f>
        <v>0</v>
      </c>
      <c r="G112" s="263">
        <f>SUM(G113:G121)</f>
        <v>0</v>
      </c>
      <c r="H112" s="263">
        <f>SUM(H113:H121)</f>
        <v>0</v>
      </c>
    </row>
    <row r="113" spans="1:8" x14ac:dyDescent="0.25">
      <c r="A113" s="265"/>
      <c r="B113" s="264" t="s">
        <v>258</v>
      </c>
      <c r="C113" s="266"/>
      <c r="D113" s="266"/>
      <c r="E113" s="263">
        <f>C113+D113</f>
        <v>0</v>
      </c>
      <c r="F113" s="266"/>
      <c r="G113" s="266"/>
      <c r="H113" s="262">
        <f>+E113-F113</f>
        <v>0</v>
      </c>
    </row>
    <row r="114" spans="1:8" x14ac:dyDescent="0.25">
      <c r="A114" s="265"/>
      <c r="B114" s="264" t="s">
        <v>257</v>
      </c>
      <c r="C114" s="266"/>
      <c r="D114" s="266"/>
      <c r="E114" s="263">
        <f>C114+D114</f>
        <v>0</v>
      </c>
      <c r="F114" s="266"/>
      <c r="G114" s="266"/>
      <c r="H114" s="262">
        <f>+E114-F114</f>
        <v>0</v>
      </c>
    </row>
    <row r="115" spans="1:8" x14ac:dyDescent="0.25">
      <c r="A115" s="265"/>
      <c r="B115" s="264" t="s">
        <v>256</v>
      </c>
      <c r="C115" s="266"/>
      <c r="D115" s="266"/>
      <c r="E115" s="263">
        <f>C115+D115</f>
        <v>0</v>
      </c>
      <c r="F115" s="266"/>
      <c r="G115" s="266"/>
      <c r="H115" s="262">
        <f>+E115-F115</f>
        <v>0</v>
      </c>
    </row>
    <row r="116" spans="1:8" x14ac:dyDescent="0.25">
      <c r="A116" s="265"/>
      <c r="B116" s="264" t="s">
        <v>255</v>
      </c>
      <c r="C116" s="266"/>
      <c r="D116" s="266"/>
      <c r="E116" s="263">
        <f>C116+D116</f>
        <v>0</v>
      </c>
      <c r="F116" s="266"/>
      <c r="G116" s="266"/>
      <c r="H116" s="262">
        <f>+E116-F116</f>
        <v>0</v>
      </c>
    </row>
    <row r="117" spans="1:8" x14ac:dyDescent="0.25">
      <c r="A117" s="265"/>
      <c r="B117" s="264" t="s">
        <v>254</v>
      </c>
      <c r="C117" s="266"/>
      <c r="D117" s="266"/>
      <c r="E117" s="263">
        <f>C117+D117</f>
        <v>0</v>
      </c>
      <c r="F117" s="266"/>
      <c r="G117" s="266"/>
      <c r="H117" s="262">
        <f>+E117-F117</f>
        <v>0</v>
      </c>
    </row>
    <row r="118" spans="1:8" x14ac:dyDescent="0.25">
      <c r="A118" s="265"/>
      <c r="B118" s="264" t="s">
        <v>253</v>
      </c>
      <c r="C118" s="266"/>
      <c r="D118" s="266"/>
      <c r="E118" s="263">
        <f>C118+D118</f>
        <v>0</v>
      </c>
      <c r="F118" s="266"/>
      <c r="G118" s="266"/>
      <c r="H118" s="262">
        <f>+E118-F118</f>
        <v>0</v>
      </c>
    </row>
    <row r="119" spans="1:8" x14ac:dyDescent="0.25">
      <c r="A119" s="265"/>
      <c r="B119" s="264" t="s">
        <v>252</v>
      </c>
      <c r="C119" s="266"/>
      <c r="D119" s="266"/>
      <c r="E119" s="263">
        <f>C119+D119</f>
        <v>0</v>
      </c>
      <c r="F119" s="266"/>
      <c r="G119" s="266"/>
      <c r="H119" s="262">
        <f>+E119-F119</f>
        <v>0</v>
      </c>
    </row>
    <row r="120" spans="1:8" x14ac:dyDescent="0.25">
      <c r="A120" s="265"/>
      <c r="B120" s="264" t="s">
        <v>251</v>
      </c>
      <c r="C120" s="266"/>
      <c r="D120" s="266"/>
      <c r="E120" s="263">
        <f>C120+D120</f>
        <v>0</v>
      </c>
      <c r="F120" s="266"/>
      <c r="G120" s="266"/>
      <c r="H120" s="262">
        <f>+E120-F120</f>
        <v>0</v>
      </c>
    </row>
    <row r="121" spans="1:8" x14ac:dyDescent="0.25">
      <c r="A121" s="265"/>
      <c r="B121" s="264" t="s">
        <v>250</v>
      </c>
      <c r="C121" s="266"/>
      <c r="D121" s="266"/>
      <c r="E121" s="263">
        <f>C121+D121</f>
        <v>0</v>
      </c>
      <c r="F121" s="266"/>
      <c r="G121" s="266"/>
      <c r="H121" s="262">
        <f>+E121-F121</f>
        <v>0</v>
      </c>
    </row>
    <row r="122" spans="1:8" x14ac:dyDescent="0.25">
      <c r="A122" s="268" t="s">
        <v>249</v>
      </c>
      <c r="B122" s="267"/>
      <c r="C122" s="263">
        <f>SUM(C123:C131)</f>
        <v>0</v>
      </c>
      <c r="D122" s="263">
        <f>SUM(D123:D131)</f>
        <v>0</v>
      </c>
      <c r="E122" s="263">
        <f>SUM(E123:E131)</f>
        <v>0</v>
      </c>
      <c r="F122" s="263">
        <f>SUM(F123:F131)</f>
        <v>0</v>
      </c>
      <c r="G122" s="263">
        <f>SUM(G123:G131)</f>
        <v>0</v>
      </c>
      <c r="H122" s="263">
        <f>SUM(H123:H131)</f>
        <v>0</v>
      </c>
    </row>
    <row r="123" spans="1:8" x14ac:dyDescent="0.25">
      <c r="A123" s="265"/>
      <c r="B123" s="264" t="s">
        <v>248</v>
      </c>
      <c r="C123" s="266">
        <v>0</v>
      </c>
      <c r="D123" s="266"/>
      <c r="E123" s="263">
        <f>C123+D123</f>
        <v>0</v>
      </c>
      <c r="F123" s="266"/>
      <c r="G123" s="266"/>
      <c r="H123" s="262">
        <f>+E123-F123</f>
        <v>0</v>
      </c>
    </row>
    <row r="124" spans="1:8" x14ac:dyDescent="0.25">
      <c r="A124" s="265"/>
      <c r="B124" s="264" t="s">
        <v>247</v>
      </c>
      <c r="C124" s="266"/>
      <c r="D124" s="266"/>
      <c r="E124" s="263">
        <f>C124+D124</f>
        <v>0</v>
      </c>
      <c r="F124" s="266"/>
      <c r="G124" s="266"/>
      <c r="H124" s="262">
        <f>+E124-F124</f>
        <v>0</v>
      </c>
    </row>
    <row r="125" spans="1:8" x14ac:dyDescent="0.25">
      <c r="A125" s="265"/>
      <c r="B125" s="264" t="s">
        <v>246</v>
      </c>
      <c r="C125" s="266"/>
      <c r="D125" s="266"/>
      <c r="E125" s="263">
        <f>C125+D125</f>
        <v>0</v>
      </c>
      <c r="F125" s="266"/>
      <c r="G125" s="266"/>
      <c r="H125" s="262">
        <f>+E125-F125</f>
        <v>0</v>
      </c>
    </row>
    <row r="126" spans="1:8" x14ac:dyDescent="0.25">
      <c r="A126" s="265"/>
      <c r="B126" s="264" t="s">
        <v>245</v>
      </c>
      <c r="C126" s="266"/>
      <c r="D126" s="266"/>
      <c r="E126" s="263">
        <f>C126+D126</f>
        <v>0</v>
      </c>
      <c r="F126" s="266"/>
      <c r="G126" s="266"/>
      <c r="H126" s="262">
        <f>+E126-F126</f>
        <v>0</v>
      </c>
    </row>
    <row r="127" spans="1:8" x14ac:dyDescent="0.25">
      <c r="A127" s="265"/>
      <c r="B127" s="264" t="s">
        <v>244</v>
      </c>
      <c r="C127" s="266"/>
      <c r="D127" s="266"/>
      <c r="E127" s="263">
        <f>C127+D127</f>
        <v>0</v>
      </c>
      <c r="F127" s="266"/>
      <c r="G127" s="266"/>
      <c r="H127" s="262">
        <f>+E127-F127</f>
        <v>0</v>
      </c>
    </row>
    <row r="128" spans="1:8" x14ac:dyDescent="0.25">
      <c r="A128" s="265"/>
      <c r="B128" s="264" t="s">
        <v>243</v>
      </c>
      <c r="C128" s="266"/>
      <c r="D128" s="266"/>
      <c r="E128" s="263">
        <f>C128+D128</f>
        <v>0</v>
      </c>
      <c r="F128" s="266"/>
      <c r="G128" s="266"/>
      <c r="H128" s="262">
        <f>+E128-F128</f>
        <v>0</v>
      </c>
    </row>
    <row r="129" spans="1:8" x14ac:dyDescent="0.25">
      <c r="A129" s="265"/>
      <c r="B129" s="264" t="s">
        <v>242</v>
      </c>
      <c r="C129" s="266"/>
      <c r="D129" s="266"/>
      <c r="E129" s="263">
        <f>C129+D129</f>
        <v>0</v>
      </c>
      <c r="F129" s="266"/>
      <c r="G129" s="266"/>
      <c r="H129" s="262">
        <f>+E129-F129</f>
        <v>0</v>
      </c>
    </row>
    <row r="130" spans="1:8" x14ac:dyDescent="0.25">
      <c r="A130" s="265"/>
      <c r="B130" s="264" t="s">
        <v>241</v>
      </c>
      <c r="C130" s="266"/>
      <c r="D130" s="266"/>
      <c r="E130" s="263">
        <f>C130+D130</f>
        <v>0</v>
      </c>
      <c r="F130" s="266"/>
      <c r="G130" s="266"/>
      <c r="H130" s="262">
        <f>+E130-F130</f>
        <v>0</v>
      </c>
    </row>
    <row r="131" spans="1:8" x14ac:dyDescent="0.25">
      <c r="A131" s="265"/>
      <c r="B131" s="264" t="s">
        <v>240</v>
      </c>
      <c r="C131" s="266"/>
      <c r="D131" s="266"/>
      <c r="E131" s="263">
        <f>C131+D131</f>
        <v>0</v>
      </c>
      <c r="F131" s="266"/>
      <c r="G131" s="266"/>
      <c r="H131" s="262">
        <f>+E131-F131</f>
        <v>0</v>
      </c>
    </row>
    <row r="132" spans="1:8" x14ac:dyDescent="0.25">
      <c r="A132" s="268" t="s">
        <v>239</v>
      </c>
      <c r="B132" s="267"/>
      <c r="C132" s="263">
        <f>SUM(C133:C135)</f>
        <v>145105319</v>
      </c>
      <c r="D132" s="263">
        <f>SUM(D133:D135)</f>
        <v>107060731.5</v>
      </c>
      <c r="E132" s="263">
        <f>SUM(E133:E135)</f>
        <v>252166050.5</v>
      </c>
      <c r="F132" s="263">
        <f>SUM(F133:F135)</f>
        <v>31472897.100000001</v>
      </c>
      <c r="G132" s="263">
        <f>SUM(G133:G135)</f>
        <v>30638286.300000001</v>
      </c>
      <c r="H132" s="263">
        <f>SUM(H133:H135)</f>
        <v>220693153.40000001</v>
      </c>
    </row>
    <row r="133" spans="1:8" x14ac:dyDescent="0.25">
      <c r="A133" s="265"/>
      <c r="B133" s="264" t="s">
        <v>238</v>
      </c>
      <c r="C133" s="266">
        <v>145105319</v>
      </c>
      <c r="D133" s="266">
        <v>107060731.5</v>
      </c>
      <c r="E133" s="263">
        <f>C133+D133</f>
        <v>252166050.5</v>
      </c>
      <c r="F133" s="266">
        <v>31472897.100000001</v>
      </c>
      <c r="G133" s="266">
        <v>30638286.300000001</v>
      </c>
      <c r="H133" s="262">
        <f>+E133-F133</f>
        <v>220693153.40000001</v>
      </c>
    </row>
    <row r="134" spans="1:8" x14ac:dyDescent="0.25">
      <c r="A134" s="265"/>
      <c r="B134" s="264" t="s">
        <v>237</v>
      </c>
      <c r="C134" s="266"/>
      <c r="D134" s="266"/>
      <c r="E134" s="263">
        <f>C134+D134</f>
        <v>0</v>
      </c>
      <c r="F134" s="266"/>
      <c r="G134" s="266"/>
      <c r="H134" s="262">
        <f>+E134-F134</f>
        <v>0</v>
      </c>
    </row>
    <row r="135" spans="1:8" x14ac:dyDescent="0.25">
      <c r="A135" s="265"/>
      <c r="B135" s="264" t="s">
        <v>236</v>
      </c>
      <c r="C135" s="266"/>
      <c r="D135" s="266"/>
      <c r="E135" s="263">
        <f>C135+D135</f>
        <v>0</v>
      </c>
      <c r="F135" s="266"/>
      <c r="G135" s="266"/>
      <c r="H135" s="262">
        <f>+E135-F135</f>
        <v>0</v>
      </c>
    </row>
    <row r="136" spans="1:8" x14ac:dyDescent="0.25">
      <c r="A136" s="268" t="s">
        <v>235</v>
      </c>
      <c r="B136" s="267"/>
      <c r="C136" s="263">
        <f>SUM(C137:C144)</f>
        <v>0</v>
      </c>
      <c r="D136" s="263">
        <f>SUM(D137:D144)</f>
        <v>0</v>
      </c>
      <c r="E136" s="263">
        <f>SUM(E137:E144)</f>
        <v>0</v>
      </c>
      <c r="F136" s="263">
        <f>SUM(F137:F144)</f>
        <v>0</v>
      </c>
      <c r="G136" s="263">
        <f>SUM(G137:G144)</f>
        <v>0</v>
      </c>
      <c r="H136" s="263">
        <f>SUM(H137:H144)</f>
        <v>0</v>
      </c>
    </row>
    <row r="137" spans="1:8" x14ac:dyDescent="0.25">
      <c r="A137" s="265"/>
      <c r="B137" s="264" t="s">
        <v>234</v>
      </c>
      <c r="C137" s="266"/>
      <c r="D137" s="266"/>
      <c r="E137" s="263">
        <f>C137+D137</f>
        <v>0</v>
      </c>
      <c r="F137" s="266"/>
      <c r="G137" s="266"/>
      <c r="H137" s="262">
        <f>+E137-F137</f>
        <v>0</v>
      </c>
    </row>
    <row r="138" spans="1:8" x14ac:dyDescent="0.25">
      <c r="A138" s="265"/>
      <c r="B138" s="264" t="s">
        <v>233</v>
      </c>
      <c r="C138" s="266"/>
      <c r="D138" s="266"/>
      <c r="E138" s="263">
        <f>C138+D138</f>
        <v>0</v>
      </c>
      <c r="F138" s="266"/>
      <c r="G138" s="266"/>
      <c r="H138" s="262">
        <f>+E138-F138</f>
        <v>0</v>
      </c>
    </row>
    <row r="139" spans="1:8" x14ac:dyDescent="0.25">
      <c r="A139" s="265"/>
      <c r="B139" s="264" t="s">
        <v>232</v>
      </c>
      <c r="C139" s="266"/>
      <c r="D139" s="266"/>
      <c r="E139" s="263">
        <f>C139+D139</f>
        <v>0</v>
      </c>
      <c r="F139" s="266"/>
      <c r="G139" s="266"/>
      <c r="H139" s="262">
        <f>+E139-F139</f>
        <v>0</v>
      </c>
    </row>
    <row r="140" spans="1:8" x14ac:dyDescent="0.25">
      <c r="A140" s="265"/>
      <c r="B140" s="264" t="s">
        <v>231</v>
      </c>
      <c r="C140" s="266"/>
      <c r="D140" s="266"/>
      <c r="E140" s="263">
        <f>C140+D140</f>
        <v>0</v>
      </c>
      <c r="F140" s="266"/>
      <c r="G140" s="266"/>
      <c r="H140" s="262">
        <f>+E140-F140</f>
        <v>0</v>
      </c>
    </row>
    <row r="141" spans="1:8" x14ac:dyDescent="0.25">
      <c r="A141" s="265"/>
      <c r="B141" s="264" t="s">
        <v>230</v>
      </c>
      <c r="C141" s="266"/>
      <c r="D141" s="266"/>
      <c r="E141" s="263">
        <f>C141+D141</f>
        <v>0</v>
      </c>
      <c r="F141" s="266"/>
      <c r="G141" s="266"/>
      <c r="H141" s="262">
        <f>+E141-F141</f>
        <v>0</v>
      </c>
    </row>
    <row r="142" spans="1:8" ht="15.75" thickBot="1" x14ac:dyDescent="0.3">
      <c r="A142" s="258"/>
      <c r="B142" s="257" t="s">
        <v>229</v>
      </c>
      <c r="C142" s="270"/>
      <c r="D142" s="270"/>
      <c r="E142" s="271">
        <f>C142+D142</f>
        <v>0</v>
      </c>
      <c r="F142" s="270"/>
      <c r="G142" s="270"/>
      <c r="H142" s="269">
        <f>+E142-F142</f>
        <v>0</v>
      </c>
    </row>
    <row r="143" spans="1:8" x14ac:dyDescent="0.25">
      <c r="A143" s="265"/>
      <c r="B143" s="264" t="s">
        <v>228</v>
      </c>
      <c r="C143" s="266"/>
      <c r="D143" s="266"/>
      <c r="E143" s="263">
        <f>C143+D143</f>
        <v>0</v>
      </c>
      <c r="F143" s="266"/>
      <c r="G143" s="266"/>
      <c r="H143" s="262">
        <f>+E143-F143</f>
        <v>0</v>
      </c>
    </row>
    <row r="144" spans="1:8" x14ac:dyDescent="0.25">
      <c r="A144" s="265"/>
      <c r="B144" s="264" t="s">
        <v>227</v>
      </c>
      <c r="C144" s="266"/>
      <c r="D144" s="266"/>
      <c r="E144" s="263">
        <f>C144+D144</f>
        <v>0</v>
      </c>
      <c r="F144" s="266"/>
      <c r="G144" s="266"/>
      <c r="H144" s="262">
        <f>+E144-F144</f>
        <v>0</v>
      </c>
    </row>
    <row r="145" spans="1:9" x14ac:dyDescent="0.25">
      <c r="A145" s="268" t="s">
        <v>226</v>
      </c>
      <c r="B145" s="267"/>
      <c r="C145" s="263">
        <f>SUM(C146:C148)</f>
        <v>0</v>
      </c>
      <c r="D145" s="263">
        <f>SUM(D146:D148)</f>
        <v>0</v>
      </c>
      <c r="E145" s="263">
        <f>SUM(E146:E148)</f>
        <v>0</v>
      </c>
      <c r="F145" s="263">
        <f>SUM(F146:F148)</f>
        <v>0</v>
      </c>
      <c r="G145" s="263">
        <f>SUM(G146:G148)</f>
        <v>0</v>
      </c>
      <c r="H145" s="263">
        <f>SUM(H146:H148)</f>
        <v>0</v>
      </c>
    </row>
    <row r="146" spans="1:9" x14ac:dyDescent="0.25">
      <c r="A146" s="265"/>
      <c r="B146" s="264" t="s">
        <v>225</v>
      </c>
      <c r="C146" s="266"/>
      <c r="D146" s="266"/>
      <c r="E146" s="263">
        <f>C146+D146</f>
        <v>0</v>
      </c>
      <c r="F146" s="266"/>
      <c r="G146" s="266"/>
      <c r="H146" s="262">
        <f>+E146-F146</f>
        <v>0</v>
      </c>
    </row>
    <row r="147" spans="1:9" x14ac:dyDescent="0.25">
      <c r="A147" s="265"/>
      <c r="B147" s="264" t="s">
        <v>224</v>
      </c>
      <c r="C147" s="266"/>
      <c r="D147" s="266"/>
      <c r="E147" s="263">
        <f>C147+D147</f>
        <v>0</v>
      </c>
      <c r="F147" s="266"/>
      <c r="G147" s="266"/>
      <c r="H147" s="262">
        <f>+E147-F147</f>
        <v>0</v>
      </c>
    </row>
    <row r="148" spans="1:9" x14ac:dyDescent="0.25">
      <c r="A148" s="265"/>
      <c r="B148" s="264" t="s">
        <v>223</v>
      </c>
      <c r="C148" s="266"/>
      <c r="D148" s="266"/>
      <c r="E148" s="263">
        <f>C148+D148</f>
        <v>0</v>
      </c>
      <c r="F148" s="266"/>
      <c r="G148" s="266"/>
      <c r="H148" s="262">
        <f>+E148-F148</f>
        <v>0</v>
      </c>
    </row>
    <row r="149" spans="1:9" x14ac:dyDescent="0.25">
      <c r="A149" s="268" t="s">
        <v>222</v>
      </c>
      <c r="B149" s="267"/>
      <c r="C149" s="263">
        <f>SUM(C150:C156)</f>
        <v>0</v>
      </c>
      <c r="D149" s="263">
        <f>SUM(D150:D156)</f>
        <v>0</v>
      </c>
      <c r="E149" s="263">
        <f>SUM(E150:E156)</f>
        <v>0</v>
      </c>
      <c r="F149" s="263">
        <f>SUM(F150:F156)</f>
        <v>0</v>
      </c>
      <c r="G149" s="263">
        <f>SUM(G150:G156)</f>
        <v>0</v>
      </c>
      <c r="H149" s="263">
        <f>SUM(H150:H156)</f>
        <v>0</v>
      </c>
    </row>
    <row r="150" spans="1:9" x14ac:dyDescent="0.25">
      <c r="A150" s="265"/>
      <c r="B150" s="264" t="s">
        <v>221</v>
      </c>
      <c r="C150" s="266"/>
      <c r="D150" s="266"/>
      <c r="E150" s="263">
        <f>C150+D150</f>
        <v>0</v>
      </c>
      <c r="F150" s="266"/>
      <c r="G150" s="266"/>
      <c r="H150" s="262">
        <f>+E150-F150</f>
        <v>0</v>
      </c>
    </row>
    <row r="151" spans="1:9" x14ac:dyDescent="0.25">
      <c r="A151" s="265"/>
      <c r="B151" s="264" t="s">
        <v>220</v>
      </c>
      <c r="C151" s="266"/>
      <c r="D151" s="266"/>
      <c r="E151" s="263">
        <f>C151+D151</f>
        <v>0</v>
      </c>
      <c r="F151" s="266"/>
      <c r="G151" s="266"/>
      <c r="H151" s="262">
        <f>+E151-F151</f>
        <v>0</v>
      </c>
    </row>
    <row r="152" spans="1:9" x14ac:dyDescent="0.25">
      <c r="A152" s="265"/>
      <c r="B152" s="264" t="s">
        <v>219</v>
      </c>
      <c r="C152" s="266"/>
      <c r="D152" s="266"/>
      <c r="E152" s="263">
        <f>C152+D152</f>
        <v>0</v>
      </c>
      <c r="F152" s="266"/>
      <c r="G152" s="266"/>
      <c r="H152" s="262">
        <f>+E152-F152</f>
        <v>0</v>
      </c>
    </row>
    <row r="153" spans="1:9" x14ac:dyDescent="0.25">
      <c r="A153" s="265"/>
      <c r="B153" s="264" t="s">
        <v>218</v>
      </c>
      <c r="C153" s="266"/>
      <c r="D153" s="266"/>
      <c r="E153" s="263">
        <f>C153+D153</f>
        <v>0</v>
      </c>
      <c r="F153" s="266"/>
      <c r="G153" s="266"/>
      <c r="H153" s="262">
        <f>+E153-F153</f>
        <v>0</v>
      </c>
    </row>
    <row r="154" spans="1:9" x14ac:dyDescent="0.25">
      <c r="A154" s="265"/>
      <c r="B154" s="264" t="s">
        <v>217</v>
      </c>
      <c r="C154" s="266"/>
      <c r="D154" s="266"/>
      <c r="E154" s="263">
        <f>C154+D154</f>
        <v>0</v>
      </c>
      <c r="F154" s="266"/>
      <c r="G154" s="266"/>
      <c r="H154" s="262">
        <f>+E154-F154</f>
        <v>0</v>
      </c>
      <c r="I154" s="107" t="str">
        <f>IF((C158-'ETCA II-04'!B80)&gt;0.9,"ERROR!!!!! EL MONTO NO COINCIDE CON LO REPORTADO EN EL FORMATO ETCA-II-04 EN EL TOTAL DEL GASTO","")</f>
        <v/>
      </c>
    </row>
    <row r="155" spans="1:9" x14ac:dyDescent="0.25">
      <c r="A155" s="265"/>
      <c r="B155" s="264" t="s">
        <v>216</v>
      </c>
      <c r="C155" s="266"/>
      <c r="D155" s="266"/>
      <c r="E155" s="263">
        <f>C155+D155</f>
        <v>0</v>
      </c>
      <c r="F155" s="266"/>
      <c r="G155" s="266"/>
      <c r="H155" s="262">
        <f>+E155-F155</f>
        <v>0</v>
      </c>
      <c r="I155" s="107" t="str">
        <f>IF((D158-'ETCA II-04'!C80)&gt;0.9,"ERROR!!!!! EL MONTO NO COINCIDE CON LO REPORTADO EN EL FORMATO ETCA-II-04 EN EL TOTAL DEL GASTO","")</f>
        <v/>
      </c>
    </row>
    <row r="156" spans="1:9" x14ac:dyDescent="0.25">
      <c r="A156" s="265"/>
      <c r="B156" s="264" t="s">
        <v>215</v>
      </c>
      <c r="C156" s="266"/>
      <c r="D156" s="266"/>
      <c r="E156" s="263">
        <f>C156+D156</f>
        <v>0</v>
      </c>
      <c r="F156" s="266"/>
      <c r="G156" s="266"/>
      <c r="H156" s="262">
        <f>+E156-F156</f>
        <v>0</v>
      </c>
      <c r="I156" s="107" t="str">
        <f>IF((E158-'ETCA II-04'!D80)&gt;0.9,"ERROR!!!!! EL MONTO NO COINCIDE CON LO REPORTADO EN EL FORMATO ETCA-II-04 EN EL TOTAL DEL GASTO","")</f>
        <v/>
      </c>
    </row>
    <row r="157" spans="1:9" x14ac:dyDescent="0.25">
      <c r="A157" s="265"/>
      <c r="B157" s="264"/>
      <c r="C157" s="263"/>
      <c r="D157" s="263"/>
      <c r="E157" s="263">
        <f>C157+D157</f>
        <v>0</v>
      </c>
      <c r="F157" s="263"/>
      <c r="G157" s="263"/>
      <c r="H157" s="262"/>
      <c r="I157" s="107" t="str">
        <f>IF((H158-'ETCA II-04'!G80)&gt;0.9,"ERROR!!!!! EL MONTO NO COINCIDE CON LO REPORTADO EN EL FORMATO ETCA-II-04 EN EL TOTAL DEL GASTO","")</f>
        <v/>
      </c>
    </row>
    <row r="158" spans="1:9" x14ac:dyDescent="0.25">
      <c r="A158" s="261" t="s">
        <v>214</v>
      </c>
      <c r="B158" s="260"/>
      <c r="C158" s="259">
        <f>+C9+C83</f>
        <v>788280901.10075855</v>
      </c>
      <c r="D158" s="259">
        <f>+D9+D83</f>
        <v>299229370.54000002</v>
      </c>
      <c r="E158" s="259">
        <f>+E9+E83</f>
        <v>1087510271.6407585</v>
      </c>
      <c r="F158" s="259">
        <f>+F9+F83</f>
        <v>646764162.72000015</v>
      </c>
      <c r="G158" s="259">
        <f>+G9+G83</f>
        <v>606147018.67000008</v>
      </c>
      <c r="H158" s="259">
        <f>+H9+H83</f>
        <v>440746108.92075849</v>
      </c>
      <c r="I158" s="107" t="str">
        <f>IF((F158-'ETCA II-04'!E80)&gt;0.9,"ERROR!!!!! EL MONTO NO COINCIDE CON LO REPORTADO EN EL FORMATO ETCA-II-04 EN EL TOTAL DEL GASTO","")</f>
        <v/>
      </c>
    </row>
    <row r="159" spans="1:9" ht="15.75" thickBot="1" x14ac:dyDescent="0.3">
      <c r="A159" s="258"/>
      <c r="B159" s="257"/>
      <c r="C159" s="256"/>
      <c r="D159" s="256"/>
      <c r="E159" s="256"/>
      <c r="F159" s="256"/>
      <c r="G159" s="256"/>
      <c r="H159" s="255"/>
      <c r="I159" s="107" t="str">
        <f>IF((G158-'ETCA II-04'!F80)&gt;0.9,"ERROR!!!!! EL MONTO NO COINCIDE CON LO REPORTADO EN EL FORMATO ETCA-II-04 EN EL TOTAL DEL GASTO","")</f>
        <v/>
      </c>
    </row>
  </sheetData>
  <sheetProtection password="C115" sheet="1" scenarios="1" formatColumns="0" formatRows="0"/>
  <mergeCells count="29">
    <mergeCell ref="A136:B136"/>
    <mergeCell ref="A145:B145"/>
    <mergeCell ref="A149:B149"/>
    <mergeCell ref="A62:B62"/>
    <mergeCell ref="A158:B158"/>
    <mergeCell ref="A75:B75"/>
    <mergeCell ref="A83:B83"/>
    <mergeCell ref="A84:B84"/>
    <mergeCell ref="A92:B92"/>
    <mergeCell ref="A102:B102"/>
    <mergeCell ref="A112:B112"/>
    <mergeCell ref="A122:B122"/>
    <mergeCell ref="A132:B132"/>
    <mergeCell ref="A10:B10"/>
    <mergeCell ref="A18:B18"/>
    <mergeCell ref="A28:B28"/>
    <mergeCell ref="A38:B38"/>
    <mergeCell ref="A48:B48"/>
    <mergeCell ref="A58:B58"/>
    <mergeCell ref="A5:H5"/>
    <mergeCell ref="A1:H1"/>
    <mergeCell ref="A2:H2"/>
    <mergeCell ref="A3:H3"/>
    <mergeCell ref="A4:H4"/>
    <mergeCell ref="A71:B71"/>
    <mergeCell ref="A6:B7"/>
    <mergeCell ref="C6:G6"/>
    <mergeCell ref="H6:H7"/>
    <mergeCell ref="A9:B9"/>
  </mergeCells>
  <pageMargins left="0.70866141732283472" right="0.70866141732283472" top="0.74803149606299213" bottom="0.74803149606299213" header="0.31496062992125984" footer="0.31496062992125984"/>
  <pageSetup scale="72" orientation="portrait" horizontalDpi="1200" verticalDpi="1200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FA36-7FEA-4415-83BE-22950EA06756}">
  <dimension ref="A1:H39"/>
  <sheetViews>
    <sheetView view="pageBreakPreview" zoomScaleSheetLayoutView="100" workbookViewId="0">
      <selection activeCell="G19" sqref="G19"/>
    </sheetView>
  </sheetViews>
  <sheetFormatPr baseColWidth="10" defaultColWidth="11.28515625" defaultRowHeight="16.5" x14ac:dyDescent="0.25"/>
  <cols>
    <col min="1" max="1" width="36.7109375" style="1" customWidth="1"/>
    <col min="2" max="2" width="13.7109375" style="1" customWidth="1"/>
    <col min="3" max="3" width="12" style="1" customWidth="1"/>
    <col min="4" max="4" width="13" style="1" customWidth="1"/>
    <col min="5" max="5" width="13.7109375" style="1" customWidth="1"/>
    <col min="6" max="6" width="15.7109375" style="1" customWidth="1"/>
    <col min="7" max="7" width="12.140625" style="1" customWidth="1"/>
    <col min="8" max="16384" width="11.28515625" style="1"/>
  </cols>
  <sheetData>
    <row r="1" spans="1:8" x14ac:dyDescent="0.25">
      <c r="A1" s="106" t="str">
        <f>'[1]ETCA-I-01'!A1:G1</f>
        <v xml:space="preserve">Comision Estatal del Agua </v>
      </c>
      <c r="B1" s="106"/>
      <c r="C1" s="106"/>
      <c r="D1" s="106"/>
      <c r="E1" s="106"/>
      <c r="F1" s="106"/>
      <c r="G1" s="106"/>
    </row>
    <row r="2" spans="1:8" s="104" customFormat="1" ht="15.75" x14ac:dyDescent="0.25">
      <c r="A2" s="106" t="s">
        <v>213</v>
      </c>
      <c r="B2" s="106"/>
      <c r="C2" s="106"/>
      <c r="D2" s="106"/>
      <c r="E2" s="106"/>
      <c r="F2" s="106"/>
      <c r="G2" s="106"/>
    </row>
    <row r="3" spans="1:8" s="104" customFormat="1" ht="15.75" x14ac:dyDescent="0.25">
      <c r="A3" s="106" t="s">
        <v>316</v>
      </c>
      <c r="B3" s="106"/>
      <c r="C3" s="106"/>
      <c r="D3" s="106"/>
      <c r="E3" s="106"/>
      <c r="F3" s="106"/>
      <c r="G3" s="106"/>
    </row>
    <row r="4" spans="1:8" s="104" customFormat="1" x14ac:dyDescent="0.25">
      <c r="A4" s="105" t="str">
        <f>'[1]ETCA-I-03'!A3:D3</f>
        <v>Del 01 de Enero  al 31 de Diciembre de 2021</v>
      </c>
      <c r="B4" s="105"/>
      <c r="C4" s="105"/>
      <c r="D4" s="105"/>
      <c r="E4" s="105"/>
      <c r="F4" s="105"/>
      <c r="G4" s="105"/>
    </row>
    <row r="5" spans="1:8" s="26" customFormat="1" ht="17.25" thickBot="1" x14ac:dyDescent="0.3">
      <c r="A5" s="254" t="s">
        <v>315</v>
      </c>
      <c r="B5" s="254"/>
      <c r="C5" s="254"/>
      <c r="D5" s="254"/>
      <c r="E5" s="254"/>
      <c r="F5" s="103"/>
      <c r="G5" s="320"/>
    </row>
    <row r="6" spans="1:8" s="318" customFormat="1" ht="38.25" x14ac:dyDescent="0.25">
      <c r="A6" s="99" t="s">
        <v>111</v>
      </c>
      <c r="B6" s="252" t="s">
        <v>209</v>
      </c>
      <c r="C6" s="252" t="s">
        <v>109</v>
      </c>
      <c r="D6" s="252" t="s">
        <v>208</v>
      </c>
      <c r="E6" s="250" t="s">
        <v>207</v>
      </c>
      <c r="F6" s="250" t="s">
        <v>206</v>
      </c>
      <c r="G6" s="319" t="s">
        <v>205</v>
      </c>
    </row>
    <row r="7" spans="1:8" s="316" customFormat="1" ht="15.75" customHeight="1" thickBot="1" x14ac:dyDescent="0.3">
      <c r="A7" s="95"/>
      <c r="B7" s="247" t="s">
        <v>26</v>
      </c>
      <c r="C7" s="247" t="s">
        <v>25</v>
      </c>
      <c r="D7" s="247" t="s">
        <v>204</v>
      </c>
      <c r="E7" s="247" t="s">
        <v>23</v>
      </c>
      <c r="F7" s="247" t="s">
        <v>22</v>
      </c>
      <c r="G7" s="317" t="s">
        <v>203</v>
      </c>
    </row>
    <row r="8" spans="1:8" ht="21.75" customHeight="1" x14ac:dyDescent="0.25">
      <c r="A8" s="315" t="s">
        <v>314</v>
      </c>
      <c r="B8" s="313">
        <v>449338084.00075853</v>
      </c>
      <c r="C8" s="313">
        <v>20216686.050000004</v>
      </c>
      <c r="D8" s="314">
        <f>C8+B8</f>
        <v>469554770.05075854</v>
      </c>
      <c r="E8" s="313">
        <v>421331892.94000012</v>
      </c>
      <c r="F8" s="313">
        <v>385534584.62000006</v>
      </c>
      <c r="G8" s="312">
        <f>D8-E8</f>
        <v>48222877.110758424</v>
      </c>
    </row>
    <row r="9" spans="1:8" ht="22.5" customHeight="1" x14ac:dyDescent="0.25">
      <c r="A9" s="315" t="s">
        <v>313</v>
      </c>
      <c r="B9" s="313">
        <v>338942817.10000002</v>
      </c>
      <c r="C9" s="313">
        <v>182476763.68000001</v>
      </c>
      <c r="D9" s="314">
        <f>C9+B9</f>
        <v>521419580.78000003</v>
      </c>
      <c r="E9" s="313">
        <v>130847563.89999999</v>
      </c>
      <c r="F9" s="313">
        <v>127591175.81</v>
      </c>
      <c r="G9" s="312">
        <f>D9-E9</f>
        <v>390572016.88000005</v>
      </c>
    </row>
    <row r="10" spans="1:8" ht="22.5" customHeight="1" x14ac:dyDescent="0.25">
      <c r="A10" s="315" t="s">
        <v>312</v>
      </c>
      <c r="B10" s="313">
        <v>0</v>
      </c>
      <c r="C10" s="313">
        <v>96535920.810000002</v>
      </c>
      <c r="D10" s="314">
        <f>C10+B10</f>
        <v>96535920.810000002</v>
      </c>
      <c r="E10" s="313">
        <v>94584705.879999995</v>
      </c>
      <c r="F10" s="313">
        <v>93021258.24000001</v>
      </c>
      <c r="G10" s="312">
        <f>D10-E10</f>
        <v>1951214.9300000072</v>
      </c>
    </row>
    <row r="11" spans="1:8" ht="23.25" customHeight="1" x14ac:dyDescent="0.25">
      <c r="A11" s="315" t="s">
        <v>169</v>
      </c>
      <c r="B11" s="313"/>
      <c r="C11" s="313"/>
      <c r="D11" s="314">
        <f>C11+B11</f>
        <v>0</v>
      </c>
      <c r="E11" s="313"/>
      <c r="F11" s="313"/>
      <c r="G11" s="312">
        <f>D11-E11</f>
        <v>0</v>
      </c>
    </row>
    <row r="12" spans="1:8" ht="22.5" customHeight="1" x14ac:dyDescent="0.25">
      <c r="A12" s="315" t="s">
        <v>141</v>
      </c>
      <c r="B12" s="313"/>
      <c r="C12" s="313"/>
      <c r="D12" s="314">
        <f>C12+B12</f>
        <v>0</v>
      </c>
      <c r="E12" s="313"/>
      <c r="F12" s="313"/>
      <c r="G12" s="312">
        <f>D12-E12</f>
        <v>0</v>
      </c>
    </row>
    <row r="13" spans="1:8" ht="10.5" customHeight="1" thickBot="1" x14ac:dyDescent="0.3">
      <c r="A13" s="311"/>
      <c r="B13" s="309"/>
      <c r="C13" s="309"/>
      <c r="D13" s="310"/>
      <c r="E13" s="309"/>
      <c r="F13" s="309"/>
      <c r="G13" s="308"/>
    </row>
    <row r="14" spans="1:8" ht="16.5" customHeight="1" thickBot="1" x14ac:dyDescent="0.3">
      <c r="A14" s="307" t="s">
        <v>130</v>
      </c>
      <c r="B14" s="305">
        <f>SUM(B8:B13)</f>
        <v>788280901.10075855</v>
      </c>
      <c r="C14" s="305">
        <f>SUM(C8:C13)</f>
        <v>299229370.54000002</v>
      </c>
      <c r="D14" s="306">
        <f>C14+B14</f>
        <v>1087510271.6407585</v>
      </c>
      <c r="E14" s="305">
        <f>SUM(E8:E13)</f>
        <v>646764162.72000015</v>
      </c>
      <c r="F14" s="305">
        <f>SUM(F8:F13)</f>
        <v>606147018.67000008</v>
      </c>
      <c r="G14" s="304">
        <f>D14-E14</f>
        <v>440746108.92075837</v>
      </c>
      <c r="H14" s="107" t="str">
        <f>IF((B14-'ETCA II-04'!B80)&gt;0.9,"ERROR!!!!! EL MONTO NO COINCIDE CON LO REPORTADO EN EL FORMATO ETCA-II-04 EN EL TOTAL APROBADO ANUAL DEL ANALÍTICO DE EGRESOS","")</f>
        <v/>
      </c>
    </row>
    <row r="15" spans="1:8" ht="16.5" customHeight="1" x14ac:dyDescent="0.25">
      <c r="A15" s="303"/>
      <c r="B15" s="301"/>
      <c r="C15" s="301"/>
      <c r="D15" s="302"/>
      <c r="E15" s="301"/>
      <c r="F15" s="301"/>
      <c r="G15" s="301"/>
      <c r="H15" s="107" t="str">
        <f>IF((C14-'ETCA II-04'!C80)&gt;0.9,"ERROR!!!!! EL MONTO NO COINCIDE CON LO REPORTADO EN EL FORMATO ETCA-II-04 EN EL TOTAL DE AMPLIACIONES/REDUCCIONES ANUAL DEL ANALÍTICO DE EGRESOS","")</f>
        <v/>
      </c>
    </row>
    <row r="16" spans="1:8" ht="16.5" customHeight="1" x14ac:dyDescent="0.25">
      <c r="A16" s="303"/>
      <c r="B16" s="301"/>
      <c r="C16" s="301"/>
      <c r="D16" s="302"/>
      <c r="E16" s="301"/>
      <c r="F16" s="301"/>
      <c r="G16" s="301"/>
      <c r="H16" s="107" t="str">
        <f>IF((D14-'ETCA II-04'!D80)&gt;0.9,"ERROR!!!!! EL MONTO NO COINCIDE CON LO REPORTADO EN EL FORMATO ETCA-II-04 EN EL TOTAL MODIFICADO ANUAL DEL ANALÍTICO DE EGRESOS","")</f>
        <v/>
      </c>
    </row>
    <row r="17" spans="1:8" ht="16.5" customHeight="1" x14ac:dyDescent="0.25">
      <c r="A17" s="303"/>
      <c r="B17" s="301"/>
      <c r="C17" s="301"/>
      <c r="D17" s="302"/>
      <c r="E17" s="301"/>
      <c r="F17" s="301"/>
      <c r="G17" s="301"/>
      <c r="H17" s="107" t="str">
        <f>IF((E14-'ETCA II-04'!E80)&gt;0.9,"ERROR!!!!! EL MONTO NO COINCIDE CON LO REPORTADO EN EL FORMATO ETCA-II-04 EN EL TOTAL DEVENGADO ANUAL DEL ANALÍTICO DE EGRESOS","")</f>
        <v/>
      </c>
    </row>
    <row r="18" spans="1:8" ht="16.5" customHeight="1" x14ac:dyDescent="0.25">
      <c r="A18" s="303"/>
      <c r="B18" s="301"/>
      <c r="C18" s="301"/>
      <c r="D18" s="302"/>
      <c r="E18" s="301"/>
      <c r="F18" s="301"/>
      <c r="G18" s="301"/>
      <c r="H18" s="107" t="str">
        <f>IF((F14-'ETCA II-04'!F80)&gt;0.9,"ERROR!!!!! EL MONTO NO COINCIDE CON LO REPORTADO EN EL FORMATO ETCA-II-04 EN EL TOTAL PAGADO ANUAL DEL ANALÍTICO DE EGRESOS","")</f>
        <v/>
      </c>
    </row>
    <row r="19" spans="1:8" ht="16.5" customHeight="1" x14ac:dyDescent="0.25">
      <c r="A19" s="303"/>
      <c r="B19" s="301"/>
      <c r="C19" s="301"/>
      <c r="D19" s="302"/>
      <c r="E19" s="301"/>
      <c r="F19" s="301"/>
      <c r="G19" s="301"/>
      <c r="H19" s="107"/>
    </row>
    <row r="20" spans="1:8" ht="16.5" customHeight="1" x14ac:dyDescent="0.25">
      <c r="A20" s="303"/>
      <c r="B20" s="301"/>
      <c r="C20" s="301"/>
      <c r="D20" s="302"/>
      <c r="E20" s="301"/>
      <c r="F20" s="301"/>
      <c r="G20" s="301"/>
      <c r="H20" s="107"/>
    </row>
    <row r="21" spans="1:8" ht="16.5" customHeight="1" x14ac:dyDescent="0.25">
      <c r="A21" s="303"/>
      <c r="B21" s="301"/>
      <c r="C21" s="301"/>
      <c r="D21" s="302"/>
      <c r="E21" s="301"/>
      <c r="F21" s="301"/>
      <c r="G21" s="301"/>
      <c r="H21" s="107"/>
    </row>
    <row r="22" spans="1:8" ht="16.5" customHeight="1" x14ac:dyDescent="0.25">
      <c r="A22" s="303"/>
      <c r="B22" s="301"/>
      <c r="C22" s="301"/>
      <c r="D22" s="302"/>
      <c r="E22" s="301"/>
      <c r="F22" s="301"/>
      <c r="G22" s="301"/>
      <c r="H22" s="107"/>
    </row>
    <row r="23" spans="1:8" ht="16.5" customHeight="1" x14ac:dyDescent="0.25">
      <c r="A23" s="303"/>
      <c r="B23" s="301"/>
      <c r="C23" s="301"/>
      <c r="D23" s="302"/>
      <c r="E23" s="301"/>
      <c r="F23" s="301"/>
      <c r="G23" s="301"/>
      <c r="H23" s="107"/>
    </row>
    <row r="24" spans="1:8" ht="16.5" customHeight="1" x14ac:dyDescent="0.25">
      <c r="A24" s="303"/>
      <c r="B24" s="301"/>
      <c r="C24" s="301"/>
      <c r="D24" s="302"/>
      <c r="E24" s="301"/>
      <c r="F24" s="301"/>
      <c r="G24" s="301"/>
      <c r="H24" s="107"/>
    </row>
    <row r="25" spans="1:8" ht="18.75" customHeight="1" x14ac:dyDescent="0.25">
      <c r="H25" s="107" t="str">
        <f>IF(C14&lt;&gt;'ETCA II-04'!C80,"ERROR!!!!! EL MONTO NO COINCIDE CON LO REPORTADO EN EL FORMATO ETCA-II-11 EN EL TOTAL DE AMPLIACIONES/REDUCCIONES DEL ANALÍTICO DE EGRESOS","")</f>
        <v/>
      </c>
    </row>
    <row r="26" spans="1:8" s="175" customFormat="1" ht="15.75" x14ac:dyDescent="0.25">
      <c r="A26" s="300" t="s">
        <v>311</v>
      </c>
      <c r="B26" s="300"/>
      <c r="C26" s="300"/>
      <c r="D26" s="300"/>
      <c r="E26" s="300"/>
      <c r="F26" s="300"/>
      <c r="G26" s="295"/>
      <c r="H26" s="107" t="str">
        <f>IF(D14&lt;&gt;'ETCA II-04'!D80,"ERROR!!!!! EL MONTO NO COINCIDE CON LO REPORTADO EN EL FORMATO ETCA-II-11 EN EL TOTAL MODIFICADO ANUAL DEL ANALÍTICO DE EGRESOS","")</f>
        <v/>
      </c>
    </row>
    <row r="27" spans="1:8" s="175" customFormat="1" ht="13.5" x14ac:dyDescent="0.25">
      <c r="A27" s="298" t="s">
        <v>310</v>
      </c>
      <c r="B27" s="295"/>
      <c r="C27" s="295"/>
      <c r="D27" s="295"/>
      <c r="E27" s="295"/>
      <c r="F27" s="295"/>
      <c r="G27" s="295"/>
      <c r="H27" s="107"/>
    </row>
    <row r="28" spans="1:8" s="175" customFormat="1" ht="28.5" customHeight="1" x14ac:dyDescent="0.25">
      <c r="A28" s="297" t="s">
        <v>309</v>
      </c>
      <c r="B28" s="297"/>
      <c r="C28" s="297"/>
      <c r="D28" s="297"/>
      <c r="E28" s="297"/>
      <c r="F28" s="297"/>
      <c r="G28" s="297"/>
      <c r="H28" s="107" t="str">
        <f>IF(F14&lt;&gt;'ETCA II-04'!F80,"ERROR!!!!! EL MONTO NO COINCIDE CON LO REPORTADO EN EL FORMATO ETCA-II-11 EN EL TOTAL PAGADO ANUAL DEL ANALÍTICO DE EGRESOS","")</f>
        <v/>
      </c>
    </row>
    <row r="29" spans="1:8" s="175" customFormat="1" ht="13.5" x14ac:dyDescent="0.25">
      <c r="A29" s="298" t="s">
        <v>308</v>
      </c>
      <c r="B29" s="295"/>
      <c r="C29" s="295"/>
      <c r="D29" s="295"/>
      <c r="E29" s="295"/>
      <c r="F29" s="295"/>
      <c r="G29" s="295"/>
      <c r="H29" s="107" t="str">
        <f>IF(G14&lt;&gt;'ETCA II-04'!G80,"ERROR!!!!! EL MONTO NO COINCIDE CON LO REPORTADO EN EL FORMATO ETCA-II-11 EN EL TOTAL DEL SUBEJERCICIO DEL ANALÍTICO DE EGRESOS","")</f>
        <v/>
      </c>
    </row>
    <row r="30" spans="1:8" s="175" customFormat="1" ht="25.5" customHeight="1" x14ac:dyDescent="0.25">
      <c r="A30" s="297" t="s">
        <v>307</v>
      </c>
      <c r="B30" s="297"/>
      <c r="C30" s="297"/>
      <c r="D30" s="297"/>
      <c r="E30" s="297"/>
      <c r="F30" s="297"/>
      <c r="G30" s="297"/>
    </row>
    <row r="31" spans="1:8" s="175" customFormat="1" ht="13.5" x14ac:dyDescent="0.25">
      <c r="A31" s="299" t="s">
        <v>306</v>
      </c>
      <c r="B31" s="299"/>
      <c r="C31" s="299"/>
      <c r="D31" s="299"/>
      <c r="E31" s="295"/>
      <c r="F31" s="295"/>
      <c r="G31" s="295"/>
    </row>
    <row r="32" spans="1:8" s="175" customFormat="1" ht="13.5" customHeight="1" x14ac:dyDescent="0.25">
      <c r="A32" s="297" t="s">
        <v>305</v>
      </c>
      <c r="B32" s="297"/>
      <c r="C32" s="297"/>
      <c r="D32" s="297"/>
      <c r="E32" s="297"/>
      <c r="F32" s="297"/>
      <c r="G32" s="297"/>
    </row>
    <row r="33" spans="1:7" s="175" customFormat="1" ht="13.5" x14ac:dyDescent="0.25">
      <c r="A33" s="298" t="s">
        <v>304</v>
      </c>
      <c r="B33" s="295"/>
      <c r="C33" s="295"/>
      <c r="D33" s="295"/>
      <c r="E33" s="295"/>
      <c r="F33" s="295"/>
      <c r="G33" s="295"/>
    </row>
    <row r="34" spans="1:7" s="175" customFormat="1" ht="13.5" customHeight="1" x14ac:dyDescent="0.25">
      <c r="A34" s="297" t="s">
        <v>303</v>
      </c>
      <c r="B34" s="297"/>
      <c r="C34" s="297"/>
      <c r="D34" s="297"/>
      <c r="E34" s="297"/>
      <c r="F34" s="297"/>
      <c r="G34" s="297"/>
    </row>
    <row r="35" spans="1:7" s="175" customFormat="1" ht="13.5" x14ac:dyDescent="0.25">
      <c r="A35" s="296" t="s">
        <v>300</v>
      </c>
      <c r="B35" s="295"/>
      <c r="C35" s="295"/>
      <c r="D35" s="295"/>
      <c r="E35" s="295"/>
      <c r="F35" s="295"/>
      <c r="G35" s="295"/>
    </row>
    <row r="36" spans="1:7" s="175" customFormat="1" ht="13.5" x14ac:dyDescent="0.25">
      <c r="A36" s="298" t="s">
        <v>302</v>
      </c>
      <c r="B36" s="295"/>
      <c r="C36" s="295"/>
      <c r="D36" s="295"/>
      <c r="E36" s="295"/>
      <c r="F36" s="295"/>
      <c r="G36" s="295"/>
    </row>
    <row r="37" spans="1:7" s="175" customFormat="1" ht="13.5" customHeight="1" x14ac:dyDescent="0.25">
      <c r="A37" s="297" t="s">
        <v>301</v>
      </c>
      <c r="B37" s="297"/>
      <c r="C37" s="297"/>
      <c r="D37" s="297"/>
      <c r="E37" s="297"/>
      <c r="F37" s="297"/>
      <c r="G37" s="297"/>
    </row>
    <row r="38" spans="1:7" s="175" customFormat="1" ht="13.5" x14ac:dyDescent="0.25">
      <c r="A38" s="296" t="s">
        <v>300</v>
      </c>
      <c r="B38" s="295"/>
      <c r="C38" s="295"/>
      <c r="D38" s="295"/>
      <c r="E38" s="295"/>
      <c r="F38" s="295"/>
      <c r="G38" s="295"/>
    </row>
    <row r="39" spans="1:7" ht="8.25" customHeight="1" x14ac:dyDescent="0.25"/>
  </sheetData>
  <sheetProtection formatColumns="0" formatRows="0" insertHyperlinks="0"/>
  <mergeCells count="13">
    <mergeCell ref="A6:A7"/>
    <mergeCell ref="A1:G1"/>
    <mergeCell ref="A2:G2"/>
    <mergeCell ref="A3:G3"/>
    <mergeCell ref="A4:G4"/>
    <mergeCell ref="A5:E5"/>
    <mergeCell ref="A34:G34"/>
    <mergeCell ref="A37:G37"/>
    <mergeCell ref="A26:F26"/>
    <mergeCell ref="A28:G28"/>
    <mergeCell ref="A30:G30"/>
    <mergeCell ref="A31:D31"/>
    <mergeCell ref="A32:G32"/>
  </mergeCells>
  <pageMargins left="0.39370078740157483" right="0.39370078740157483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86D9-0E74-4D57-85C8-68B0723F9490}">
  <dimension ref="A1:X33"/>
  <sheetViews>
    <sheetView view="pageBreakPreview" zoomScaleSheetLayoutView="100" workbookViewId="0">
      <selection activeCell="G19" sqref="G19"/>
    </sheetView>
  </sheetViews>
  <sheetFormatPr baseColWidth="10" defaultColWidth="11.28515625" defaultRowHeight="16.5" x14ac:dyDescent="0.25"/>
  <cols>
    <col min="1" max="1" width="39.85546875" style="1" customWidth="1"/>
    <col min="2" max="6" width="13.7109375" style="1" customWidth="1"/>
    <col min="7" max="7" width="11" style="1" bestFit="1" customWidth="1"/>
    <col min="8" max="8" width="15.140625" style="1" hidden="1" customWidth="1"/>
    <col min="9" max="9" width="11.140625" style="1" hidden="1" customWidth="1"/>
    <col min="10" max="10" width="13.5703125" style="1" hidden="1" customWidth="1"/>
    <col min="11" max="11" width="9.7109375" style="1" hidden="1" customWidth="1"/>
    <col min="12" max="14" width="12" style="1" hidden="1" customWidth="1"/>
    <col min="15" max="15" width="14.5703125" style="1" hidden="1" customWidth="1"/>
    <col min="16" max="16" width="12.5703125" style="1" hidden="1" customWidth="1"/>
    <col min="17" max="17" width="0" style="1" hidden="1" customWidth="1"/>
    <col min="18" max="18" width="13.5703125" style="1" hidden="1" customWidth="1"/>
    <col min="19" max="20" width="0" style="1" hidden="1" customWidth="1"/>
    <col min="21" max="21" width="11" style="321" bestFit="1" customWidth="1"/>
    <col min="22" max="22" width="4.42578125" style="321" bestFit="1" customWidth="1"/>
    <col min="23" max="23" width="10.85546875" style="1" bestFit="1" customWidth="1"/>
    <col min="24" max="24" width="12.5703125" style="1" bestFit="1" customWidth="1"/>
    <col min="25" max="16384" width="11.28515625" style="1"/>
  </cols>
  <sheetData>
    <row r="1" spans="1:24" x14ac:dyDescent="0.25">
      <c r="A1" s="106" t="str">
        <f>'[1]ETCA-I-01'!A1:G1</f>
        <v xml:space="preserve">Comision Estatal del Agua </v>
      </c>
      <c r="B1" s="106"/>
      <c r="C1" s="106"/>
      <c r="D1" s="106"/>
      <c r="E1" s="106"/>
      <c r="F1" s="106"/>
      <c r="G1" s="106"/>
    </row>
    <row r="2" spans="1:24" s="26" customFormat="1" x14ac:dyDescent="0.25">
      <c r="A2" s="106" t="s">
        <v>213</v>
      </c>
      <c r="B2" s="106"/>
      <c r="C2" s="106"/>
      <c r="D2" s="106"/>
      <c r="E2" s="106"/>
      <c r="F2" s="106"/>
      <c r="G2" s="106"/>
      <c r="U2" s="342"/>
      <c r="V2" s="342"/>
    </row>
    <row r="3" spans="1:24" s="26" customFormat="1" x14ac:dyDescent="0.25">
      <c r="A3" s="106" t="s">
        <v>330</v>
      </c>
      <c r="B3" s="106"/>
      <c r="C3" s="106"/>
      <c r="D3" s="106"/>
      <c r="E3" s="106"/>
      <c r="F3" s="106"/>
      <c r="G3" s="106"/>
      <c r="U3" s="342"/>
      <c r="V3" s="342"/>
    </row>
    <row r="4" spans="1:24" s="26" customFormat="1" x14ac:dyDescent="0.25">
      <c r="A4" s="105" t="str">
        <f>'[1]ETCA-I-03'!A3:D3</f>
        <v>Del 01 de Enero  al 31 de Diciembre de 2021</v>
      </c>
      <c r="B4" s="105"/>
      <c r="C4" s="105"/>
      <c r="D4" s="105"/>
      <c r="E4" s="105"/>
      <c r="F4" s="105"/>
      <c r="G4" s="105"/>
      <c r="U4" s="342"/>
      <c r="V4" s="342"/>
    </row>
    <row r="5" spans="1:24" s="26" customFormat="1" ht="17.25" thickBot="1" x14ac:dyDescent="0.3">
      <c r="A5" s="254" t="s">
        <v>331</v>
      </c>
      <c r="B5" s="254"/>
      <c r="C5" s="254"/>
      <c r="D5" s="254"/>
      <c r="E5" s="254"/>
      <c r="F5" s="103"/>
      <c r="G5" s="320"/>
      <c r="U5" s="342"/>
      <c r="V5" s="342"/>
    </row>
    <row r="6" spans="1:24" s="340" customFormat="1" ht="38.25" x14ac:dyDescent="0.25">
      <c r="A6" s="341" t="s">
        <v>330</v>
      </c>
      <c r="B6" s="252" t="s">
        <v>209</v>
      </c>
      <c r="C6" s="252" t="s">
        <v>109</v>
      </c>
      <c r="D6" s="252" t="s">
        <v>208</v>
      </c>
      <c r="E6" s="250" t="s">
        <v>207</v>
      </c>
      <c r="F6" s="250" t="s">
        <v>206</v>
      </c>
      <c r="G6" s="319" t="s">
        <v>205</v>
      </c>
      <c r="U6" s="336"/>
      <c r="V6" s="336"/>
    </row>
    <row r="7" spans="1:24" s="335" customFormat="1" ht="17.25" thickBot="1" x14ac:dyDescent="0.3">
      <c r="A7" s="339"/>
      <c r="B7" s="338" t="s">
        <v>26</v>
      </c>
      <c r="C7" s="338" t="s">
        <v>25</v>
      </c>
      <c r="D7" s="338" t="s">
        <v>204</v>
      </c>
      <c r="E7" s="338" t="s">
        <v>23</v>
      </c>
      <c r="F7" s="338" t="s">
        <v>22</v>
      </c>
      <c r="G7" s="337" t="s">
        <v>203</v>
      </c>
      <c r="H7" s="335" t="s">
        <v>329</v>
      </c>
      <c r="I7" s="335" t="s">
        <v>328</v>
      </c>
      <c r="U7" s="336"/>
      <c r="V7" s="336"/>
    </row>
    <row r="8" spans="1:24" ht="21" customHeight="1" x14ac:dyDescent="0.25">
      <c r="A8" s="325" t="s">
        <v>327</v>
      </c>
      <c r="B8" s="330">
        <v>3899724.4545984073</v>
      </c>
      <c r="C8" s="330">
        <f>-7013.37830402851+116000</f>
        <v>108986.62169597149</v>
      </c>
      <c r="D8" s="330">
        <f>IF($A8="","",B8+C8)</f>
        <v>4008711.0762943788</v>
      </c>
      <c r="E8" s="330">
        <f>3305263.78241338+115315.6</f>
        <v>3420579.3824133803</v>
      </c>
      <c r="F8" s="330">
        <v>3352885.0062495945</v>
      </c>
      <c r="G8" s="324">
        <f>IF($A8="","",D8-E8)</f>
        <v>588131.69388099853</v>
      </c>
      <c r="H8" s="321">
        <v>0</v>
      </c>
      <c r="I8" s="321">
        <v>1656081.8042734216</v>
      </c>
      <c r="L8" s="328">
        <v>488946327.44999993</v>
      </c>
      <c r="M8" s="322">
        <f>E8/L8</f>
        <v>6.9958177214515874E-3</v>
      </c>
      <c r="N8" s="1">
        <v>449076055.83999991</v>
      </c>
      <c r="O8" s="322">
        <f>M8*N8</f>
        <v>3141654.229725054</v>
      </c>
      <c r="Q8" s="1">
        <v>7796998.4399999995</v>
      </c>
      <c r="W8" s="334"/>
      <c r="X8" s="331"/>
    </row>
    <row r="9" spans="1:24" ht="21" customHeight="1" x14ac:dyDescent="0.25">
      <c r="A9" s="325" t="s">
        <v>326</v>
      </c>
      <c r="B9" s="330">
        <v>154375809.09546229</v>
      </c>
      <c r="C9" s="330">
        <f>-9526.52233945811+7796998.44+8392+19848004.99+1057703.1-4088548.14</f>
        <v>24613023.867660541</v>
      </c>
      <c r="D9" s="330">
        <f>B9+C9</f>
        <v>178988832.96312284</v>
      </c>
      <c r="E9" s="330">
        <f>25543965.084711+7603911.42+88392+19848004.42+1057703.1</f>
        <v>54141976.024711005</v>
      </c>
      <c r="F9" s="330">
        <v>53070488.746821389</v>
      </c>
      <c r="G9" s="324">
        <f>IF($A9="","",D9-E9)</f>
        <v>124846856.93841183</v>
      </c>
      <c r="H9" s="321">
        <v>16059452.670000004</v>
      </c>
      <c r="I9" s="321">
        <v>30056413.892463002</v>
      </c>
      <c r="J9" s="322">
        <v>15912666.530000001</v>
      </c>
      <c r="K9" s="328">
        <v>7603911.4199999999</v>
      </c>
      <c r="L9" s="328">
        <v>488946327.44999993</v>
      </c>
      <c r="M9" s="322">
        <f>E9/L9</f>
        <v>0.11073194128909294</v>
      </c>
      <c r="N9" s="1">
        <v>449076055.83999991</v>
      </c>
      <c r="O9" s="322">
        <f>M9*N9</f>
        <v>49727063.449612297</v>
      </c>
      <c r="Q9" s="1">
        <v>15912667.100000001</v>
      </c>
      <c r="R9" s="333">
        <f>SUM(Q8:Q9)</f>
        <v>23709665.539999999</v>
      </c>
      <c r="W9" s="332"/>
      <c r="X9" s="331"/>
    </row>
    <row r="10" spans="1:24" ht="27" x14ac:dyDescent="0.25">
      <c r="A10" s="325" t="s">
        <v>325</v>
      </c>
      <c r="B10" s="330">
        <v>47089112.870948538</v>
      </c>
      <c r="C10" s="330">
        <f>266955.922711418+7288761.09</f>
        <v>7555717.0127114179</v>
      </c>
      <c r="D10" s="330">
        <f>B10+C10</f>
        <v>54644829.883659959</v>
      </c>
      <c r="E10" s="330">
        <f>6565756.23739413+7288761.09</f>
        <v>13854517.32739413</v>
      </c>
      <c r="F10" s="330">
        <v>13580331.932852402</v>
      </c>
      <c r="G10" s="324">
        <f>IF($A10="","",D10-E10)</f>
        <v>40790312.556265831</v>
      </c>
      <c r="H10" s="321">
        <v>7438761.0899999999</v>
      </c>
      <c r="I10" s="321">
        <v>9484877.8001546301</v>
      </c>
      <c r="J10" s="322"/>
      <c r="L10" s="328">
        <v>488946327.44999993</v>
      </c>
      <c r="M10" s="322">
        <f>E10/L10</f>
        <v>2.833545636726539E-2</v>
      </c>
      <c r="N10" s="1">
        <v>449076055.83999991</v>
      </c>
      <c r="O10" s="322">
        <f>M10*N10</f>
        <v>12724774.985837953</v>
      </c>
      <c r="R10" s="333">
        <v>1057703.1000000001</v>
      </c>
      <c r="W10" s="332"/>
      <c r="X10" s="331"/>
    </row>
    <row r="11" spans="1:24" ht="27" x14ac:dyDescent="0.25">
      <c r="A11" s="325" t="s">
        <v>324</v>
      </c>
      <c r="B11" s="330">
        <v>125305459.3441817</v>
      </c>
      <c r="C11" s="330">
        <f>-201851.464599886+89067274.27</f>
        <v>88865422.805400103</v>
      </c>
      <c r="D11" s="330">
        <f>B11+C11</f>
        <v>214170882.14958179</v>
      </c>
      <c r="E11" s="330">
        <f>9888593.51305059+121939641.63</f>
        <v>131828235.14305058</v>
      </c>
      <c r="F11" s="330">
        <v>129219311.58329815</v>
      </c>
      <c r="G11" s="324">
        <f>IF($A11="","",D11-E11)</f>
        <v>82342647.006531209</v>
      </c>
      <c r="H11" s="321">
        <v>63972802.049999997</v>
      </c>
      <c r="I11" s="321">
        <v>68754296.590005636</v>
      </c>
      <c r="J11" s="322"/>
      <c r="L11" s="328">
        <v>488946327.44999993</v>
      </c>
      <c r="M11" s="322">
        <f>E11/L11</f>
        <v>0.26961698604133899</v>
      </c>
      <c r="N11" s="1">
        <v>449076055.83999991</v>
      </c>
      <c r="O11" s="322">
        <f>M11*N11</f>
        <v>121078532.67891283</v>
      </c>
      <c r="R11" s="333">
        <v>597816.05000000005</v>
      </c>
      <c r="W11" s="332"/>
      <c r="X11" s="331"/>
    </row>
    <row r="12" spans="1:24" ht="33.75" customHeight="1" x14ac:dyDescent="0.25">
      <c r="A12" s="325" t="s">
        <v>323</v>
      </c>
      <c r="B12" s="330">
        <v>68673346.670727998</v>
      </c>
      <c r="C12" s="330">
        <f>554244.748285603+84579022.34</f>
        <v>85133267.08828561</v>
      </c>
      <c r="D12" s="330">
        <f>B12+C12</f>
        <v>153806613.75901359</v>
      </c>
      <c r="E12" s="330">
        <f>8343237.50076423+78139.6</f>
        <v>8421377.1007642299</v>
      </c>
      <c r="F12" s="330">
        <v>8254715.3146915995</v>
      </c>
      <c r="G12" s="324">
        <f>IF($A12="","",D12-E12)</f>
        <v>145385236.65824938</v>
      </c>
      <c r="H12" s="321">
        <v>62818.369229999997</v>
      </c>
      <c r="I12" s="321">
        <v>4547545.8929936895</v>
      </c>
      <c r="J12" s="322"/>
      <c r="L12" s="328">
        <v>488946327.44999993</v>
      </c>
      <c r="M12" s="322">
        <f>E12/L12</f>
        <v>1.7223520513354112E-2</v>
      </c>
      <c r="N12" s="1">
        <v>449076055.83999991</v>
      </c>
      <c r="O12" s="322">
        <f>M12*N12</f>
        <v>7734670.6598163955</v>
      </c>
      <c r="W12" s="332"/>
      <c r="X12" s="331"/>
    </row>
    <row r="13" spans="1:24" ht="21" customHeight="1" x14ac:dyDescent="0.25">
      <c r="A13" s="325" t="s">
        <v>322</v>
      </c>
      <c r="B13" s="330">
        <v>4664986.0483605331</v>
      </c>
      <c r="C13" s="330">
        <v>-28725.159816703414</v>
      </c>
      <c r="D13" s="330">
        <f>IF($A13="","",B13+C13)</f>
        <v>4636260.8885438293</v>
      </c>
      <c r="E13" s="330">
        <v>3711258.4908346729</v>
      </c>
      <c r="F13" s="330">
        <v>3637811.4807721991</v>
      </c>
      <c r="G13" s="324">
        <f>IF($A13="","",D13-E13)</f>
        <v>925002.39770915639</v>
      </c>
      <c r="H13" s="321"/>
      <c r="I13" s="321">
        <v>1903329.3160467055</v>
      </c>
      <c r="L13" s="328">
        <v>488946327.44999993</v>
      </c>
      <c r="M13" s="322">
        <f>E13/L13</f>
        <v>7.590318778320693E-3</v>
      </c>
      <c r="N13" s="1">
        <v>449076055.83999991</v>
      </c>
      <c r="O13" s="322">
        <f>M13*N13</f>
        <v>3408630.4195365435</v>
      </c>
      <c r="W13" s="332"/>
      <c r="X13" s="331"/>
    </row>
    <row r="14" spans="1:24" ht="21" customHeight="1" x14ac:dyDescent="0.25">
      <c r="A14" s="325" t="s">
        <v>321</v>
      </c>
      <c r="B14" s="330">
        <v>216590.098</v>
      </c>
      <c r="C14" s="330">
        <v>25552.362892704044</v>
      </c>
      <c r="D14" s="330">
        <f>IF($A14="","",B14+C14)</f>
        <v>242142.46089270405</v>
      </c>
      <c r="E14" s="330">
        <v>158584.36342534484</v>
      </c>
      <c r="F14" s="330">
        <v>155445.92740289663</v>
      </c>
      <c r="G14" s="324">
        <f>IF($A14="","",D14-E14)</f>
        <v>83558.097467359214</v>
      </c>
      <c r="H14" s="321">
        <v>4134.1499999999996</v>
      </c>
      <c r="I14" s="321">
        <v>106207.78982534488</v>
      </c>
      <c r="L14" s="328">
        <v>488946327.44999993</v>
      </c>
      <c r="M14" s="322">
        <f>E14/L14</f>
        <v>3.2433900107688569E-4</v>
      </c>
      <c r="N14" s="1">
        <v>449076055.83999991</v>
      </c>
      <c r="O14" s="322">
        <f>M14*N14</f>
        <v>145652.87935869332</v>
      </c>
      <c r="W14" s="332"/>
      <c r="X14" s="331"/>
    </row>
    <row r="15" spans="1:24" ht="21" customHeight="1" x14ac:dyDescent="0.25">
      <c r="A15" s="325" t="s">
        <v>320</v>
      </c>
      <c r="B15" s="330">
        <v>5382636.5178375812</v>
      </c>
      <c r="C15" s="330">
        <v>-85461.752530831625</v>
      </c>
      <c r="D15" s="330">
        <f>IF($A15="","",B15+C15)</f>
        <v>5297174.7653067494</v>
      </c>
      <c r="E15" s="330">
        <v>4093151.1884066435</v>
      </c>
      <c r="F15" s="330">
        <v>4012146.3979118378</v>
      </c>
      <c r="G15" s="324">
        <f>IF($A15="","",D15-E15)</f>
        <v>1204023.5769001059</v>
      </c>
      <c r="H15" s="321"/>
      <c r="I15" s="321">
        <v>2289183.6298375581</v>
      </c>
      <c r="L15" s="328">
        <v>488946327.44999993</v>
      </c>
      <c r="M15" s="322">
        <f>E15/L15</f>
        <v>8.3713711681886235E-3</v>
      </c>
      <c r="N15" s="1">
        <v>449076055.83999991</v>
      </c>
      <c r="O15" s="322">
        <f>M15*N15</f>
        <v>3759382.3461828395</v>
      </c>
      <c r="W15" s="332"/>
      <c r="X15" s="331"/>
    </row>
    <row r="16" spans="1:24" ht="21" customHeight="1" x14ac:dyDescent="0.25">
      <c r="A16" s="325" t="s">
        <v>319</v>
      </c>
      <c r="B16" s="330">
        <v>378673236.00064158</v>
      </c>
      <c r="C16" s="330">
        <v>93041587.689999983</v>
      </c>
      <c r="D16" s="330">
        <f>B16+C16</f>
        <v>471714823.69064158</v>
      </c>
      <c r="E16" s="330">
        <v>427134483.70000005</v>
      </c>
      <c r="F16" s="330">
        <v>390863882.27999997</v>
      </c>
      <c r="G16" s="324">
        <f>IF($A16="","",D16-E16)</f>
        <v>44580339.990641534</v>
      </c>
      <c r="H16" s="329">
        <v>68688814.140000015</v>
      </c>
      <c r="I16" s="329">
        <v>3697736.66</v>
      </c>
      <c r="J16" s="329">
        <v>1057703.1000000001</v>
      </c>
      <c r="K16" s="1" t="s">
        <v>318</v>
      </c>
      <c r="L16" s="328">
        <v>488946327.44999993</v>
      </c>
      <c r="M16" s="322">
        <f>E16/L16</f>
        <v>0.87358153588683862</v>
      </c>
      <c r="N16" s="1">
        <v>449076055.83999991</v>
      </c>
      <c r="O16" s="322">
        <f>M16*N16</f>
        <v>392304550.59071082</v>
      </c>
      <c r="P16" s="322">
        <f>O16-F16</f>
        <v>1440668.3107108474</v>
      </c>
      <c r="W16" s="326"/>
    </row>
    <row r="17" spans="1:23" ht="21" customHeight="1" x14ac:dyDescent="0.25">
      <c r="A17" s="325"/>
      <c r="B17" s="327"/>
      <c r="C17" s="327"/>
      <c r="D17" s="327" t="str">
        <f>IF($A17="","",B17+C17)</f>
        <v/>
      </c>
      <c r="E17" s="327"/>
      <c r="F17" s="327"/>
      <c r="G17" s="324" t="str">
        <f>IF($A17="","",D17-E17)</f>
        <v/>
      </c>
      <c r="H17" s="321">
        <v>15927117.300000001</v>
      </c>
      <c r="I17" s="321">
        <v>3091024.43</v>
      </c>
      <c r="J17" s="1" t="s">
        <v>317</v>
      </c>
      <c r="L17" s="1">
        <v>40862334.575569503</v>
      </c>
      <c r="M17" s="1">
        <v>136225271.92926154</v>
      </c>
      <c r="N17" s="1">
        <f>L17/M17</f>
        <v>0.29996148289421892</v>
      </c>
      <c r="O17" s="1">
        <v>6728434.737455368</v>
      </c>
      <c r="P17" s="321">
        <f>N17*O17</f>
        <v>2018271.2614040868</v>
      </c>
      <c r="W17" s="326"/>
    </row>
    <row r="18" spans="1:23" ht="21" customHeight="1" x14ac:dyDescent="0.25">
      <c r="A18" s="325"/>
      <c r="B18" s="313"/>
      <c r="C18" s="313"/>
      <c r="D18" s="313" t="str">
        <f>IF($A18="","",B18+C18)</f>
        <v/>
      </c>
      <c r="E18" s="313"/>
      <c r="F18" s="313"/>
      <c r="G18" s="324" t="str">
        <f>IF($A18="","",D18-E18)</f>
        <v/>
      </c>
      <c r="L18" s="1">
        <v>10694744.606662745</v>
      </c>
      <c r="M18" s="1">
        <v>136225271.92926154</v>
      </c>
      <c r="N18" s="1">
        <f>L18/M18</f>
        <v>7.850778680930999E-2</v>
      </c>
      <c r="O18" s="1">
        <v>6728434.737455368</v>
      </c>
      <c r="P18" s="321">
        <f>N18*O18</f>
        <v>528234.51992850169</v>
      </c>
    </row>
    <row r="19" spans="1:23" ht="21" customHeight="1" x14ac:dyDescent="0.25">
      <c r="A19" s="325"/>
      <c r="B19" s="313"/>
      <c r="C19" s="313"/>
      <c r="D19" s="313" t="str">
        <f>IF($A19="","",B19+C19)</f>
        <v/>
      </c>
      <c r="E19" s="313"/>
      <c r="F19" s="313"/>
      <c r="G19" s="324" t="str">
        <f>IF($A19="","",D19-E19)</f>
        <v/>
      </c>
      <c r="L19" s="1">
        <v>84668192.74702929</v>
      </c>
      <c r="M19" s="1">
        <v>136225271.92926154</v>
      </c>
      <c r="N19" s="1">
        <f>L19/M19</f>
        <v>0.6215307302964711</v>
      </c>
      <c r="O19" s="1">
        <v>6728434.737455368</v>
      </c>
      <c r="P19" s="321">
        <f>N19*O19</f>
        <v>4181928.9561227798</v>
      </c>
    </row>
    <row r="20" spans="1:23" ht="21" customHeight="1" x14ac:dyDescent="0.25">
      <c r="A20" s="325"/>
      <c r="B20" s="313"/>
      <c r="C20" s="313"/>
      <c r="D20" s="313" t="str">
        <f>IF($A20="","",B20+C20)</f>
        <v/>
      </c>
      <c r="E20" s="313"/>
      <c r="F20" s="313"/>
      <c r="G20" s="324" t="str">
        <f>IF($A20="","",D20-E20)</f>
        <v/>
      </c>
    </row>
    <row r="21" spans="1:23" ht="21" customHeight="1" x14ac:dyDescent="0.25">
      <c r="A21" s="325"/>
      <c r="B21" s="313"/>
      <c r="C21" s="313"/>
      <c r="D21" s="313" t="str">
        <f>IF($A21="","",B21+C21)</f>
        <v/>
      </c>
      <c r="E21" s="313"/>
      <c r="F21" s="313"/>
      <c r="G21" s="324" t="str">
        <f>IF($A21="","",D21-E21)</f>
        <v/>
      </c>
    </row>
    <row r="22" spans="1:23" ht="21" customHeight="1" x14ac:dyDescent="0.25">
      <c r="A22" s="325"/>
      <c r="B22" s="313"/>
      <c r="C22" s="313"/>
      <c r="D22" s="313" t="str">
        <f>IF($A22="","",B22+C22)</f>
        <v/>
      </c>
      <c r="E22" s="313"/>
      <c r="F22" s="313"/>
      <c r="G22" s="324" t="str">
        <f>IF($A22="","",D22-E22)</f>
        <v/>
      </c>
    </row>
    <row r="23" spans="1:23" ht="21" customHeight="1" x14ac:dyDescent="0.25">
      <c r="A23" s="325"/>
      <c r="B23" s="313"/>
      <c r="C23" s="313"/>
      <c r="D23" s="313" t="str">
        <f>IF($A23="","",B23+C23)</f>
        <v/>
      </c>
      <c r="E23" s="313"/>
      <c r="F23" s="313"/>
      <c r="G23" s="324" t="str">
        <f>IF($A23="","",D23-E23)</f>
        <v/>
      </c>
    </row>
    <row r="24" spans="1:23" ht="21" customHeight="1" x14ac:dyDescent="0.25">
      <c r="A24" s="325"/>
      <c r="B24" s="313"/>
      <c r="C24" s="313"/>
      <c r="D24" s="313" t="str">
        <f>IF($A24="","",B24+C24)</f>
        <v/>
      </c>
      <c r="E24" s="313"/>
      <c r="F24" s="313"/>
      <c r="G24" s="324" t="str">
        <f>IF($A24="","",D24-E24)</f>
        <v/>
      </c>
    </row>
    <row r="25" spans="1:23" ht="21" customHeight="1" x14ac:dyDescent="0.25">
      <c r="A25" s="325"/>
      <c r="B25" s="313"/>
      <c r="C25" s="313"/>
      <c r="D25" s="313" t="str">
        <f>IF($A25="","",B25+C25)</f>
        <v/>
      </c>
      <c r="E25" s="313"/>
      <c r="F25" s="313"/>
      <c r="G25" s="324" t="str">
        <f>IF($A25="","",D25-E25)</f>
        <v/>
      </c>
    </row>
    <row r="26" spans="1:23" ht="21" customHeight="1" x14ac:dyDescent="0.25">
      <c r="A26" s="325"/>
      <c r="B26" s="313"/>
      <c r="C26" s="313"/>
      <c r="D26" s="313" t="str">
        <f>IF($A26="","",B26+C26)</f>
        <v/>
      </c>
      <c r="E26" s="313"/>
      <c r="F26" s="313"/>
      <c r="G26" s="324" t="str">
        <f>IF($A26="","",D26-E26)</f>
        <v/>
      </c>
    </row>
    <row r="27" spans="1:23" ht="21" customHeight="1" thickBot="1" x14ac:dyDescent="0.3">
      <c r="A27" s="325"/>
      <c r="B27" s="313"/>
      <c r="C27" s="313"/>
      <c r="D27" s="313" t="str">
        <f>IF($A27="","",B27+C27)</f>
        <v/>
      </c>
      <c r="E27" s="313"/>
      <c r="F27" s="313"/>
      <c r="G27" s="324" t="str">
        <f>IF($A27="","",D27-E27)</f>
        <v/>
      </c>
    </row>
    <row r="28" spans="1:23" ht="21" customHeight="1" thickBot="1" x14ac:dyDescent="0.3">
      <c r="A28" s="323" t="s">
        <v>130</v>
      </c>
      <c r="B28" s="232">
        <f>SUM(B8:B27)</f>
        <v>788280901.10075855</v>
      </c>
      <c r="C28" s="232">
        <f>SUM(C8:C16)</f>
        <v>299229370.53629875</v>
      </c>
      <c r="D28" s="232">
        <f>SUM(D8:D16)</f>
        <v>1087510271.6370575</v>
      </c>
      <c r="E28" s="232">
        <f>SUM(E8:E16)</f>
        <v>646764162.72099996</v>
      </c>
      <c r="F28" s="232">
        <f>SUM(F8:F16)</f>
        <v>606147018.67000008</v>
      </c>
      <c r="G28" s="231">
        <f>IF($A28="","",D28-E28)</f>
        <v>440746108.91605759</v>
      </c>
      <c r="H28" s="318" t="str">
        <f>IF(($B$28-'ETCA II-04'!B80)&gt;0.9,"ERROR!!!!! EL MONTO NO COINCIDE CON LO REPORTADO EN EL FORMATO ETCA-II-04 EN EL TOTAL APROBADO ANUAL DEL ANALÍTICO DE EGRESOS","")</f>
        <v/>
      </c>
    </row>
    <row r="29" spans="1:23" x14ac:dyDescent="0.25">
      <c r="B29" s="321"/>
      <c r="C29" s="321"/>
      <c r="D29" s="321"/>
      <c r="E29" s="321"/>
      <c r="F29" s="321"/>
      <c r="G29" s="321"/>
      <c r="H29" s="318" t="str">
        <f>IF(($C$28-'ETCA II-04'!C80)&gt;0.9,"ERROR!!!!! EL MONTO NO COINCIDE CON LO REPORTADO EN EL FORMATO ETCA-II-04 EN EL TOTAL AMPLIACIONES/REDUCCIONES ANUAL DEL ANALÍTICO DE EGRESOS","")</f>
        <v/>
      </c>
    </row>
    <row r="30" spans="1:23" x14ac:dyDescent="0.25">
      <c r="B30" s="322"/>
      <c r="C30" s="321"/>
      <c r="D30" s="321"/>
      <c r="E30" s="321"/>
      <c r="F30" s="321"/>
      <c r="G30" s="321"/>
      <c r="H30" s="318" t="str">
        <f>IF(($D$28-'ETCA II-04'!D80)&gt;0.9,"ERROR!!!!! EL MONTO NO COINCIDE CON LO REPORTADO EN EL FORMATO ETCA-II-04 EN EL TOTAL MODIFICADO ANUAL DEL ANALÍTICO DE EGRESOS","")</f>
        <v/>
      </c>
    </row>
    <row r="31" spans="1:23" x14ac:dyDescent="0.25">
      <c r="H31" s="318" t="str">
        <f>IF(($E$28-'ETCA II-04'!E80)&gt;0.9,"ERROR!!!!! EL MONTO NO COINCIDE CON LO REPORTADO EN EL FORMATO ETCA-II-04 EN EL TOTAL DEVENGADO ANUAL DEL ANALÍTICO DE EGRESOS","")</f>
        <v/>
      </c>
    </row>
    <row r="32" spans="1:23" x14ac:dyDescent="0.25">
      <c r="H32" s="318" t="str">
        <f>IF(($F$28-'ETCA II-04'!F80)&gt;0.9,"ERROR!!!!! EL MONTO NO COINCIDE CON LO REPORTADO EN EL FORMATO ETCA-II-04 EN EL TOTAL PAGADO ANUAL DEL ANALÍTICO DE EGRESOS","")</f>
        <v/>
      </c>
    </row>
    <row r="33" spans="8:8" x14ac:dyDescent="0.25">
      <c r="H33" s="318" t="str">
        <f>IF(($G$28-'ETCA II-04'!G80)&gt;0.9,"ERROR!!!!! EL MONTO NO COINCIDE CON LO REPORTADO EN EL FORMATO ETCA-II-04 EN EL TOTAL APROBADO ANUAL DEL ANALÍTICO DE EGRESOS","")</f>
        <v/>
      </c>
    </row>
  </sheetData>
  <sheetProtection formatColumns="0" formatRows="0" insertRows="0" deleteColumns="0" deleteRows="0"/>
  <mergeCells count="6">
    <mergeCell ref="A6:A7"/>
    <mergeCell ref="A1:G1"/>
    <mergeCell ref="A2:G2"/>
    <mergeCell ref="A3:G3"/>
    <mergeCell ref="A4:G4"/>
    <mergeCell ref="A5:E5"/>
  </mergeCells>
  <printOptions horizontalCentered="1"/>
  <pageMargins left="0.51181102362204722" right="0.15748031496062992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3A222-527E-4EE3-84DA-365B9EBA5B95}">
  <dimension ref="A1:I35"/>
  <sheetViews>
    <sheetView view="pageBreakPreview" zoomScaleSheetLayoutView="100" workbookViewId="0">
      <selection activeCell="G19" sqref="G19"/>
    </sheetView>
  </sheetViews>
  <sheetFormatPr baseColWidth="10" defaultColWidth="11.42578125" defaultRowHeight="15" x14ac:dyDescent="0.25"/>
  <cols>
    <col min="1" max="1" width="32.42578125" customWidth="1"/>
    <col min="2" max="2" width="12.140625" customWidth="1"/>
    <col min="3" max="3" width="13.140625" customWidth="1"/>
    <col min="4" max="4" width="12.42578125" customWidth="1"/>
    <col min="5" max="5" width="12.85546875" customWidth="1"/>
    <col min="6" max="6" width="14" customWidth="1"/>
    <col min="7" max="7" width="15.42578125" customWidth="1"/>
    <col min="8" max="8" width="11.7109375" bestFit="1" customWidth="1"/>
    <col min="9" max="9" width="11.5703125" bestFit="1" customWidth="1"/>
  </cols>
  <sheetData>
    <row r="1" spans="1:9" s="347" customFormat="1" ht="15.75" x14ac:dyDescent="0.2">
      <c r="A1" s="370" t="str">
        <f>'[1]ETCA-I-01'!A1:G1</f>
        <v xml:space="preserve">Comision Estatal del Agua </v>
      </c>
      <c r="B1" s="369"/>
      <c r="C1" s="369"/>
      <c r="D1" s="369"/>
      <c r="E1" s="369"/>
      <c r="F1" s="369"/>
      <c r="G1" s="368"/>
    </row>
    <row r="2" spans="1:9" s="347" customFormat="1" ht="12.75" x14ac:dyDescent="0.2">
      <c r="A2" s="367" t="s">
        <v>299</v>
      </c>
      <c r="B2" s="366"/>
      <c r="C2" s="366"/>
      <c r="D2" s="366"/>
      <c r="E2" s="366"/>
      <c r="F2" s="366"/>
      <c r="G2" s="365"/>
    </row>
    <row r="3" spans="1:9" s="347" customFormat="1" ht="12.75" x14ac:dyDescent="0.2">
      <c r="A3" s="367" t="s">
        <v>340</v>
      </c>
      <c r="B3" s="366"/>
      <c r="C3" s="366"/>
      <c r="D3" s="366"/>
      <c r="E3" s="366"/>
      <c r="F3" s="366"/>
      <c r="G3" s="365"/>
    </row>
    <row r="4" spans="1:9" s="347" customFormat="1" ht="12.75" x14ac:dyDescent="0.2">
      <c r="A4" s="367" t="str">
        <f>'[1]ETCA-I-03'!A3:D3</f>
        <v>Del 01 de Enero  al 31 de Diciembre de 2021</v>
      </c>
      <c r="B4" s="366"/>
      <c r="C4" s="366"/>
      <c r="D4" s="366"/>
      <c r="E4" s="366"/>
      <c r="F4" s="366"/>
      <c r="G4" s="365"/>
    </row>
    <row r="5" spans="1:9" s="347" customFormat="1" ht="20.25" customHeight="1" thickBot="1" x14ac:dyDescent="0.25">
      <c r="A5" s="364" t="s">
        <v>297</v>
      </c>
      <c r="B5" s="363"/>
      <c r="C5" s="363"/>
      <c r="D5" s="363"/>
      <c r="E5" s="363"/>
      <c r="F5" s="363"/>
      <c r="G5" s="362"/>
    </row>
    <row r="6" spans="1:9" s="347" customFormat="1" ht="13.5" thickBot="1" x14ac:dyDescent="0.25">
      <c r="A6" s="358" t="s">
        <v>296</v>
      </c>
      <c r="B6" s="361" t="s">
        <v>295</v>
      </c>
      <c r="C6" s="360"/>
      <c r="D6" s="360"/>
      <c r="E6" s="360"/>
      <c r="F6" s="359"/>
      <c r="G6" s="358" t="s">
        <v>294</v>
      </c>
    </row>
    <row r="7" spans="1:9" s="347" customFormat="1" ht="26.25" thickBot="1" x14ac:dyDescent="0.25">
      <c r="A7" s="356"/>
      <c r="B7" s="357" t="s">
        <v>293</v>
      </c>
      <c r="C7" s="357" t="s">
        <v>109</v>
      </c>
      <c r="D7" s="357" t="s">
        <v>30</v>
      </c>
      <c r="E7" s="357" t="s">
        <v>108</v>
      </c>
      <c r="F7" s="357" t="s">
        <v>339</v>
      </c>
      <c r="G7" s="356"/>
    </row>
    <row r="8" spans="1:9" s="347" customFormat="1" ht="12.75" x14ac:dyDescent="0.2">
      <c r="A8" s="349" t="s">
        <v>338</v>
      </c>
      <c r="B8" s="355"/>
      <c r="C8" s="355"/>
      <c r="D8" s="355"/>
      <c r="E8" s="355"/>
      <c r="F8" s="355"/>
      <c r="G8" s="355"/>
    </row>
    <row r="9" spans="1:9" s="347" customFormat="1" ht="12.75" x14ac:dyDescent="0.2">
      <c r="A9" s="349" t="s">
        <v>337</v>
      </c>
      <c r="B9" s="352">
        <f>SUM(B10:B18)</f>
        <v>643175582.10075891</v>
      </c>
      <c r="C9" s="352">
        <f>SUM(C10:C18)</f>
        <v>267756473.43629879</v>
      </c>
      <c r="D9" s="352">
        <f>SUM(D10:D18)</f>
        <v>910932055.53705776</v>
      </c>
      <c r="E9" s="352">
        <f>SUM(E10:E18)</f>
        <v>615291265.62100041</v>
      </c>
      <c r="F9" s="352">
        <f>SUM(F10:F18)</f>
        <v>574674121.56999993</v>
      </c>
      <c r="G9" s="352">
        <f>SUM(G10:G18)</f>
        <v>295640789.91605735</v>
      </c>
    </row>
    <row r="10" spans="1:9" s="347" customFormat="1" ht="12.75" x14ac:dyDescent="0.2">
      <c r="A10" s="351" t="s">
        <v>327</v>
      </c>
      <c r="B10" s="352">
        <v>3899724.4545984073</v>
      </c>
      <c r="C10" s="352">
        <v>108986.62169597149</v>
      </c>
      <c r="D10" s="352">
        <f>B10+C10</f>
        <v>4008711.0762943788</v>
      </c>
      <c r="E10" s="352">
        <v>3420579.3824133803</v>
      </c>
      <c r="F10" s="352">
        <v>3352885.0062495945</v>
      </c>
      <c r="G10" s="352">
        <f>+D10-E10</f>
        <v>588131.69388099853</v>
      </c>
      <c r="I10" s="354"/>
    </row>
    <row r="11" spans="1:9" s="347" customFormat="1" ht="25.5" x14ac:dyDescent="0.2">
      <c r="A11" s="351" t="s">
        <v>326</v>
      </c>
      <c r="B11" s="352">
        <v>154375809.09546229</v>
      </c>
      <c r="C11" s="352">
        <v>24613023.867660541</v>
      </c>
      <c r="D11" s="352">
        <f>B11+C11</f>
        <v>178988832.96312284</v>
      </c>
      <c r="E11" s="352">
        <v>54141976.024711005</v>
      </c>
      <c r="F11" s="352">
        <v>53070488.746821389</v>
      </c>
      <c r="G11" s="352">
        <f>+D11-E11</f>
        <v>124846856.93841183</v>
      </c>
      <c r="I11" s="354"/>
    </row>
    <row r="12" spans="1:9" s="347" customFormat="1" ht="25.5" x14ac:dyDescent="0.2">
      <c r="A12" s="351" t="s">
        <v>334</v>
      </c>
      <c r="B12" s="352">
        <v>27089112.870948501</v>
      </c>
      <c r="C12" s="352">
        <f>7555717.01271142-3341024.43</f>
        <v>4214692.5827114191</v>
      </c>
      <c r="D12" s="352">
        <f>B12+C12</f>
        <v>31303805.453659922</v>
      </c>
      <c r="E12" s="352">
        <f>13854517.3273941-3341024.43</f>
        <v>10513492.8973941</v>
      </c>
      <c r="F12" s="352">
        <f>13580331.9328524-3341024.43</f>
        <v>10239307.502852401</v>
      </c>
      <c r="G12" s="352">
        <f>+D12-E12</f>
        <v>20790312.556265824</v>
      </c>
      <c r="I12" s="354"/>
    </row>
    <row r="13" spans="1:9" s="347" customFormat="1" ht="25.5" x14ac:dyDescent="0.2">
      <c r="A13" s="351" t="s">
        <v>324</v>
      </c>
      <c r="B13" s="352">
        <v>50375693.344182</v>
      </c>
      <c r="C13" s="352">
        <f>88865422.8054001-28053733.07</f>
        <v>60811689.735400103</v>
      </c>
      <c r="D13" s="352">
        <f>B13+C13</f>
        <v>111187383.0795821</v>
      </c>
      <c r="E13" s="352">
        <f>131828235.143051-28053733.07</f>
        <v>103774502.07305101</v>
      </c>
      <c r="F13" s="352">
        <f>129219311.583298-F25</f>
        <v>101165578.513298</v>
      </c>
      <c r="G13" s="352">
        <f>+D13-E13</f>
        <v>7412881.0065310895</v>
      </c>
      <c r="H13" s="354"/>
      <c r="I13" s="354"/>
    </row>
    <row r="14" spans="1:9" s="347" customFormat="1" ht="25.5" x14ac:dyDescent="0.2">
      <c r="A14" s="351" t="s">
        <v>323</v>
      </c>
      <c r="B14" s="352">
        <v>18497793.670727998</v>
      </c>
      <c r="C14" s="352">
        <f>85133267.0882856-78139.6</f>
        <v>85055127.488285601</v>
      </c>
      <c r="D14" s="352">
        <f>B14+C14</f>
        <v>103552921.1590136</v>
      </c>
      <c r="E14" s="352">
        <f>8421377.10076423-78139.6</f>
        <v>8343237.5007642303</v>
      </c>
      <c r="F14" s="352">
        <f>8254715.3146916-F26</f>
        <v>8176575.7146916008</v>
      </c>
      <c r="G14" s="352">
        <f>+D14-E14</f>
        <v>95209683.658249363</v>
      </c>
    </row>
    <row r="15" spans="1:9" s="347" customFormat="1" ht="12.75" x14ac:dyDescent="0.2">
      <c r="A15" s="351" t="s">
        <v>333</v>
      </c>
      <c r="B15" s="352">
        <v>5382636.5178375812</v>
      </c>
      <c r="C15" s="352">
        <v>-28725.159816703414</v>
      </c>
      <c r="D15" s="352">
        <f>B15+C15</f>
        <v>5353911.3580208775</v>
      </c>
      <c r="E15" s="352">
        <v>3711258.4908346729</v>
      </c>
      <c r="F15" s="352">
        <v>3637811.4807721991</v>
      </c>
      <c r="G15" s="352">
        <f>+D15-E15</f>
        <v>1642652.8671862045</v>
      </c>
    </row>
    <row r="16" spans="1:9" s="347" customFormat="1" ht="12.75" x14ac:dyDescent="0.2">
      <c r="A16" s="351" t="s">
        <v>322</v>
      </c>
      <c r="B16" s="352">
        <v>4664986.0483605331</v>
      </c>
      <c r="C16" s="352">
        <v>25552.362892704044</v>
      </c>
      <c r="D16" s="352">
        <f>B16+C16</f>
        <v>4690538.4112532372</v>
      </c>
      <c r="E16" s="352">
        <v>158584.36342534484</v>
      </c>
      <c r="F16" s="352">
        <v>155445.92740289663</v>
      </c>
      <c r="G16" s="352">
        <f>+D16-E16</f>
        <v>4531954.047827892</v>
      </c>
    </row>
    <row r="17" spans="1:7" s="347" customFormat="1" ht="25.5" x14ac:dyDescent="0.2">
      <c r="A17" s="351" t="s">
        <v>332</v>
      </c>
      <c r="B17" s="352">
        <v>216590.098</v>
      </c>
      <c r="C17" s="352">
        <v>-85461.752530831625</v>
      </c>
      <c r="D17" s="352">
        <f>B17+C17</f>
        <v>131128.34546916839</v>
      </c>
      <c r="E17" s="352">
        <v>4093151.1884066435</v>
      </c>
      <c r="F17" s="352">
        <v>4012146.3979118378</v>
      </c>
      <c r="G17" s="352">
        <f>+D17-E17</f>
        <v>-3962022.8429374751</v>
      </c>
    </row>
    <row r="18" spans="1:7" s="347" customFormat="1" ht="12.75" x14ac:dyDescent="0.2">
      <c r="A18" s="351" t="s">
        <v>319</v>
      </c>
      <c r="B18" s="352">
        <v>378673236.00064158</v>
      </c>
      <c r="C18" s="352">
        <v>93041587.689999983</v>
      </c>
      <c r="D18" s="352">
        <f>B18+C18</f>
        <v>471714823.69064158</v>
      </c>
      <c r="E18" s="352">
        <v>427134483.70000005</v>
      </c>
      <c r="F18" s="352">
        <v>390863882.27999997</v>
      </c>
      <c r="G18" s="352">
        <f>+D18-E18</f>
        <v>44580339.990641534</v>
      </c>
    </row>
    <row r="19" spans="1:7" s="347" customFormat="1" ht="12.75" x14ac:dyDescent="0.2">
      <c r="A19" s="351"/>
      <c r="B19" s="352"/>
      <c r="C19" s="352"/>
      <c r="D19" s="352"/>
      <c r="E19" s="352"/>
      <c r="F19" s="352"/>
      <c r="G19" s="352"/>
    </row>
    <row r="20" spans="1:7" s="347" customFormat="1" ht="12.75" x14ac:dyDescent="0.2">
      <c r="A20" s="353" t="s">
        <v>336</v>
      </c>
      <c r="B20" s="352"/>
      <c r="C20" s="352"/>
      <c r="D20" s="352"/>
      <c r="E20" s="352"/>
      <c r="F20" s="352"/>
      <c r="G20" s="352"/>
    </row>
    <row r="21" spans="1:7" s="347" customFormat="1" ht="12.75" x14ac:dyDescent="0.2">
      <c r="A21" s="353" t="s">
        <v>335</v>
      </c>
      <c r="B21" s="352">
        <f>SUM(B22:B30)</f>
        <v>145105319</v>
      </c>
      <c r="C21" s="352">
        <f>SUM(C22:C30)</f>
        <v>31472897.100000001</v>
      </c>
      <c r="D21" s="352">
        <f>SUM(D22:D30)</f>
        <v>176578216.09999999</v>
      </c>
      <c r="E21" s="352">
        <f>SUM(E22:E30)</f>
        <v>31472897.100000001</v>
      </c>
      <c r="F21" s="352">
        <f>SUM(F22:F30)</f>
        <v>31472897.100000001</v>
      </c>
      <c r="G21" s="352">
        <f>SUM(G22:G30)</f>
        <v>145105319</v>
      </c>
    </row>
    <row r="22" spans="1:7" s="347" customFormat="1" ht="12.75" x14ac:dyDescent="0.2">
      <c r="A22" s="351" t="s">
        <v>327</v>
      </c>
      <c r="B22" s="352"/>
      <c r="C22" s="352"/>
      <c r="D22" s="352">
        <f>B22+C22</f>
        <v>0</v>
      </c>
      <c r="E22" s="352"/>
      <c r="F22" s="352"/>
      <c r="G22" s="352">
        <f>+D22-E22</f>
        <v>0</v>
      </c>
    </row>
    <row r="23" spans="1:7" s="347" customFormat="1" ht="25.5" x14ac:dyDescent="0.2">
      <c r="A23" s="351" t="s">
        <v>326</v>
      </c>
      <c r="B23" s="352"/>
      <c r="C23" s="352"/>
      <c r="D23" s="352">
        <f>B23+C23</f>
        <v>0</v>
      </c>
      <c r="E23" s="352"/>
      <c r="F23" s="352"/>
      <c r="G23" s="352">
        <f>+D23-E23</f>
        <v>0</v>
      </c>
    </row>
    <row r="24" spans="1:7" s="347" customFormat="1" ht="25.5" x14ac:dyDescent="0.2">
      <c r="A24" s="351" t="s">
        <v>334</v>
      </c>
      <c r="B24" s="352">
        <v>20000000</v>
      </c>
      <c r="C24" s="352">
        <v>3341024.43</v>
      </c>
      <c r="D24" s="352">
        <f>B24+C24</f>
        <v>23341024.43</v>
      </c>
      <c r="E24" s="352">
        <v>3341024.43</v>
      </c>
      <c r="F24" s="352">
        <v>3341024.43</v>
      </c>
      <c r="G24" s="352">
        <f>+D24-E24</f>
        <v>20000000</v>
      </c>
    </row>
    <row r="25" spans="1:7" s="347" customFormat="1" ht="25.5" x14ac:dyDescent="0.2">
      <c r="A25" s="351" t="s">
        <v>324</v>
      </c>
      <c r="B25" s="352">
        <v>74929766</v>
      </c>
      <c r="C25" s="352">
        <v>28053733.07</v>
      </c>
      <c r="D25" s="352">
        <f>B25+C25</f>
        <v>102983499.06999999</v>
      </c>
      <c r="E25" s="352">
        <v>28053733.07</v>
      </c>
      <c r="F25" s="352">
        <v>28053733.07</v>
      </c>
      <c r="G25" s="352">
        <f>+D25-E25</f>
        <v>74929766</v>
      </c>
    </row>
    <row r="26" spans="1:7" s="347" customFormat="1" ht="25.5" x14ac:dyDescent="0.2">
      <c r="A26" s="351" t="s">
        <v>323</v>
      </c>
      <c r="B26" s="352">
        <v>50175552.999999985</v>
      </c>
      <c r="C26" s="352">
        <v>78139.600000000006</v>
      </c>
      <c r="D26" s="352">
        <f>B26+C26</f>
        <v>50253692.599999987</v>
      </c>
      <c r="E26" s="352">
        <v>78139.600000000006</v>
      </c>
      <c r="F26" s="352">
        <v>78139.600000000006</v>
      </c>
      <c r="G26" s="352">
        <f>+D26-E26</f>
        <v>50175552.999999985</v>
      </c>
    </row>
    <row r="27" spans="1:7" s="347" customFormat="1" ht="12.75" x14ac:dyDescent="0.2">
      <c r="A27" s="351" t="s">
        <v>333</v>
      </c>
      <c r="B27" s="348"/>
      <c r="C27" s="348"/>
      <c r="D27" s="348">
        <f>B27+C27</f>
        <v>0</v>
      </c>
      <c r="E27" s="348"/>
      <c r="F27" s="348"/>
      <c r="G27" s="348">
        <f>+D27-E27</f>
        <v>0</v>
      </c>
    </row>
    <row r="28" spans="1:7" s="347" customFormat="1" ht="12.75" x14ac:dyDescent="0.2">
      <c r="A28" s="351" t="s">
        <v>322</v>
      </c>
      <c r="B28" s="348"/>
      <c r="C28" s="348"/>
      <c r="D28" s="348">
        <f>B28+C28</f>
        <v>0</v>
      </c>
      <c r="E28" s="348"/>
      <c r="F28" s="348"/>
      <c r="G28" s="348">
        <f>+D28-E28</f>
        <v>0</v>
      </c>
    </row>
    <row r="29" spans="1:7" s="347" customFormat="1" ht="25.5" x14ac:dyDescent="0.2">
      <c r="A29" s="351" t="s">
        <v>332</v>
      </c>
      <c r="B29" s="348"/>
      <c r="C29" s="348"/>
      <c r="D29" s="348">
        <f>B29+C29</f>
        <v>0</v>
      </c>
      <c r="E29" s="348"/>
      <c r="F29" s="348"/>
      <c r="G29" s="348">
        <f>+D29-E29</f>
        <v>0</v>
      </c>
    </row>
    <row r="30" spans="1:7" s="347" customFormat="1" ht="12.75" x14ac:dyDescent="0.2">
      <c r="A30" s="351" t="s">
        <v>319</v>
      </c>
      <c r="B30" s="348"/>
      <c r="C30" s="348"/>
      <c r="D30" s="348">
        <f>B30+C30</f>
        <v>0</v>
      </c>
      <c r="E30" s="348"/>
      <c r="F30" s="348"/>
      <c r="G30" s="348">
        <f>+D30-E30</f>
        <v>0</v>
      </c>
    </row>
    <row r="31" spans="1:7" s="347" customFormat="1" ht="12.75" x14ac:dyDescent="0.2">
      <c r="A31" s="350"/>
      <c r="B31" s="348"/>
      <c r="C31" s="348"/>
      <c r="D31" s="348"/>
      <c r="E31" s="348"/>
      <c r="F31" s="348"/>
      <c r="G31" s="348"/>
    </row>
    <row r="32" spans="1:7" s="347" customFormat="1" ht="12.75" x14ac:dyDescent="0.2">
      <c r="A32" s="349" t="s">
        <v>214</v>
      </c>
      <c r="B32" s="348">
        <f>+B9+B21</f>
        <v>788280901.10075891</v>
      </c>
      <c r="C32" s="348">
        <f>+C9+C21</f>
        <v>299229370.53629881</v>
      </c>
      <c r="D32" s="348">
        <f>+D9+D21</f>
        <v>1087510271.6370578</v>
      </c>
      <c r="E32" s="348">
        <f>+E9+E21</f>
        <v>646764162.72100043</v>
      </c>
      <c r="F32" s="348">
        <f>+F9+F21</f>
        <v>606147018.66999996</v>
      </c>
      <c r="G32" s="348">
        <f>+G9+G21</f>
        <v>440746108.91605735</v>
      </c>
    </row>
    <row r="33" spans="1:7" ht="15.75" thickBot="1" x14ac:dyDescent="0.3">
      <c r="A33" s="346"/>
      <c r="B33" s="345"/>
      <c r="C33" s="345"/>
      <c r="D33" s="345"/>
      <c r="E33" s="345"/>
      <c r="F33" s="345"/>
      <c r="G33" s="345"/>
    </row>
    <row r="34" spans="1:7" x14ac:dyDescent="0.25">
      <c r="B34" s="344"/>
      <c r="C34" s="344"/>
      <c r="D34" s="344"/>
      <c r="E34" s="344"/>
      <c r="F34" s="344"/>
      <c r="G34" s="344"/>
    </row>
    <row r="35" spans="1:7" x14ac:dyDescent="0.25">
      <c r="B35" s="343"/>
      <c r="C35" s="343"/>
      <c r="D35" s="343"/>
      <c r="E35" s="343"/>
      <c r="F35" s="343"/>
      <c r="G35" s="34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35433070866141736" bottom="0.35433070866141736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249A2-84FE-4198-8097-06552C35A8DB}">
  <sheetPr>
    <pageSetUpPr fitToPage="1"/>
  </sheetPr>
  <dimension ref="A1:H21"/>
  <sheetViews>
    <sheetView view="pageBreakPreview" zoomScaleSheetLayoutView="100" workbookViewId="0">
      <selection activeCell="G19" sqref="G19"/>
    </sheetView>
  </sheetViews>
  <sheetFormatPr baseColWidth="10" defaultColWidth="11.28515625" defaultRowHeight="16.5" x14ac:dyDescent="0.25"/>
  <cols>
    <col min="1" max="1" width="39.85546875" style="1" customWidth="1"/>
    <col min="2" max="7" width="13.7109375" style="1" customWidth="1"/>
    <col min="8" max="16384" width="11.28515625" style="1"/>
  </cols>
  <sheetData>
    <row r="1" spans="1:8" x14ac:dyDescent="0.25">
      <c r="A1" s="106" t="str">
        <f>'[1]ETCA-I-01'!A1:G1</f>
        <v xml:space="preserve">Comision Estatal del Agua </v>
      </c>
      <c r="B1" s="106"/>
      <c r="C1" s="106"/>
      <c r="D1" s="106"/>
      <c r="E1" s="106"/>
      <c r="F1" s="106"/>
      <c r="G1" s="106"/>
    </row>
    <row r="2" spans="1:8" s="26" customFormat="1" x14ac:dyDescent="0.25">
      <c r="A2" s="106" t="s">
        <v>213</v>
      </c>
      <c r="B2" s="106"/>
      <c r="C2" s="106"/>
      <c r="D2" s="106"/>
      <c r="E2" s="106"/>
      <c r="F2" s="106"/>
      <c r="G2" s="106"/>
    </row>
    <row r="3" spans="1:8" s="26" customFormat="1" x14ac:dyDescent="0.25">
      <c r="A3" s="383" t="s">
        <v>345</v>
      </c>
      <c r="B3" s="383"/>
      <c r="C3" s="383"/>
      <c r="D3" s="383"/>
      <c r="E3" s="383"/>
      <c r="F3" s="383"/>
      <c r="G3" s="383"/>
    </row>
    <row r="4" spans="1:8" s="26" customFormat="1" x14ac:dyDescent="0.25">
      <c r="A4" s="105" t="str">
        <f>'[1]ETCA-I-03'!A3:D3</f>
        <v>Del 01 de Enero  al 31 de Diciembre de 2021</v>
      </c>
      <c r="B4" s="105"/>
      <c r="C4" s="105"/>
      <c r="D4" s="105"/>
      <c r="E4" s="105"/>
      <c r="F4" s="105"/>
      <c r="G4" s="105"/>
    </row>
    <row r="5" spans="1:8" s="26" customFormat="1" ht="17.25" thickBot="1" x14ac:dyDescent="0.3">
      <c r="A5" s="254" t="s">
        <v>346</v>
      </c>
      <c r="B5" s="254"/>
      <c r="C5" s="254"/>
      <c r="D5" s="254"/>
      <c r="E5" s="254"/>
      <c r="F5" s="100"/>
      <c r="G5" s="382"/>
    </row>
    <row r="6" spans="1:8" s="340" customFormat="1" ht="53.25" customHeight="1" x14ac:dyDescent="0.25">
      <c r="A6" s="381" t="s">
        <v>345</v>
      </c>
      <c r="B6" s="380" t="s">
        <v>209</v>
      </c>
      <c r="C6" s="380" t="s">
        <v>109</v>
      </c>
      <c r="D6" s="380" t="s">
        <v>208</v>
      </c>
      <c r="E6" s="380" t="s">
        <v>207</v>
      </c>
      <c r="F6" s="380" t="s">
        <v>206</v>
      </c>
      <c r="G6" s="379" t="s">
        <v>205</v>
      </c>
    </row>
    <row r="7" spans="1:8" s="377" customFormat="1" ht="15.75" customHeight="1" thickBot="1" x14ac:dyDescent="0.3">
      <c r="A7" s="378"/>
      <c r="B7" s="338" t="s">
        <v>26</v>
      </c>
      <c r="C7" s="338" t="s">
        <v>25</v>
      </c>
      <c r="D7" s="338" t="s">
        <v>204</v>
      </c>
      <c r="E7" s="338" t="s">
        <v>23</v>
      </c>
      <c r="F7" s="338" t="s">
        <v>22</v>
      </c>
      <c r="G7" s="337" t="s">
        <v>203</v>
      </c>
    </row>
    <row r="8" spans="1:8" ht="30" customHeight="1" x14ac:dyDescent="0.25">
      <c r="A8" s="376"/>
      <c r="B8" s="375"/>
      <c r="C8" s="375"/>
      <c r="D8" s="375"/>
      <c r="E8" s="375"/>
      <c r="F8" s="375"/>
      <c r="G8" s="374"/>
    </row>
    <row r="9" spans="1:8" ht="30" customHeight="1" x14ac:dyDescent="0.25">
      <c r="A9" s="315" t="s">
        <v>344</v>
      </c>
      <c r="B9" s="239">
        <v>788280901.10075855</v>
      </c>
      <c r="C9" s="239">
        <v>299229370.54000002</v>
      </c>
      <c r="D9" s="240">
        <f>B9+C9</f>
        <v>1087510271.6407585</v>
      </c>
      <c r="E9" s="239">
        <v>646816362.72000003</v>
      </c>
      <c r="F9" s="239">
        <v>606147018.67000008</v>
      </c>
      <c r="G9" s="238">
        <f>D9-E9</f>
        <v>440693908.92075849</v>
      </c>
    </row>
    <row r="10" spans="1:8" ht="30" customHeight="1" x14ac:dyDescent="0.25">
      <c r="A10" s="315" t="s">
        <v>343</v>
      </c>
      <c r="B10" s="239"/>
      <c r="C10" s="239"/>
      <c r="D10" s="240">
        <f>B10+C10</f>
        <v>0</v>
      </c>
      <c r="E10" s="239"/>
      <c r="F10" s="239"/>
      <c r="G10" s="238">
        <f>D10-E10</f>
        <v>0</v>
      </c>
    </row>
    <row r="11" spans="1:8" ht="30" customHeight="1" x14ac:dyDescent="0.25">
      <c r="A11" s="315" t="s">
        <v>342</v>
      </c>
      <c r="B11" s="239"/>
      <c r="C11" s="239"/>
      <c r="D11" s="240">
        <f>B11+C11</f>
        <v>0</v>
      </c>
      <c r="E11" s="239"/>
      <c r="F11" s="239"/>
      <c r="G11" s="238">
        <f>D11-E11</f>
        <v>0</v>
      </c>
    </row>
    <row r="12" spans="1:8" ht="30" customHeight="1" x14ac:dyDescent="0.25">
      <c r="A12" s="315" t="s">
        <v>341</v>
      </c>
      <c r="B12" s="239"/>
      <c r="C12" s="239"/>
      <c r="D12" s="240">
        <f>B12+C12</f>
        <v>0</v>
      </c>
      <c r="E12" s="239"/>
      <c r="F12" s="239"/>
      <c r="G12" s="238">
        <f>D12-E12</f>
        <v>0</v>
      </c>
    </row>
    <row r="13" spans="1:8" ht="30" customHeight="1" thickBot="1" x14ac:dyDescent="0.3">
      <c r="A13" s="373"/>
      <c r="B13" s="236"/>
      <c r="C13" s="236"/>
      <c r="D13" s="236"/>
      <c r="E13" s="236"/>
      <c r="F13" s="236"/>
      <c r="G13" s="234"/>
    </row>
    <row r="14" spans="1:8" s="340" customFormat="1" ht="30" customHeight="1" thickBot="1" x14ac:dyDescent="0.3">
      <c r="A14" s="307" t="s">
        <v>130</v>
      </c>
      <c r="B14" s="372">
        <v>788280901.10075855</v>
      </c>
      <c r="C14" s="372">
        <v>299229370.54000002</v>
      </c>
      <c r="D14" s="372">
        <v>1087510271.6407583</v>
      </c>
      <c r="E14" s="372">
        <v>646764162.72000003</v>
      </c>
      <c r="F14" s="372">
        <v>606147018.67000008</v>
      </c>
      <c r="G14" s="371">
        <v>440746108.92075849</v>
      </c>
      <c r="H14" s="107" t="str">
        <f>IF((B14-'ETCA II-04'!B80)&gt;0.9,"ERROR!!!!! EL MONTO NO COINCIDE CON LO REPORTADO EN EL FORMATO ETCA-II-04 EN EL TOTAL APROBADO ANUAL DEL ANALÍTICO DE EGRESOS","")</f>
        <v/>
      </c>
    </row>
    <row r="15" spans="1:8" s="340" customFormat="1" ht="30" customHeight="1" x14ac:dyDescent="0.25">
      <c r="A15" s="303"/>
      <c r="B15" s="229"/>
      <c r="C15" s="229"/>
      <c r="D15" s="229"/>
      <c r="E15" s="229"/>
      <c r="F15" s="229"/>
      <c r="G15" s="229"/>
      <c r="H15" s="107" t="str">
        <f>IF((C14-'ETCA II-04'!C80)&gt;0.9,"ERROR!!!!! EL MONTO NO COINCIDE CON LO REPORTADO EN EL FORMATO ETCA-II-04 EN EL TOTAL AMPLIACIONES/REDUCCIONES ANUAL DEL ANALÍTICO DE EGRESOS","")</f>
        <v/>
      </c>
    </row>
    <row r="16" spans="1:8" s="340" customFormat="1" ht="30" customHeight="1" x14ac:dyDescent="0.25">
      <c r="A16" s="303"/>
      <c r="B16" s="229"/>
      <c r="C16" s="229"/>
      <c r="D16" s="229"/>
      <c r="E16" s="229"/>
      <c r="F16" s="229"/>
      <c r="G16" s="229"/>
      <c r="H16" s="107" t="str">
        <f>IF((D14-'ETCA II-04'!D80)&gt;0.9,"ERROR!!!!! EL MONTO NO COINCIDE CON LO REPORTADO EN EL FORMATO ETCA-II-04 EN EL TOTAL MODIFICADO ANUAL DEL ANALÍTICO DE EGRESOS","")</f>
        <v/>
      </c>
    </row>
    <row r="17" spans="1:8" s="340" customFormat="1" ht="18" customHeight="1" x14ac:dyDescent="0.25">
      <c r="A17" s="303"/>
      <c r="B17" s="229"/>
      <c r="C17" s="229"/>
      <c r="D17" s="229"/>
      <c r="E17" s="229"/>
      <c r="F17" s="229"/>
      <c r="G17" s="229"/>
      <c r="H17" s="107" t="str">
        <f>IF((E14-'ETCA II-04'!E80)&gt;0.9,"ERROR!!!!! EL MONTO NO COINCIDE CON LO REPORTADO EN EL FORMATO ETCA-II-04 EN EL TOTAL DEVENGADO ANUAL DEL ANALÍTICO DE EGRESOS","")</f>
        <v/>
      </c>
    </row>
    <row r="18" spans="1:8" s="340" customFormat="1" ht="18" customHeight="1" x14ac:dyDescent="0.25">
      <c r="A18" s="303"/>
      <c r="B18" s="229"/>
      <c r="C18" s="229"/>
      <c r="D18" s="229"/>
      <c r="E18" s="229"/>
      <c r="F18" s="229"/>
      <c r="G18" s="229"/>
      <c r="H18" s="107" t="str">
        <f>IF((F14-'ETCA II-04'!F80)&gt;0.9,"ERROR!!!!! EL MONTO NO COINCIDE CON LO REPORTADO EN EL FORMATO ETCA-II-04 EN EL TOTAL PAGADO ANUAL DEL ANALÍTICO DE EGRESOS","")</f>
        <v/>
      </c>
    </row>
    <row r="19" spans="1:8" x14ac:dyDescent="0.25">
      <c r="H19" s="107" t="str">
        <f>IF((G14-'ETCA II-04'!G80)&gt;0.9,"ERROR!!!!! EL MONTO NO COINCIDE CON LO REPORTADO EN EL FORMATO ETCA-II-04 EN EL TOTAL SUBEJERCICIO ANUAL DEL ANALÍTICO DE EGRESOS","")</f>
        <v/>
      </c>
    </row>
    <row r="20" spans="1:8" x14ac:dyDescent="0.25">
      <c r="H20" s="107" t="str">
        <f>IF((B20-'ETCA II-04'!B86)&gt;0.9,"ERROR!!!!! EL MONTO NO COINCIDE CON LO REPORTADO EN EL FORMATO ETCA-II-04 EN EL TOTAL APROBADO ANUAL DEL ANALÍTICO DE EGRESOS","")</f>
        <v/>
      </c>
    </row>
    <row r="21" spans="1:8" x14ac:dyDescent="0.25">
      <c r="H21" s="107" t="str">
        <f>IF(G14&lt;&gt;'ETCA II-04'!G80,"ERROR!!!!! EL MONTO NO COINCIDE CON LO REPORTADO EN EL FORMATO ETCA-II-04 EN EL TOTAL SUBEJERCICIO PRESENTADO EN EL ANALÍTICO DE EGRESOS","")</f>
        <v/>
      </c>
    </row>
  </sheetData>
  <sheetProtection formatColumns="0" formatRows="0" insertHyperlinks="0"/>
  <mergeCells count="6">
    <mergeCell ref="A6:A7"/>
    <mergeCell ref="A4:G4"/>
    <mergeCell ref="A1:G1"/>
    <mergeCell ref="A2:G2"/>
    <mergeCell ref="A3:G3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ETCA-II-01</vt:lpstr>
      <vt:lpstr>ETCA-II-02</vt:lpstr>
      <vt:lpstr>ETCA-II-03</vt:lpstr>
      <vt:lpstr>ETCA II-04</vt:lpstr>
      <vt:lpstr>ETCA-II-05</vt:lpstr>
      <vt:lpstr>ETCA-II-06</vt:lpstr>
      <vt:lpstr>ETCA-II-07</vt:lpstr>
      <vt:lpstr>ETCA-II-08</vt:lpstr>
      <vt:lpstr>ETCA-II-09</vt:lpstr>
      <vt:lpstr>ETCA-II-10</vt:lpstr>
      <vt:lpstr>ETCA-II-11</vt:lpstr>
      <vt:lpstr>ETCA-II-12</vt:lpstr>
      <vt:lpstr>ETCA-II-13</vt:lpstr>
      <vt:lpstr>ETCA-II-14</vt:lpstr>
      <vt:lpstr>ETCA-II-15</vt:lpstr>
      <vt:lpstr>ETCA-II-16</vt:lpstr>
      <vt:lpstr>ETCA-II-17</vt:lpstr>
      <vt:lpstr>'ETCA-II-01'!Área_de_impresión</vt:lpstr>
      <vt:lpstr>'ETCA-II-02'!Área_de_impresión</vt:lpstr>
      <vt:lpstr>'ETCA-II-03'!Área_de_impresión</vt:lpstr>
      <vt:lpstr>'ETCA-II-05'!Área_de_impresión</vt:lpstr>
      <vt:lpstr>'ETCA-II-06'!Área_de_impresión</vt:lpstr>
      <vt:lpstr>'ETCA-II-07'!Área_de_impresión</vt:lpstr>
      <vt:lpstr>'ETCA-II-08'!Área_de_impresión</vt:lpstr>
      <vt:lpstr>'ETCA-II-09'!Área_de_impresión</vt:lpstr>
      <vt:lpstr>'ETCA-II-10'!Área_de_impresión</vt:lpstr>
      <vt:lpstr>'ETCA-II-11'!Área_de_impresión</vt:lpstr>
      <vt:lpstr>'ETCA-II-12'!Área_de_impresión</vt:lpstr>
      <vt:lpstr>'ETCA-II-13'!Área_de_impresión</vt:lpstr>
      <vt:lpstr>'ETCA-II-14'!Área_de_impresión</vt:lpstr>
      <vt:lpstr>'ETCA-II-15'!Área_de_impresión</vt:lpstr>
      <vt:lpstr>'ETCA-II-16'!Área_de_impresión</vt:lpstr>
      <vt:lpstr>'ETCA-II-17'!Área_de_impresión</vt:lpstr>
      <vt:lpstr>'ETCA-II-01'!Títulos_a_imprimir</vt:lpstr>
      <vt:lpstr>'ETCA-II-02'!Títulos_a_imprimir</vt:lpstr>
      <vt:lpstr>'ETCA-II-12'!Títulos_a_imprimir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Lugo</dc:creator>
  <cp:lastModifiedBy>Valeria Lugo</cp:lastModifiedBy>
  <dcterms:created xsi:type="dcterms:W3CDTF">2024-11-08T19:11:53Z</dcterms:created>
  <dcterms:modified xsi:type="dcterms:W3CDTF">2024-11-08T19:12:18Z</dcterms:modified>
</cp:coreProperties>
</file>