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4.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comments5.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omments6.xml" ContentType="application/vnd.openxmlformats-officedocument.spreadsheetml.comment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InkAnnotation="0" codeName="ThisWorkbook" defaultThemeVersion="124226"/>
  <mc:AlternateContent xmlns:mc="http://schemas.openxmlformats.org/markup-compatibility/2006">
    <mc:Choice Requires="x15">
      <x15ac:absPath xmlns:x15ac="http://schemas.microsoft.com/office/spreadsheetml/2010/11/ac" url="C:\ISMAEL NORZAGARAY\ESCRITORIO\02) PRESUPUESTO 2023\02) CUENTA PUBLICA\CEA\ANUAL\PAG DE INTERNET\"/>
    </mc:Choice>
  </mc:AlternateContent>
  <xr:revisionPtr revIDLastSave="0" documentId="13_ncr:1_{4D31AA2D-D882-4564-8BB9-F4BC0FE2A38D}" xr6:coauthVersionLast="47" xr6:coauthVersionMax="47" xr10:uidLastSave="{00000000-0000-0000-0000-000000000000}"/>
  <bookViews>
    <workbookView xWindow="-120" yWindow="-120" windowWidth="29040" windowHeight="15840" tabRatio="898" firstSheet="28" activeTab="40" xr2:uid="{00000000-000D-0000-FFFF-FFFF00000000}"/>
  </bookViews>
  <sheets>
    <sheet name="Lista  FORMATOS " sheetId="98" r:id="rId1"/>
    <sheet name="CPCA-I-01" sheetId="2" r:id="rId2"/>
    <sheet name="CPCA-I-02" sheetId="51" r:id="rId3"/>
    <sheet name="CPCA-I-03" sheetId="1" r:id="rId4"/>
    <sheet name="CPCA-I-04" sheetId="80" r:id="rId5"/>
    <sheet name="CPCA-I-05" sheetId="74" r:id="rId6"/>
    <sheet name="CPCA-I-06" sheetId="23" r:id="rId7"/>
    <sheet name="CPCA-I-07" sheetId="6" r:id="rId8"/>
    <sheet name="CPCA-I-08" sheetId="75" r:id="rId9"/>
    <sheet name="CPCA-I-09" sheetId="52" r:id="rId10"/>
    <sheet name="CPCA-I-10" sheetId="53" r:id="rId11"/>
    <sheet name="CPCA-I-11" sheetId="26" r:id="rId12"/>
    <sheet name="CPCA-I-12 (NOTAS)" sheetId="13" r:id="rId13"/>
    <sheet name="CPCA-II-01" sheetId="67" r:id="rId14"/>
    <sheet name="CPCA-II-02" sheetId="55" r:id="rId15"/>
    <sheet name="CPCA-II-03" sheetId="96" r:id="rId16"/>
    <sheet name="CPCA-II-04" sheetId="97" r:id="rId17"/>
    <sheet name="CPCA-II-05" sheetId="71" r:id="rId18"/>
    <sheet name="CPCA-II-06" sheetId="37" r:id="rId19"/>
    <sheet name="CPCA-II-07" sheetId="38" r:id="rId20"/>
    <sheet name="CPCA-II-08" sheetId="61" r:id="rId21"/>
    <sheet name="CPCA-II-09" sheetId="44" r:id="rId22"/>
    <sheet name="CPCA-II-10" sheetId="45" r:id="rId23"/>
    <sheet name="CPCA-II-11" sheetId="72" r:id="rId24"/>
    <sheet name="CPCA-II-13" sheetId="50" r:id="rId25"/>
    <sheet name="CPCA-II-12" sheetId="62" r:id="rId26"/>
    <sheet name="CPCA-II-14" sheetId="65" r:id="rId27"/>
    <sheet name="CPCA-II-15" sheetId="24" r:id="rId28"/>
    <sheet name="CPCA-II-16" sheetId="16" r:id="rId29"/>
    <sheet name="CPCA-II-17" sheetId="19" r:id="rId30"/>
    <sheet name="CPCA-III-01" sheetId="42" r:id="rId31"/>
    <sheet name="CPCA-III-03" sheetId="32" r:id="rId32"/>
    <sheet name="ETCA-III-05" sheetId="103" r:id="rId33"/>
    <sheet name="CPCA-IV-06 " sheetId="89" r:id="rId34"/>
    <sheet name="CPCA-IV-01" sheetId="20" r:id="rId35"/>
    <sheet name="CPCA-IV-02" sheetId="54" r:id="rId36"/>
    <sheet name="CPCA-IV-03" sheetId="27" r:id="rId37"/>
    <sheet name="CPCA-IV-04" sheetId="101" r:id="rId38"/>
    <sheet name="CPCA-IV-05" sheetId="99" r:id="rId39"/>
    <sheet name="ANEXO A" sheetId="86" r:id="rId40"/>
    <sheet name="ANEXO C CPCA 2023" sheetId="107" r:id="rId41"/>
    <sheet name="ANEXO MIR" sheetId="104" r:id="rId42"/>
    <sheet name="ANEXO GUIA" sheetId="100" r:id="rId43"/>
  </sheets>
  <externalReferences>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s>
  <definedNames>
    <definedName name="_xlnm._FilterDatabase" localSheetId="40" hidden="1">'ANEXO C CPCA 2023'!$A$3:$V$597</definedName>
    <definedName name="_xlnm._FilterDatabase" localSheetId="1" hidden="1">'CPCA-I-01'!#REF!</definedName>
    <definedName name="_ftn1" localSheetId="3">'CPCA-I-03'!#REF!</definedName>
    <definedName name="_ftn1" localSheetId="33">'CPCA-IV-06 '!$A$43</definedName>
    <definedName name="_ftn2" localSheetId="33">'CPCA-IV-06 '!#REF!</definedName>
    <definedName name="_ftnref1" localSheetId="3">'CPCA-I-03'!#REF!</definedName>
    <definedName name="_ftnref1" localSheetId="33">'CPCA-IV-06 '!#REF!</definedName>
    <definedName name="_ftnref2" localSheetId="33">'CPCA-IV-06 '!#REF!</definedName>
    <definedName name="_Hlk73936802" localSheetId="42">'ANEXO GUIA'!$A$59</definedName>
    <definedName name="_Toc478717399" localSheetId="0">'Lista  FORMATOS '!#REF!</definedName>
    <definedName name="_xlnm.Print_Area" localSheetId="41">'ANEXO MIR'!$A$1:$O$143</definedName>
    <definedName name="_xlnm.Print_Area" localSheetId="1">'CPCA-I-01'!$A$1:$G$58</definedName>
    <definedName name="_xlnm.Print_Area" localSheetId="2">'CPCA-I-02'!$A$1:$G$76</definedName>
    <definedName name="_xlnm.Print_Area" localSheetId="3">'CPCA-I-03'!$A$1:$D$67</definedName>
    <definedName name="_xlnm.Print_Area" localSheetId="4">'CPCA-I-04'!$A$1:$F$47</definedName>
    <definedName name="_xlnm.Print_Area" localSheetId="6">'CPCA-I-06'!$A$1:$D$70</definedName>
    <definedName name="_xlnm.Print_Area" localSheetId="7">'CPCA-I-07'!$A$1:$G$33</definedName>
    <definedName name="_xlnm.Print_Area" localSheetId="8">'CPCA-I-08'!$A$1:$F$47</definedName>
    <definedName name="_xlnm.Print_Area" localSheetId="9">'CPCA-I-09'!$A$1:$I$42</definedName>
    <definedName name="_xlnm.Print_Area" localSheetId="11">'CPCA-I-11'!$A$1:$I$33</definedName>
    <definedName name="_xlnm.Print_Area" localSheetId="12">'CPCA-I-12 (NOTAS)'!$A$1:$J$49</definedName>
    <definedName name="_xlnm.Print_Area" localSheetId="13">'CPCA-II-01'!$A$1:$H$50</definedName>
    <definedName name="_xlnm.Print_Area" localSheetId="14">'CPCA-II-02'!$A$1:$I$86</definedName>
    <definedName name="_xlnm.Print_Area" localSheetId="17">'CPCA-II-05'!$A$1:$H$164</definedName>
    <definedName name="_xlnm.Print_Area" localSheetId="18">'CPCA-II-06'!$A$1:$G$26</definedName>
    <definedName name="_xlnm.Print_Area" localSheetId="19">'CPCA-II-07'!$A$1:$G$37</definedName>
    <definedName name="_xlnm.Print_Area" localSheetId="20">'CPCA-II-08'!$A$1:$G$42</definedName>
    <definedName name="_xlnm.Print_Area" localSheetId="21">'CPCA-II-09'!$A$1:$G$21</definedName>
    <definedName name="_xlnm.Print_Area" localSheetId="22">'CPCA-II-10'!$A$1:$G$27</definedName>
    <definedName name="_xlnm.Print_Area" localSheetId="23">'CPCA-II-11'!$A$1:$G$48</definedName>
    <definedName name="_xlnm.Print_Area" localSheetId="25">'CPCA-II-12'!$A$1:$H$85</definedName>
    <definedName name="_xlnm.Print_Area" localSheetId="24">'CPCA-II-13'!$A$1:$I$436</definedName>
    <definedName name="_xlnm.Print_Area" localSheetId="26">'CPCA-II-14'!$A$1:$G$38</definedName>
    <definedName name="_xlnm.Print_Area" localSheetId="27">'CPCA-II-15'!$A$1:$C$47</definedName>
    <definedName name="_xlnm.Print_Area" localSheetId="28">'CPCA-II-16'!$A$1:$E$36</definedName>
    <definedName name="_xlnm.Print_Area" localSheetId="29">'CPCA-II-17'!$A$1:$D$37</definedName>
    <definedName name="_xlnm.Print_Area" localSheetId="30">'CPCA-III-01'!$A$1:$G$44</definedName>
    <definedName name="_xlnm.Print_Area" localSheetId="31">'CPCA-III-03'!$A$1:$E$155</definedName>
    <definedName name="_xlnm.Print_Area" localSheetId="34">'CPCA-IV-01'!$A$1:$E$31</definedName>
    <definedName name="_xlnm.Print_Area" localSheetId="35">'CPCA-IV-02'!$A$1:$E$92</definedName>
    <definedName name="_xlnm.Print_Area" localSheetId="36">'CPCA-IV-03'!$A$1:$D$28</definedName>
    <definedName name="_xlnm.Print_Area" localSheetId="37">'CPCA-IV-04'!$A$1:$D$2359</definedName>
    <definedName name="_xlnm.Print_Area" localSheetId="38">'CPCA-IV-05'!$A$1:$E$36</definedName>
    <definedName name="_xlnm.Print_Area" localSheetId="32">'ETCA-III-05'!$A$1:$Q$43</definedName>
    <definedName name="_xlnm.Print_Area" localSheetId="0">'Lista  FORMATOS '!$A$1:$C$60</definedName>
    <definedName name="_xlnm.Database" localSheetId="42">#REF!</definedName>
    <definedName name="_xlnm.Database" localSheetId="41">#REF!</definedName>
    <definedName name="_xlnm.Database" localSheetId="11">#REF!</definedName>
    <definedName name="_xlnm.Database" localSheetId="13">#REF!</definedName>
    <definedName name="_xlnm.Database" localSheetId="18">#REF!</definedName>
    <definedName name="_xlnm.Database" localSheetId="19">#REF!</definedName>
    <definedName name="_xlnm.Database" localSheetId="24">#REF!</definedName>
    <definedName name="_xlnm.Database" localSheetId="27">#REF!</definedName>
    <definedName name="_xlnm.Database" localSheetId="29">#REF!</definedName>
    <definedName name="_xlnm.Database" localSheetId="31">#REF!</definedName>
    <definedName name="_xlnm.Database" localSheetId="34">#REF!</definedName>
    <definedName name="_xlnm.Database" localSheetId="36">#REF!</definedName>
    <definedName name="_xlnm.Database" localSheetId="38">#REF!</definedName>
    <definedName name="_xlnm.Database" localSheetId="33">#REF!</definedName>
    <definedName name="_xlnm.Database" localSheetId="0">#REF!</definedName>
    <definedName name="_xlnm.Database">#REF!</definedName>
    <definedName name="OLE_LINK1" localSheetId="39">'ANEXO A'!#REF!</definedName>
    <definedName name="ppto" localSheetId="38">[1]Hoja2!$B$3:$M$95</definedName>
    <definedName name="ppto">[2]Hoja2!$B$3:$M$95</definedName>
    <definedName name="qw" localSheetId="42">#REF!</definedName>
    <definedName name="qw" localSheetId="41">#REF!</definedName>
    <definedName name="qw" localSheetId="24">#REF!</definedName>
    <definedName name="qw" localSheetId="38">#REF!</definedName>
    <definedName name="qw" localSheetId="33">#REF!</definedName>
    <definedName name="qw" localSheetId="0">#REF!</definedName>
    <definedName name="qw">#REF!</definedName>
    <definedName name="_xlnm.Print_Titles" localSheetId="2">'CPCA-I-02'!$5:$5</definedName>
    <definedName name="_xlnm.Print_Titles" localSheetId="3">'CPCA-I-03'!$2:$4</definedName>
    <definedName name="_xlnm.Print_Titles" localSheetId="13">'CPCA-II-01'!$5:$7</definedName>
    <definedName name="_xlnm.Print_Titles" localSheetId="14">'CPCA-II-02'!$5:$7</definedName>
    <definedName name="_xlnm.Print_Titles" localSheetId="17">'CPCA-II-05'!$6:$7</definedName>
    <definedName name="_xlnm.Print_Titles" localSheetId="25">'CPCA-II-12'!$6:$7</definedName>
    <definedName name="_xlnm.Print_Titles" localSheetId="24">'CPCA-II-13'!$6:$7</definedName>
    <definedName name="_xlnm.Print_Titles" localSheetId="31">'CPCA-III-03'!$1:$9</definedName>
    <definedName name="_xlnm.Print_Titles" localSheetId="37">'CPCA-IV-04'!$1:$7</definedName>
    <definedName name="_xlnm.Print_Titles" localSheetId="33">'CPCA-IV-06 '!$5:$6</definedName>
    <definedName name="_xlnm.Print_Titles" localSheetId="32">'ETCA-III-05'!$7:$8</definedName>
  </definedNames>
  <calcPr calcId="191029"/>
</workbook>
</file>

<file path=xl/calcChain.xml><?xml version="1.0" encoding="utf-8"?>
<calcChain xmlns="http://schemas.openxmlformats.org/spreadsheetml/2006/main">
  <c r="V594" i="107" l="1"/>
  <c r="T594" i="107"/>
  <c r="R594" i="107"/>
  <c r="Q594" i="107"/>
  <c r="R593" i="107"/>
  <c r="R592" i="107"/>
  <c r="R591" i="107"/>
  <c r="U590" i="107"/>
  <c r="R590" i="107"/>
  <c r="R589" i="107"/>
  <c r="R588" i="107"/>
  <c r="R587" i="107"/>
  <c r="R586" i="107"/>
  <c r="R585" i="107"/>
  <c r="R584" i="107"/>
  <c r="R583" i="107"/>
  <c r="R582" i="107"/>
  <c r="R581" i="107"/>
  <c r="R580" i="107"/>
  <c r="R579" i="107"/>
  <c r="R578" i="107"/>
  <c r="U577" i="107"/>
  <c r="R577" i="107"/>
  <c r="Q577" i="107"/>
  <c r="R576" i="107"/>
  <c r="R575" i="107"/>
  <c r="R574" i="107"/>
  <c r="R573" i="107"/>
  <c r="R572" i="107"/>
  <c r="R571" i="107"/>
  <c r="R570" i="107"/>
  <c r="R569" i="107"/>
  <c r="R568" i="107"/>
  <c r="Q567" i="107"/>
  <c r="R567" i="107" s="1"/>
  <c r="R566" i="107"/>
  <c r="R565" i="107"/>
  <c r="R564" i="107"/>
  <c r="R563" i="107"/>
  <c r="R562" i="107"/>
  <c r="R561" i="107"/>
  <c r="R560" i="107"/>
  <c r="S559" i="107"/>
  <c r="Q559" i="107"/>
  <c r="R559" i="107" s="1"/>
  <c r="R558" i="107"/>
  <c r="R557" i="107"/>
  <c r="R556" i="107"/>
  <c r="R555" i="107"/>
  <c r="R554" i="107"/>
  <c r="R553" i="107"/>
  <c r="R552" i="107"/>
  <c r="R551" i="107"/>
  <c r="R550" i="107"/>
  <c r="V549" i="107"/>
  <c r="T549" i="107"/>
  <c r="R549" i="107"/>
  <c r="Q549" i="107"/>
  <c r="Q548" i="107"/>
  <c r="R548" i="107" s="1"/>
  <c r="R547" i="107"/>
  <c r="R546" i="107"/>
  <c r="R545" i="107"/>
  <c r="R544" i="107"/>
  <c r="R543" i="107"/>
  <c r="R542" i="107"/>
  <c r="R541" i="107"/>
  <c r="R540" i="107"/>
  <c r="R539" i="107"/>
  <c r="R538" i="107"/>
  <c r="R537" i="107"/>
  <c r="R536" i="107"/>
  <c r="R535" i="107"/>
  <c r="R534" i="107"/>
  <c r="R533" i="107"/>
  <c r="R532" i="107"/>
  <c r="R531" i="107"/>
  <c r="R530" i="107"/>
  <c r="R529" i="107"/>
  <c r="R528" i="107"/>
  <c r="R527" i="107"/>
  <c r="R526" i="107"/>
  <c r="R525" i="107"/>
  <c r="R524" i="107"/>
  <c r="R523" i="107"/>
  <c r="R522" i="107"/>
  <c r="R521" i="107"/>
  <c r="R520" i="107"/>
  <c r="R519" i="107"/>
  <c r="R518" i="107"/>
  <c r="R517" i="107"/>
  <c r="R516" i="107"/>
  <c r="R515" i="107"/>
  <c r="R514" i="107"/>
  <c r="R513" i="107"/>
  <c r="Q512" i="107"/>
  <c r="R512" i="107" s="1"/>
  <c r="R511" i="107"/>
  <c r="R510" i="107"/>
  <c r="R509" i="107"/>
  <c r="R508" i="107"/>
  <c r="R507" i="107"/>
  <c r="R506" i="107"/>
  <c r="R505" i="107"/>
  <c r="R504" i="107"/>
  <c r="R503" i="107"/>
  <c r="R502" i="107"/>
  <c r="R501" i="107"/>
  <c r="R500" i="107"/>
  <c r="R499" i="107"/>
  <c r="R498" i="107"/>
  <c r="R497" i="107"/>
  <c r="R496" i="107"/>
  <c r="T495" i="107"/>
  <c r="R495" i="107"/>
  <c r="R494" i="107"/>
  <c r="R493" i="107"/>
  <c r="R492" i="107"/>
  <c r="R491" i="107"/>
  <c r="R490" i="107"/>
  <c r="R489" i="107"/>
  <c r="R488" i="107"/>
  <c r="R487" i="107"/>
  <c r="R486" i="107"/>
  <c r="R485" i="107"/>
  <c r="R484" i="107"/>
  <c r="Q483" i="107"/>
  <c r="R483" i="107" s="1"/>
  <c r="R482" i="107"/>
  <c r="R481" i="107"/>
  <c r="R480" i="107"/>
  <c r="R479" i="107"/>
  <c r="R478" i="107"/>
  <c r="R477" i="107"/>
  <c r="R476" i="107"/>
  <c r="R475" i="107"/>
  <c r="R474" i="107"/>
  <c r="R473" i="107"/>
  <c r="R472" i="107"/>
  <c r="R471" i="107"/>
  <c r="R470" i="107"/>
  <c r="R469" i="107"/>
  <c r="R468" i="107"/>
  <c r="T467" i="107"/>
  <c r="R467" i="107"/>
  <c r="R466" i="107"/>
  <c r="R465" i="107"/>
  <c r="Q464" i="107"/>
  <c r="R464" i="107" s="1"/>
  <c r="R463" i="107"/>
  <c r="R462" i="107"/>
  <c r="V461" i="107"/>
  <c r="R461" i="107"/>
  <c r="R460" i="107"/>
  <c r="R459" i="107"/>
  <c r="R458" i="107"/>
  <c r="R457" i="107"/>
  <c r="R456" i="107"/>
  <c r="R455" i="107"/>
  <c r="R454" i="107"/>
  <c r="R453" i="107"/>
  <c r="R452" i="107"/>
  <c r="R451" i="107"/>
  <c r="R450" i="107"/>
  <c r="R449" i="107"/>
  <c r="R448" i="107"/>
  <c r="R447" i="107"/>
  <c r="R446" i="107"/>
  <c r="R445" i="107"/>
  <c r="R444" i="107"/>
  <c r="R443" i="107"/>
  <c r="R442" i="107"/>
  <c r="R441" i="107"/>
  <c r="R440" i="107"/>
  <c r="T439" i="107"/>
  <c r="R439" i="107"/>
  <c r="R438" i="107"/>
  <c r="R437" i="107"/>
  <c r="R436" i="107"/>
  <c r="R435" i="107"/>
  <c r="R434" i="107"/>
  <c r="R433" i="107"/>
  <c r="R432" i="107"/>
  <c r="R431" i="107"/>
  <c r="R430" i="107"/>
  <c r="R429" i="107"/>
  <c r="R428" i="107"/>
  <c r="R427" i="107"/>
  <c r="R426" i="107"/>
  <c r="R425" i="107"/>
  <c r="R424" i="107"/>
  <c r="R423" i="107"/>
  <c r="R422" i="107"/>
  <c r="R421" i="107"/>
  <c r="R420" i="107"/>
  <c r="R419" i="107"/>
  <c r="R418" i="107"/>
  <c r="R417" i="107"/>
  <c r="R416" i="107"/>
  <c r="R415" i="107"/>
  <c r="R414" i="107"/>
  <c r="V413" i="107"/>
  <c r="R413" i="107"/>
  <c r="R412" i="107"/>
  <c r="R411" i="107"/>
  <c r="R410" i="107"/>
  <c r="R409" i="107"/>
  <c r="R408" i="107"/>
  <c r="R407" i="107"/>
  <c r="R406" i="107"/>
  <c r="R405" i="107"/>
  <c r="S404" i="107"/>
  <c r="R404" i="107"/>
  <c r="R403" i="107"/>
  <c r="V402" i="107"/>
  <c r="R402" i="107"/>
  <c r="R401" i="107"/>
  <c r="Q401" i="107"/>
  <c r="R400" i="107"/>
  <c r="R399" i="107"/>
  <c r="R398" i="107"/>
  <c r="R397" i="107"/>
  <c r="R396" i="107"/>
  <c r="R395" i="107"/>
  <c r="R394" i="107"/>
  <c r="R393" i="107"/>
  <c r="R392" i="107"/>
  <c r="R391" i="107"/>
  <c r="R390" i="107"/>
  <c r="R389" i="107"/>
  <c r="R388" i="107"/>
  <c r="R387" i="107"/>
  <c r="R386" i="107"/>
  <c r="R385" i="107"/>
  <c r="R384" i="107"/>
  <c r="R383" i="107"/>
  <c r="R382" i="107"/>
  <c r="R381" i="107"/>
  <c r="R380" i="107"/>
  <c r="R379" i="107"/>
  <c r="R378" i="107"/>
  <c r="R377" i="107"/>
  <c r="R376" i="107"/>
  <c r="R375" i="107"/>
  <c r="R374" i="107"/>
  <c r="V373" i="107"/>
  <c r="R373" i="107"/>
  <c r="R372" i="107"/>
  <c r="R371" i="107"/>
  <c r="R370" i="107"/>
  <c r="R369" i="107"/>
  <c r="R368" i="107"/>
  <c r="R367" i="107"/>
  <c r="R366" i="107"/>
  <c r="R365" i="107"/>
  <c r="R364" i="107"/>
  <c r="R363" i="107"/>
  <c r="R362" i="107"/>
  <c r="R361" i="107"/>
  <c r="R360" i="107"/>
  <c r="R359" i="107"/>
  <c r="R357" i="107"/>
  <c r="R356" i="107"/>
  <c r="R355" i="107"/>
  <c r="T354" i="107"/>
  <c r="R354" i="107"/>
  <c r="R353" i="107"/>
  <c r="R352" i="107"/>
  <c r="R351" i="107"/>
  <c r="T350" i="107"/>
  <c r="R350" i="107"/>
  <c r="R349" i="107"/>
  <c r="R348" i="107"/>
  <c r="R347" i="107"/>
  <c r="R346" i="107"/>
  <c r="R345" i="107"/>
  <c r="V344" i="107"/>
  <c r="R344" i="107"/>
  <c r="R343" i="107"/>
  <c r="R342" i="107"/>
  <c r="R341" i="107"/>
  <c r="V340" i="107"/>
  <c r="U340" i="107"/>
  <c r="T340" i="107"/>
  <c r="S340" i="107"/>
  <c r="S595" i="107" s="1"/>
  <c r="R340" i="107"/>
  <c r="Q339" i="107"/>
  <c r="R339" i="107" s="1"/>
  <c r="R338" i="107"/>
  <c r="R337" i="107"/>
  <c r="R336" i="107"/>
  <c r="R335" i="107"/>
  <c r="R334" i="107"/>
  <c r="R333" i="107"/>
  <c r="S332" i="107"/>
  <c r="Q332" i="107"/>
  <c r="R332" i="107" s="1"/>
  <c r="V331" i="107"/>
  <c r="R331" i="107"/>
  <c r="R330" i="107"/>
  <c r="R329" i="107"/>
  <c r="R328" i="107"/>
  <c r="R327" i="107"/>
  <c r="R326" i="107"/>
  <c r="R325" i="107"/>
  <c r="R324" i="107"/>
  <c r="R323" i="107"/>
  <c r="R322" i="107"/>
  <c r="R321" i="107"/>
  <c r="R320" i="107"/>
  <c r="R319" i="107"/>
  <c r="R318" i="107"/>
  <c r="R317" i="107"/>
  <c r="R316" i="107"/>
  <c r="R315" i="107"/>
  <c r="R314" i="107"/>
  <c r="R313" i="107"/>
  <c r="R312" i="107"/>
  <c r="R311" i="107"/>
  <c r="R310" i="107"/>
  <c r="R309" i="107"/>
  <c r="R308" i="107"/>
  <c r="R307" i="107"/>
  <c r="R306" i="107"/>
  <c r="R305" i="107"/>
  <c r="R304" i="107"/>
  <c r="R303" i="107"/>
  <c r="R302" i="107"/>
  <c r="R301" i="107"/>
  <c r="R300" i="107"/>
  <c r="R299" i="107"/>
  <c r="R298" i="107"/>
  <c r="R297" i="107"/>
  <c r="R296" i="107"/>
  <c r="R295" i="107"/>
  <c r="R294" i="107"/>
  <c r="R293" i="107"/>
  <c r="Q292" i="107"/>
  <c r="R292" i="107" s="1"/>
  <c r="R291" i="107"/>
  <c r="R290" i="107"/>
  <c r="R289" i="107"/>
  <c r="R288" i="107"/>
  <c r="R287" i="107"/>
  <c r="R286" i="107"/>
  <c r="R285" i="107"/>
  <c r="R284" i="107"/>
  <c r="R283" i="107"/>
  <c r="V282" i="107"/>
  <c r="R282" i="107"/>
  <c r="R281" i="107"/>
  <c r="R280" i="107"/>
  <c r="R279" i="107"/>
  <c r="R278" i="107"/>
  <c r="R277" i="107"/>
  <c r="R276" i="107"/>
  <c r="R275" i="107"/>
  <c r="R274" i="107"/>
  <c r="R273" i="107"/>
  <c r="R272" i="107"/>
  <c r="R271" i="107"/>
  <c r="R270" i="107"/>
  <c r="R269" i="107"/>
  <c r="R268" i="107"/>
  <c r="V267" i="107"/>
  <c r="R267" i="107"/>
  <c r="T266" i="107"/>
  <c r="R266" i="107"/>
  <c r="R265" i="107"/>
  <c r="R264" i="107"/>
  <c r="R263" i="107"/>
  <c r="R262" i="107"/>
  <c r="R261" i="107"/>
  <c r="R260" i="107"/>
  <c r="R259" i="107"/>
  <c r="R258" i="107"/>
  <c r="R257" i="107"/>
  <c r="R256" i="107"/>
  <c r="R255" i="107"/>
  <c r="R254" i="107"/>
  <c r="R253" i="107"/>
  <c r="R252" i="107"/>
  <c r="R251" i="107"/>
  <c r="R250" i="107"/>
  <c r="R249" i="107"/>
  <c r="R248" i="107"/>
  <c r="R247" i="107"/>
  <c r="R246" i="107"/>
  <c r="R245" i="107"/>
  <c r="R244" i="107"/>
  <c r="R243" i="107"/>
  <c r="R242" i="107"/>
  <c r="R241" i="107"/>
  <c r="R240" i="107"/>
  <c r="R239" i="107"/>
  <c r="R238" i="107"/>
  <c r="R237" i="107"/>
  <c r="R236" i="107"/>
  <c r="R235" i="107"/>
  <c r="R234" i="107"/>
  <c r="R233" i="107"/>
  <c r="R232" i="107"/>
  <c r="Q231" i="107"/>
  <c r="R231" i="107" s="1"/>
  <c r="R230" i="107"/>
  <c r="R229" i="107"/>
  <c r="R228" i="107"/>
  <c r="Q227" i="107"/>
  <c r="R227" i="107" s="1"/>
  <c r="R226" i="107"/>
  <c r="Q225" i="107"/>
  <c r="R225" i="107" s="1"/>
  <c r="R224" i="107"/>
  <c r="R223" i="107"/>
  <c r="R222" i="107"/>
  <c r="R221" i="107"/>
  <c r="R220" i="107"/>
  <c r="R219" i="107"/>
  <c r="R218" i="107"/>
  <c r="R217" i="107"/>
  <c r="R216" i="107"/>
  <c r="V215" i="107"/>
  <c r="R215" i="107"/>
  <c r="R213" i="107"/>
  <c r="R212" i="107"/>
  <c r="R211" i="107"/>
  <c r="R210" i="107"/>
  <c r="R209" i="107"/>
  <c r="R208" i="107"/>
  <c r="R207" i="107"/>
  <c r="R206" i="107"/>
  <c r="R205" i="107"/>
  <c r="R204" i="107"/>
  <c r="R203" i="107"/>
  <c r="Q203" i="107"/>
  <c r="R202" i="107"/>
  <c r="R201" i="107"/>
  <c r="R200" i="107"/>
  <c r="R199" i="107"/>
  <c r="R198" i="107"/>
  <c r="R197" i="107"/>
  <c r="R196" i="107"/>
  <c r="R195" i="107"/>
  <c r="T194" i="107"/>
  <c r="R194" i="107"/>
  <c r="Q194" i="107"/>
  <c r="R193" i="107"/>
  <c r="R192" i="107"/>
  <c r="R191" i="107"/>
  <c r="R190" i="107"/>
  <c r="R189" i="107"/>
  <c r="V188" i="107"/>
  <c r="Q188" i="107"/>
  <c r="R188" i="107" s="1"/>
  <c r="R187" i="107"/>
  <c r="R186" i="107"/>
  <c r="R185" i="107"/>
  <c r="R184" i="107"/>
  <c r="R183" i="107"/>
  <c r="R182" i="107"/>
  <c r="R181" i="107"/>
  <c r="R180" i="107"/>
  <c r="P179" i="107"/>
  <c r="R179" i="107" s="1"/>
  <c r="R178" i="107"/>
  <c r="R177" i="107"/>
  <c r="R176" i="107"/>
  <c r="R175" i="107"/>
  <c r="R174" i="107"/>
  <c r="R173" i="107"/>
  <c r="Q173" i="107"/>
  <c r="R172" i="107"/>
  <c r="R171" i="107"/>
  <c r="Q171" i="107"/>
  <c r="R170" i="107"/>
  <c r="R169" i="107"/>
  <c r="R168" i="107"/>
  <c r="R167" i="107"/>
  <c r="R166" i="107"/>
  <c r="R165" i="107"/>
  <c r="T164" i="107"/>
  <c r="R164" i="107"/>
  <c r="R163" i="107"/>
  <c r="R162" i="107"/>
  <c r="R161" i="107"/>
  <c r="R160" i="107"/>
  <c r="R159" i="107"/>
  <c r="R158" i="107"/>
  <c r="R157" i="107"/>
  <c r="R156" i="107"/>
  <c r="R155" i="107"/>
  <c r="R154" i="107"/>
  <c r="R153" i="107"/>
  <c r="R152" i="107"/>
  <c r="R151" i="107"/>
  <c r="V150" i="107"/>
  <c r="R150" i="107"/>
  <c r="R149" i="107"/>
  <c r="S148" i="107"/>
  <c r="Q148" i="107"/>
  <c r="R148" i="107" s="1"/>
  <c r="R147" i="107"/>
  <c r="R146" i="107"/>
  <c r="R145" i="107"/>
  <c r="R144" i="107"/>
  <c r="R143" i="107"/>
  <c r="R142" i="107"/>
  <c r="R141" i="107"/>
  <c r="R140" i="107"/>
  <c r="R139" i="107"/>
  <c r="R138" i="107"/>
  <c r="R137" i="107"/>
  <c r="R136" i="107"/>
  <c r="R135" i="107"/>
  <c r="R134" i="107"/>
  <c r="R133" i="107"/>
  <c r="R132" i="107"/>
  <c r="R131" i="107"/>
  <c r="R130" i="107"/>
  <c r="R129" i="107"/>
  <c r="R128" i="107"/>
  <c r="R127" i="107"/>
  <c r="R126" i="107"/>
  <c r="R125" i="107"/>
  <c r="R124" i="107"/>
  <c r="R123" i="107"/>
  <c r="R122" i="107"/>
  <c r="R121" i="107"/>
  <c r="R120" i="107"/>
  <c r="R119" i="107"/>
  <c r="R118" i="107"/>
  <c r="R117" i="107"/>
  <c r="R116" i="107"/>
  <c r="R115" i="107"/>
  <c r="R114" i="107"/>
  <c r="R113" i="107"/>
  <c r="R112" i="107"/>
  <c r="R111" i="107"/>
  <c r="R110" i="107"/>
  <c r="R109" i="107"/>
  <c r="R108" i="107"/>
  <c r="R107" i="107"/>
  <c r="R106" i="107"/>
  <c r="R105" i="107"/>
  <c r="R104" i="107"/>
  <c r="R103" i="107"/>
  <c r="R102" i="107"/>
  <c r="R101" i="107"/>
  <c r="R100" i="107"/>
  <c r="R99" i="107"/>
  <c r="R98" i="107"/>
  <c r="R97" i="107"/>
  <c r="R96" i="107"/>
  <c r="R95" i="107"/>
  <c r="R94" i="107"/>
  <c r="R93" i="107"/>
  <c r="R92" i="107"/>
  <c r="R91" i="107"/>
  <c r="R90" i="107"/>
  <c r="R89" i="107"/>
  <c r="R88" i="107"/>
  <c r="R87" i="107"/>
  <c r="R86" i="107"/>
  <c r="R85" i="107"/>
  <c r="R84" i="107"/>
  <c r="R83" i="107"/>
  <c r="R82" i="107"/>
  <c r="R81" i="107"/>
  <c r="R80" i="107"/>
  <c r="R79" i="107"/>
  <c r="R78" i="107"/>
  <c r="R77" i="107"/>
  <c r="R76" i="107"/>
  <c r="R75" i="107"/>
  <c r="R74" i="107"/>
  <c r="R73" i="107"/>
  <c r="U72" i="107"/>
  <c r="U595" i="107" s="1"/>
  <c r="R72" i="107"/>
  <c r="R71" i="107"/>
  <c r="R70" i="107"/>
  <c r="R69" i="107"/>
  <c r="R68" i="107"/>
  <c r="R67" i="107"/>
  <c r="R66" i="107"/>
  <c r="R65" i="107"/>
  <c r="R64" i="107"/>
  <c r="R63" i="107"/>
  <c r="R62" i="107"/>
  <c r="R61" i="107"/>
  <c r="R60" i="107"/>
  <c r="R59" i="107"/>
  <c r="R58" i="107"/>
  <c r="R57" i="107"/>
  <c r="R56" i="107"/>
  <c r="R55" i="107"/>
  <c r="R54" i="107"/>
  <c r="R53" i="107"/>
  <c r="R52" i="107"/>
  <c r="R51" i="107"/>
  <c r="R50" i="107"/>
  <c r="R49" i="107"/>
  <c r="R48" i="107"/>
  <c r="R47" i="107"/>
  <c r="R46" i="107"/>
  <c r="R45" i="107"/>
  <c r="R44" i="107"/>
  <c r="Q43" i="107"/>
  <c r="R42" i="107"/>
  <c r="R41" i="107"/>
  <c r="R40" i="107"/>
  <c r="R39" i="107"/>
  <c r="R38" i="107"/>
  <c r="R37" i="107"/>
  <c r="R36" i="107"/>
  <c r="R35" i="107"/>
  <c r="R34" i="107"/>
  <c r="V33" i="107"/>
  <c r="R33" i="107"/>
  <c r="R32" i="107"/>
  <c r="R31" i="107"/>
  <c r="R30" i="107"/>
  <c r="R29" i="107"/>
  <c r="R28" i="107"/>
  <c r="R27" i="107"/>
  <c r="R26" i="107"/>
  <c r="V25" i="107"/>
  <c r="R25" i="107"/>
  <c r="R24" i="107"/>
  <c r="R23" i="107"/>
  <c r="R22" i="107"/>
  <c r="R21" i="107"/>
  <c r="R20" i="107"/>
  <c r="R19" i="107"/>
  <c r="R18" i="107"/>
  <c r="R17" i="107"/>
  <c r="R16" i="107"/>
  <c r="R15" i="107"/>
  <c r="R14" i="107"/>
  <c r="R13" i="107"/>
  <c r="R12" i="107"/>
  <c r="R11" i="107"/>
  <c r="R10" i="107"/>
  <c r="R9" i="107"/>
  <c r="T8" i="107"/>
  <c r="T595" i="107" s="1"/>
  <c r="R8" i="107"/>
  <c r="R7" i="107"/>
  <c r="R6" i="107"/>
  <c r="R5" i="107"/>
  <c r="R4" i="107"/>
  <c r="Q595" i="107" l="1"/>
  <c r="V595" i="107"/>
  <c r="P595" i="107"/>
  <c r="R43" i="107"/>
  <c r="R595" i="107" s="1"/>
  <c r="L41" i="103" l="1"/>
  <c r="L39" i="103"/>
  <c r="L37" i="103"/>
  <c r="L35" i="103"/>
  <c r="L33" i="103"/>
  <c r="L29" i="103"/>
  <c r="L27" i="103"/>
  <c r="L25" i="103"/>
  <c r="L23" i="103"/>
  <c r="L21" i="103"/>
  <c r="J19" i="103"/>
  <c r="L19" i="103" s="1"/>
  <c r="L17" i="103"/>
  <c r="J17" i="103"/>
  <c r="L15" i="103"/>
  <c r="I15" i="103"/>
  <c r="J11" i="103"/>
  <c r="K8" i="53" l="1"/>
  <c r="G13" i="61"/>
  <c r="G25" i="61"/>
  <c r="D25" i="61"/>
  <c r="F15" i="61"/>
  <c r="F14" i="61"/>
  <c r="F13" i="61"/>
  <c r="E15" i="61"/>
  <c r="E14" i="61"/>
  <c r="E13" i="61"/>
  <c r="D13" i="61"/>
  <c r="C15" i="61"/>
  <c r="C14" i="61"/>
  <c r="C13" i="61"/>
  <c r="F10" i="38"/>
  <c r="E10" i="38"/>
  <c r="C10" i="38" l="1"/>
  <c r="C12" i="38"/>
  <c r="B34" i="38" l="1"/>
  <c r="Q410" i="50" l="1"/>
  <c r="R410" i="50"/>
  <c r="S410" i="50"/>
  <c r="T410" i="50"/>
  <c r="U410" i="50"/>
  <c r="P410" i="50"/>
  <c r="Q165" i="50"/>
  <c r="R165" i="50"/>
  <c r="S165" i="50"/>
  <c r="T165" i="50"/>
  <c r="U165" i="50"/>
  <c r="P165" i="50"/>
  <c r="K413" i="50" l="1"/>
  <c r="M413" i="50"/>
  <c r="N413" i="50"/>
  <c r="K385" i="50"/>
  <c r="M385" i="50"/>
  <c r="N385" i="50"/>
  <c r="K361" i="50"/>
  <c r="M361" i="50"/>
  <c r="N361" i="50"/>
  <c r="K304" i="50"/>
  <c r="M304" i="50"/>
  <c r="N304" i="50"/>
  <c r="K163" i="50"/>
  <c r="M163" i="50"/>
  <c r="N163" i="50"/>
  <c r="K82" i="50"/>
  <c r="M82" i="50"/>
  <c r="N82" i="50"/>
  <c r="K10" i="50"/>
  <c r="M10" i="50"/>
  <c r="N10" i="50"/>
  <c r="C203" i="89" l="1"/>
  <c r="C136" i="89"/>
  <c r="C135" i="89"/>
  <c r="C134" i="89"/>
  <c r="C133" i="89"/>
  <c r="G426" i="50" l="1"/>
  <c r="F426" i="50"/>
  <c r="D426" i="50"/>
  <c r="G425" i="50"/>
  <c r="F425" i="50"/>
  <c r="D425" i="50"/>
  <c r="E425" i="50" s="1"/>
  <c r="H425" i="50" s="1"/>
  <c r="G424" i="50"/>
  <c r="F424" i="50"/>
  <c r="D424" i="50"/>
  <c r="E424" i="50" s="1"/>
  <c r="E423" i="50"/>
  <c r="C422" i="50"/>
  <c r="E422" i="50" s="1"/>
  <c r="E420" i="50"/>
  <c r="H420" i="50" s="1"/>
  <c r="E419" i="50"/>
  <c r="H419" i="50" s="1"/>
  <c r="C418" i="50"/>
  <c r="C416" i="50"/>
  <c r="E415" i="50"/>
  <c r="H415" i="50" s="1"/>
  <c r="H411" i="50"/>
  <c r="C410" i="50"/>
  <c r="C409" i="50" s="1"/>
  <c r="E406" i="50"/>
  <c r="H406" i="50" s="1"/>
  <c r="C405" i="50"/>
  <c r="E405" i="50" s="1"/>
  <c r="H405" i="50" s="1"/>
  <c r="C403" i="50"/>
  <c r="E403" i="50" s="1"/>
  <c r="H403" i="50" s="1"/>
  <c r="C402" i="50"/>
  <c r="E402" i="50" s="1"/>
  <c r="C401" i="50"/>
  <c r="E401" i="50" s="1"/>
  <c r="C400" i="50"/>
  <c r="E400" i="50" s="1"/>
  <c r="C399" i="50"/>
  <c r="E399" i="50" s="1"/>
  <c r="C398" i="50"/>
  <c r="E398" i="50" s="1"/>
  <c r="C397" i="50"/>
  <c r="E397" i="50" s="1"/>
  <c r="C395" i="50"/>
  <c r="E395" i="50" s="1"/>
  <c r="C394" i="50"/>
  <c r="E394" i="50" s="1"/>
  <c r="C393" i="50"/>
  <c r="E393" i="50" s="1"/>
  <c r="C392" i="50"/>
  <c r="E392" i="50" s="1"/>
  <c r="C391" i="50"/>
  <c r="E391" i="50" s="1"/>
  <c r="C390" i="50"/>
  <c r="E390" i="50" s="1"/>
  <c r="C389" i="50"/>
  <c r="E389" i="50" s="1"/>
  <c r="C388" i="50"/>
  <c r="C387" i="50"/>
  <c r="E387" i="50" s="1"/>
  <c r="C382" i="50"/>
  <c r="E382" i="50" s="1"/>
  <c r="H382" i="50" s="1"/>
  <c r="C381" i="50"/>
  <c r="E381" i="50" s="1"/>
  <c r="C380" i="50"/>
  <c r="E380" i="50" s="1"/>
  <c r="I380" i="50" s="1"/>
  <c r="C379" i="50"/>
  <c r="C376" i="50"/>
  <c r="E376" i="50" s="1"/>
  <c r="C375" i="50"/>
  <c r="E375" i="50" s="1"/>
  <c r="C374" i="50"/>
  <c r="E374" i="50" s="1"/>
  <c r="C373" i="50"/>
  <c r="E373" i="50" s="1"/>
  <c r="C372" i="50"/>
  <c r="E372" i="50" s="1"/>
  <c r="I372" i="50" s="1"/>
  <c r="C371" i="50"/>
  <c r="C370" i="50"/>
  <c r="E370" i="50" s="1"/>
  <c r="I370" i="50" s="1"/>
  <c r="C368" i="50"/>
  <c r="E368" i="50" s="1"/>
  <c r="C367" i="50"/>
  <c r="E367" i="50" s="1"/>
  <c r="C366" i="50"/>
  <c r="E366" i="50" s="1"/>
  <c r="C365" i="50"/>
  <c r="E365" i="50" s="1"/>
  <c r="C364" i="50"/>
  <c r="E363" i="50"/>
  <c r="C357" i="50"/>
  <c r="E357" i="50" s="1"/>
  <c r="E355" i="50"/>
  <c r="C354" i="50"/>
  <c r="E354" i="50" s="1"/>
  <c r="I354" i="50" s="1"/>
  <c r="E352" i="50"/>
  <c r="C351" i="50"/>
  <c r="E351" i="50" s="1"/>
  <c r="E349" i="50"/>
  <c r="E348" i="50"/>
  <c r="I348" i="50" s="1"/>
  <c r="C347" i="50"/>
  <c r="E347" i="50" s="1"/>
  <c r="C346" i="50"/>
  <c r="E346" i="50" s="1"/>
  <c r="E345" i="50"/>
  <c r="E343" i="50"/>
  <c r="I343" i="50" s="1"/>
  <c r="C342" i="50"/>
  <c r="E342" i="50" s="1"/>
  <c r="E341" i="50"/>
  <c r="H341" i="50" s="1"/>
  <c r="C340" i="50"/>
  <c r="E339" i="50"/>
  <c r="C338" i="50"/>
  <c r="E338" i="50" s="1"/>
  <c r="C337" i="50"/>
  <c r="C336" i="50" s="1"/>
  <c r="E336" i="50" s="1"/>
  <c r="C335" i="50"/>
  <c r="C334" i="50" s="1"/>
  <c r="E334" i="50" s="1"/>
  <c r="C332" i="50"/>
  <c r="E332" i="50" s="1"/>
  <c r="H332" i="50" s="1"/>
  <c r="E329" i="50"/>
  <c r="C328" i="50"/>
  <c r="E328" i="50" s="1"/>
  <c r="C327" i="50"/>
  <c r="C326" i="50" s="1"/>
  <c r="E326" i="50" s="1"/>
  <c r="C325" i="50"/>
  <c r="C324" i="50" s="1"/>
  <c r="E324" i="50" s="1"/>
  <c r="E322" i="50"/>
  <c r="C321" i="50"/>
  <c r="E321" i="50" s="1"/>
  <c r="C320" i="50"/>
  <c r="E317" i="50"/>
  <c r="H317" i="50" s="1"/>
  <c r="C316" i="50"/>
  <c r="E315" i="50"/>
  <c r="I315" i="50" s="1"/>
  <c r="C314" i="50"/>
  <c r="E314" i="50" s="1"/>
  <c r="H314" i="50" s="1"/>
  <c r="E312" i="50"/>
  <c r="E311" i="50"/>
  <c r="C311" i="50"/>
  <c r="C310" i="50"/>
  <c r="E308" i="50"/>
  <c r="C307" i="50"/>
  <c r="E307" i="50" s="1"/>
  <c r="C306" i="50"/>
  <c r="E306" i="50" s="1"/>
  <c r="H302" i="50"/>
  <c r="E301" i="50"/>
  <c r="C300" i="50"/>
  <c r="E300" i="50" s="1"/>
  <c r="I300" i="50" s="1"/>
  <c r="E298" i="50"/>
  <c r="C297" i="50"/>
  <c r="E297" i="50" s="1"/>
  <c r="E295" i="50"/>
  <c r="C294" i="50"/>
  <c r="E294" i="50" s="1"/>
  <c r="E293" i="50"/>
  <c r="C292" i="50"/>
  <c r="E290" i="50"/>
  <c r="C289" i="50"/>
  <c r="E288" i="50"/>
  <c r="I288" i="50" s="1"/>
  <c r="C287" i="50"/>
  <c r="E287" i="50" s="1"/>
  <c r="H284" i="50"/>
  <c r="C283" i="50"/>
  <c r="C281" i="50"/>
  <c r="E281" i="50" s="1"/>
  <c r="C279" i="50"/>
  <c r="E279" i="50" s="1"/>
  <c r="C277" i="50"/>
  <c r="C274" i="50"/>
  <c r="E274" i="50" s="1"/>
  <c r="C272" i="50"/>
  <c r="C270" i="50"/>
  <c r="E270" i="50" s="1"/>
  <c r="C269" i="50"/>
  <c r="E269" i="50" s="1"/>
  <c r="C268" i="50"/>
  <c r="E268" i="50" s="1"/>
  <c r="C265" i="50"/>
  <c r="E265" i="50" s="1"/>
  <c r="C263" i="50"/>
  <c r="E263" i="50" s="1"/>
  <c r="C261" i="50"/>
  <c r="C259" i="50"/>
  <c r="E259" i="50" s="1"/>
  <c r="C258" i="50"/>
  <c r="E258" i="50" s="1"/>
  <c r="C256" i="50"/>
  <c r="C254" i="50"/>
  <c r="E254" i="50" s="1"/>
  <c r="C253" i="50"/>
  <c r="C250" i="50"/>
  <c r="E250" i="50" s="1"/>
  <c r="C248" i="50"/>
  <c r="C246" i="50"/>
  <c r="E246" i="50" s="1"/>
  <c r="C244" i="50"/>
  <c r="E244" i="50" s="1"/>
  <c r="C241" i="50"/>
  <c r="C239" i="50"/>
  <c r="E239" i="50" s="1"/>
  <c r="C238" i="50"/>
  <c r="E238" i="50" s="1"/>
  <c r="I238" i="50" s="1"/>
  <c r="C237" i="50"/>
  <c r="C236" i="50"/>
  <c r="E236" i="50" s="1"/>
  <c r="C234" i="50"/>
  <c r="E234" i="50" s="1"/>
  <c r="I234" i="50" s="1"/>
  <c r="C232" i="50"/>
  <c r="E232" i="50" s="1"/>
  <c r="C231" i="50"/>
  <c r="E231" i="50" s="1"/>
  <c r="C229" i="50"/>
  <c r="C227" i="50"/>
  <c r="C224" i="50"/>
  <c r="C223" i="50" s="1"/>
  <c r="E223" i="50" s="1"/>
  <c r="C222" i="50"/>
  <c r="E222" i="50" s="1"/>
  <c r="I222" i="50" s="1"/>
  <c r="C220" i="50"/>
  <c r="E220" i="50" s="1"/>
  <c r="C218" i="50"/>
  <c r="E218" i="50" s="1"/>
  <c r="I218" i="50" s="1"/>
  <c r="C215" i="50"/>
  <c r="C214" i="50"/>
  <c r="E214" i="50" s="1"/>
  <c r="C212" i="50"/>
  <c r="C210" i="50"/>
  <c r="E210" i="50" s="1"/>
  <c r="C209" i="50"/>
  <c r="E209" i="50" s="1"/>
  <c r="C208" i="50"/>
  <c r="E208" i="50" s="1"/>
  <c r="C207" i="50"/>
  <c r="C205" i="50"/>
  <c r="C204" i="50" s="1"/>
  <c r="E204" i="50" s="1"/>
  <c r="C203" i="50"/>
  <c r="E203" i="50" s="1"/>
  <c r="I203" i="50" s="1"/>
  <c r="C201" i="50"/>
  <c r="E201" i="50" s="1"/>
  <c r="C200" i="50"/>
  <c r="E200" i="50" s="1"/>
  <c r="I200" i="50" s="1"/>
  <c r="C198" i="50"/>
  <c r="E198" i="50" s="1"/>
  <c r="C196" i="50"/>
  <c r="C193" i="50"/>
  <c r="C191" i="50"/>
  <c r="C190" i="50" s="1"/>
  <c r="E190" i="50" s="1"/>
  <c r="C189" i="50"/>
  <c r="E189" i="50" s="1"/>
  <c r="I189" i="50" s="1"/>
  <c r="C188" i="50"/>
  <c r="E188" i="50" s="1"/>
  <c r="C187" i="50"/>
  <c r="C186" i="50"/>
  <c r="E186" i="50" s="1"/>
  <c r="C184" i="50"/>
  <c r="C182" i="50"/>
  <c r="C179" i="50"/>
  <c r="C177" i="50"/>
  <c r="C176" i="50" s="1"/>
  <c r="E176" i="50" s="1"/>
  <c r="C175" i="50"/>
  <c r="C174" i="50" s="1"/>
  <c r="E174" i="50" s="1"/>
  <c r="C173" i="50"/>
  <c r="E173" i="50" s="1"/>
  <c r="I173" i="50" s="1"/>
  <c r="C171" i="50"/>
  <c r="C169" i="50"/>
  <c r="E169" i="50" s="1"/>
  <c r="C167" i="50"/>
  <c r="E167" i="50" s="1"/>
  <c r="I167" i="50" s="1"/>
  <c r="C165" i="50"/>
  <c r="C160" i="50"/>
  <c r="C158" i="50"/>
  <c r="C157" i="50" s="1"/>
  <c r="E157" i="50" s="1"/>
  <c r="C156" i="50"/>
  <c r="C154" i="50"/>
  <c r="E154" i="50" s="1"/>
  <c r="I154" i="50" s="1"/>
  <c r="C152" i="50"/>
  <c r="C150" i="50"/>
  <c r="C149" i="50" s="1"/>
  <c r="E149" i="50" s="1"/>
  <c r="C148" i="50"/>
  <c r="C145" i="50"/>
  <c r="C142" i="50"/>
  <c r="E142" i="50" s="1"/>
  <c r="I142" i="50" s="1"/>
  <c r="C140" i="50"/>
  <c r="C137" i="50"/>
  <c r="E137" i="50" s="1"/>
  <c r="C136" i="50"/>
  <c r="C133" i="50"/>
  <c r="C132" i="50" s="1"/>
  <c r="E132" i="50" s="1"/>
  <c r="C131" i="50"/>
  <c r="C129" i="50"/>
  <c r="E129" i="50" s="1"/>
  <c r="C127" i="50"/>
  <c r="C126" i="50" s="1"/>
  <c r="E126" i="50" s="1"/>
  <c r="I126" i="50" s="1"/>
  <c r="C125" i="50"/>
  <c r="E125" i="50" s="1"/>
  <c r="C122" i="50"/>
  <c r="E122" i="50" s="1"/>
  <c r="I122" i="50" s="1"/>
  <c r="C120" i="50"/>
  <c r="C118" i="50"/>
  <c r="E118" i="50" s="1"/>
  <c r="I118" i="50" s="1"/>
  <c r="C116" i="50"/>
  <c r="C114" i="50"/>
  <c r="C113" i="50" s="1"/>
  <c r="E113" i="50" s="1"/>
  <c r="C112" i="50"/>
  <c r="C110" i="50"/>
  <c r="C109" i="50" s="1"/>
  <c r="E109" i="50" s="1"/>
  <c r="C107" i="50"/>
  <c r="E107" i="50" s="1"/>
  <c r="C104" i="50"/>
  <c r="C102" i="50"/>
  <c r="E102" i="50" s="1"/>
  <c r="I102" i="50" s="1"/>
  <c r="C101" i="50"/>
  <c r="E101" i="50" s="1"/>
  <c r="C98" i="50"/>
  <c r="E98" i="50" s="1"/>
  <c r="I98" i="50" s="1"/>
  <c r="C97" i="50"/>
  <c r="E97" i="50" s="1"/>
  <c r="C95" i="50"/>
  <c r="C94" i="50" s="1"/>
  <c r="E94" i="50" s="1"/>
  <c r="I94" i="50" s="1"/>
  <c r="C93" i="50"/>
  <c r="E93" i="50" s="1"/>
  <c r="C91" i="50"/>
  <c r="E91" i="50" s="1"/>
  <c r="I91" i="50" s="1"/>
  <c r="C90" i="50"/>
  <c r="C88" i="50"/>
  <c r="E88" i="50" s="1"/>
  <c r="H88" i="50" s="1"/>
  <c r="C87" i="50"/>
  <c r="E87" i="50" s="1"/>
  <c r="C86" i="50"/>
  <c r="C84" i="50"/>
  <c r="C83" i="50" s="1"/>
  <c r="E83" i="50" s="1"/>
  <c r="C79" i="50"/>
  <c r="E79" i="50" s="1"/>
  <c r="C78" i="50"/>
  <c r="E78" i="50" s="1"/>
  <c r="H78" i="50" s="1"/>
  <c r="C77" i="50"/>
  <c r="C74" i="50"/>
  <c r="E74" i="50" s="1"/>
  <c r="H74" i="50" s="1"/>
  <c r="C71" i="50"/>
  <c r="C69" i="50"/>
  <c r="E69" i="50" s="1"/>
  <c r="H69" i="50" s="1"/>
  <c r="C68" i="50"/>
  <c r="E68" i="50" s="1"/>
  <c r="C67" i="50"/>
  <c r="E67" i="50" s="1"/>
  <c r="C66" i="50"/>
  <c r="E66" i="50" s="1"/>
  <c r="H66" i="50" s="1"/>
  <c r="E65" i="50"/>
  <c r="H65" i="50" s="1"/>
  <c r="C65" i="50"/>
  <c r="C64" i="50"/>
  <c r="E64" i="50" s="1"/>
  <c r="C63" i="50"/>
  <c r="E63" i="50" s="1"/>
  <c r="I62" i="50"/>
  <c r="C62" i="50"/>
  <c r="E62" i="50" s="1"/>
  <c r="H62" i="50" s="1"/>
  <c r="C61" i="50"/>
  <c r="E61" i="50" s="1"/>
  <c r="H61" i="50" s="1"/>
  <c r="C60" i="50"/>
  <c r="E60" i="50" s="1"/>
  <c r="C59" i="50"/>
  <c r="E59" i="50" s="1"/>
  <c r="C58" i="50"/>
  <c r="E58" i="50" s="1"/>
  <c r="C57" i="50"/>
  <c r="E57" i="50" s="1"/>
  <c r="H57" i="50" s="1"/>
  <c r="C56" i="50"/>
  <c r="E56" i="50" s="1"/>
  <c r="C55" i="50"/>
  <c r="C53" i="50"/>
  <c r="E53" i="50" s="1"/>
  <c r="H53" i="50" s="1"/>
  <c r="C52" i="50"/>
  <c r="E52" i="50" s="1"/>
  <c r="C51" i="50"/>
  <c r="C49" i="50"/>
  <c r="C48" i="50" s="1"/>
  <c r="E48" i="50" s="1"/>
  <c r="C46" i="50"/>
  <c r="E46" i="50" s="1"/>
  <c r="H46" i="50" s="1"/>
  <c r="E45" i="50"/>
  <c r="H45" i="50" s="1"/>
  <c r="C45" i="50"/>
  <c r="C44" i="50"/>
  <c r="C43" i="50" s="1"/>
  <c r="E43" i="50" s="1"/>
  <c r="C42" i="50"/>
  <c r="E42" i="50" s="1"/>
  <c r="H42" i="50" s="1"/>
  <c r="C40" i="50"/>
  <c r="E40" i="50" s="1"/>
  <c r="C39" i="50"/>
  <c r="C36" i="50"/>
  <c r="E36" i="50" s="1"/>
  <c r="I36" i="50" s="1"/>
  <c r="C34" i="50"/>
  <c r="E34" i="50" s="1"/>
  <c r="I34" i="50" s="1"/>
  <c r="C32" i="50"/>
  <c r="E32" i="50" s="1"/>
  <c r="H32" i="50" s="1"/>
  <c r="C31" i="50"/>
  <c r="E31" i="50" s="1"/>
  <c r="I31" i="50" s="1"/>
  <c r="C30" i="50"/>
  <c r="E30" i="50" s="1"/>
  <c r="I30" i="50" s="1"/>
  <c r="C29" i="50"/>
  <c r="E29" i="50" s="1"/>
  <c r="H29" i="50" s="1"/>
  <c r="C27" i="50"/>
  <c r="E27" i="50" s="1"/>
  <c r="I27" i="50" s="1"/>
  <c r="C24" i="50"/>
  <c r="E24" i="50" s="1"/>
  <c r="I24" i="50" s="1"/>
  <c r="C23" i="50"/>
  <c r="E23" i="50" s="1"/>
  <c r="I23" i="50" s="1"/>
  <c r="C22" i="50"/>
  <c r="C19" i="50"/>
  <c r="E19" i="50" s="1"/>
  <c r="I19" i="50" s="1"/>
  <c r="C18" i="50"/>
  <c r="E18" i="50" s="1"/>
  <c r="I18" i="50" s="1"/>
  <c r="C17" i="50"/>
  <c r="E17" i="50" s="1"/>
  <c r="H17" i="50" s="1"/>
  <c r="C16" i="50"/>
  <c r="E16" i="50" s="1"/>
  <c r="I16" i="50" s="1"/>
  <c r="C15" i="50"/>
  <c r="E15" i="50" s="1"/>
  <c r="I15" i="50" s="1"/>
  <c r="C14" i="50"/>
  <c r="E14" i="50" s="1"/>
  <c r="I14" i="50" s="1"/>
  <c r="C13" i="50"/>
  <c r="E13" i="50" s="1"/>
  <c r="H13" i="50" s="1"/>
  <c r="C12" i="50"/>
  <c r="E12" i="50" s="1"/>
  <c r="E2119" i="101"/>
  <c r="D2351" i="101"/>
  <c r="D908" i="101"/>
  <c r="D2116" i="101" s="1"/>
  <c r="A3" i="101"/>
  <c r="A1" i="101"/>
  <c r="C185" i="50" l="1"/>
  <c r="E185" i="50" s="1"/>
  <c r="E205" i="50"/>
  <c r="C197" i="50"/>
  <c r="E197" i="50" s="1"/>
  <c r="I197" i="50" s="1"/>
  <c r="C230" i="50"/>
  <c r="E230" i="50" s="1"/>
  <c r="I230" i="50" s="1"/>
  <c r="E191" i="50"/>
  <c r="I191" i="50" s="1"/>
  <c r="C280" i="50"/>
  <c r="E280" i="50" s="1"/>
  <c r="E177" i="50"/>
  <c r="H58" i="50"/>
  <c r="I58" i="50"/>
  <c r="I208" i="50"/>
  <c r="H208" i="50"/>
  <c r="I13" i="50"/>
  <c r="H16" i="50"/>
  <c r="E44" i="50"/>
  <c r="C76" i="50"/>
  <c r="C75" i="50" s="1"/>
  <c r="E75" i="50" s="1"/>
  <c r="E187" i="50"/>
  <c r="I187" i="50" s="1"/>
  <c r="E335" i="50"/>
  <c r="H335" i="50" s="1"/>
  <c r="I66" i="50"/>
  <c r="E84" i="50"/>
  <c r="H84" i="50" s="1"/>
  <c r="E133" i="50"/>
  <c r="H133" i="50" s="1"/>
  <c r="E224" i="50"/>
  <c r="I224" i="50" s="1"/>
  <c r="I78" i="50"/>
  <c r="C264" i="50"/>
  <c r="E264" i="50" s="1"/>
  <c r="H300" i="50"/>
  <c r="C299" i="50"/>
  <c r="E299" i="50" s="1"/>
  <c r="I299" i="50" s="1"/>
  <c r="I341" i="50"/>
  <c r="I29" i="50"/>
  <c r="I32" i="50"/>
  <c r="E49" i="50"/>
  <c r="H49" i="50" s="1"/>
  <c r="E77" i="50"/>
  <c r="I84" i="50"/>
  <c r="C92" i="50"/>
  <c r="E92" i="50" s="1"/>
  <c r="C153" i="50"/>
  <c r="E153" i="50" s="1"/>
  <c r="H153" i="50" s="1"/>
  <c r="E175" i="50"/>
  <c r="I175" i="50" s="1"/>
  <c r="C202" i="50"/>
  <c r="E202" i="50" s="1"/>
  <c r="C221" i="50"/>
  <c r="E221" i="50" s="1"/>
  <c r="I221" i="50" s="1"/>
  <c r="C296" i="50"/>
  <c r="E296" i="50" s="1"/>
  <c r="I296" i="50" s="1"/>
  <c r="I314" i="50"/>
  <c r="E325" i="50"/>
  <c r="I325" i="50" s="1"/>
  <c r="C331" i="50"/>
  <c r="C330" i="50" s="1"/>
  <c r="E330" i="50" s="1"/>
  <c r="H348" i="50"/>
  <c r="E410" i="50"/>
  <c r="C26" i="50"/>
  <c r="E26" i="50" s="1"/>
  <c r="I26" i="50" s="1"/>
  <c r="C33" i="50"/>
  <c r="E33" i="50" s="1"/>
  <c r="H33" i="50" s="1"/>
  <c r="C117" i="50"/>
  <c r="E117" i="50" s="1"/>
  <c r="I117" i="50" s="1"/>
  <c r="C124" i="50"/>
  <c r="C199" i="50"/>
  <c r="E199" i="50" s="1"/>
  <c r="H199" i="50" s="1"/>
  <c r="C262" i="50"/>
  <c r="E262" i="50" s="1"/>
  <c r="I262" i="50" s="1"/>
  <c r="C267" i="50"/>
  <c r="E267" i="50" s="1"/>
  <c r="H267" i="50" s="1"/>
  <c r="C278" i="50"/>
  <c r="E278" i="50" s="1"/>
  <c r="I278" i="50" s="1"/>
  <c r="H424" i="50"/>
  <c r="C166" i="50"/>
  <c r="E166" i="50" s="1"/>
  <c r="I166" i="50" s="1"/>
  <c r="C219" i="50"/>
  <c r="E219" i="50" s="1"/>
  <c r="I219" i="50" s="1"/>
  <c r="C243" i="50"/>
  <c r="E243" i="50" s="1"/>
  <c r="C273" i="50"/>
  <c r="E273" i="50" s="1"/>
  <c r="H40" i="50"/>
  <c r="I40" i="50"/>
  <c r="H60" i="50"/>
  <c r="I60" i="50"/>
  <c r="H68" i="50"/>
  <c r="I68" i="50"/>
  <c r="H83" i="50"/>
  <c r="I83" i="50"/>
  <c r="H64" i="50"/>
  <c r="I64" i="50"/>
  <c r="H52" i="50"/>
  <c r="I52" i="50"/>
  <c r="H56" i="50"/>
  <c r="I56" i="50"/>
  <c r="H75" i="50"/>
  <c r="I75" i="50"/>
  <c r="E55" i="50"/>
  <c r="C54" i="50"/>
  <c r="E54" i="50" s="1"/>
  <c r="E71" i="50"/>
  <c r="C70" i="50"/>
  <c r="E70" i="50" s="1"/>
  <c r="H87" i="50"/>
  <c r="I87" i="50"/>
  <c r="H265" i="50"/>
  <c r="I265" i="50"/>
  <c r="H281" i="50"/>
  <c r="I281" i="50"/>
  <c r="C291" i="50"/>
  <c r="E291" i="50" s="1"/>
  <c r="H291" i="50" s="1"/>
  <c r="E292" i="50"/>
  <c r="I292" i="50" s="1"/>
  <c r="E331" i="50"/>
  <c r="I345" i="50"/>
  <c r="H345" i="50"/>
  <c r="I352" i="50"/>
  <c r="H352" i="50"/>
  <c r="I357" i="50"/>
  <c r="H357" i="50"/>
  <c r="H381" i="50"/>
  <c r="I381" i="50"/>
  <c r="I42" i="50"/>
  <c r="I46" i="50"/>
  <c r="E51" i="50"/>
  <c r="C50" i="50"/>
  <c r="I57" i="50"/>
  <c r="H59" i="50"/>
  <c r="I59" i="50"/>
  <c r="H63" i="50"/>
  <c r="I63" i="50"/>
  <c r="H67" i="50"/>
  <c r="I67" i="50"/>
  <c r="E76" i="50"/>
  <c r="E90" i="50"/>
  <c r="C89" i="50"/>
  <c r="E89" i="50" s="1"/>
  <c r="C130" i="50"/>
  <c r="E130" i="50" s="1"/>
  <c r="I130" i="50" s="1"/>
  <c r="E131" i="50"/>
  <c r="I131" i="50" s="1"/>
  <c r="E145" i="50"/>
  <c r="I145" i="50" s="1"/>
  <c r="C144" i="50"/>
  <c r="E144" i="50" s="1"/>
  <c r="E158" i="50"/>
  <c r="I158" i="50" s="1"/>
  <c r="C226" i="50"/>
  <c r="E227" i="50"/>
  <c r="I227" i="50" s="1"/>
  <c r="C282" i="50"/>
  <c r="E282" i="50" s="1"/>
  <c r="H282" i="50" s="1"/>
  <c r="E283" i="50"/>
  <c r="H283" i="50" s="1"/>
  <c r="H321" i="50"/>
  <c r="I321" i="50"/>
  <c r="H363" i="50"/>
  <c r="I363" i="50"/>
  <c r="I376" i="50"/>
  <c r="H376" i="50"/>
  <c r="C417" i="50"/>
  <c r="E417" i="50" s="1"/>
  <c r="H417" i="50" s="1"/>
  <c r="E418" i="50"/>
  <c r="H418" i="50" s="1"/>
  <c r="H44" i="50"/>
  <c r="I44" i="50"/>
  <c r="H48" i="50"/>
  <c r="I48" i="50"/>
  <c r="I201" i="50"/>
  <c r="H201" i="50"/>
  <c r="H43" i="50"/>
  <c r="I43" i="50"/>
  <c r="I53" i="50"/>
  <c r="I61" i="50"/>
  <c r="I65" i="50"/>
  <c r="I69" i="50"/>
  <c r="I74" i="50"/>
  <c r="E86" i="50"/>
  <c r="C85" i="50"/>
  <c r="E85" i="50" s="1"/>
  <c r="C168" i="50"/>
  <c r="E168" i="50" s="1"/>
  <c r="H168" i="50" s="1"/>
  <c r="H173" i="50"/>
  <c r="H197" i="50"/>
  <c r="H273" i="50"/>
  <c r="I273" i="50"/>
  <c r="H298" i="50"/>
  <c r="I298" i="50"/>
  <c r="I339" i="50"/>
  <c r="H339" i="50"/>
  <c r="I347" i="50"/>
  <c r="H347" i="50"/>
  <c r="I355" i="50"/>
  <c r="H355" i="50"/>
  <c r="H12" i="50"/>
  <c r="I12" i="50"/>
  <c r="E22" i="50"/>
  <c r="I22" i="50" s="1"/>
  <c r="C21" i="50"/>
  <c r="E39" i="50"/>
  <c r="C38" i="50"/>
  <c r="I45" i="50"/>
  <c r="H79" i="50"/>
  <c r="I79" i="50"/>
  <c r="I88" i="50"/>
  <c r="C141" i="50"/>
  <c r="E141" i="50" s="1"/>
  <c r="H141" i="50" s="1"/>
  <c r="E165" i="50"/>
  <c r="C164" i="50"/>
  <c r="E164" i="50" s="1"/>
  <c r="E184" i="50"/>
  <c r="C183" i="50"/>
  <c r="E183" i="50" s="1"/>
  <c r="H189" i="50"/>
  <c r="C195" i="50"/>
  <c r="E195" i="50" s="1"/>
  <c r="E196" i="50"/>
  <c r="I196" i="50" s="1"/>
  <c r="H200" i="50"/>
  <c r="C240" i="50"/>
  <c r="E240" i="50" s="1"/>
  <c r="H240" i="50" s="1"/>
  <c r="E241" i="50"/>
  <c r="C245" i="50"/>
  <c r="E245" i="50" s="1"/>
  <c r="H245" i="50" s="1"/>
  <c r="H329" i="50"/>
  <c r="I329" i="50"/>
  <c r="H365" i="50"/>
  <c r="I365" i="50"/>
  <c r="I374" i="50"/>
  <c r="H374" i="50"/>
  <c r="H288" i="50"/>
  <c r="H315" i="50"/>
  <c r="I317" i="50"/>
  <c r="E327" i="50"/>
  <c r="E337" i="50"/>
  <c r="I337" i="50" s="1"/>
  <c r="C356" i="50"/>
  <c r="E356" i="50" s="1"/>
  <c r="H370" i="50"/>
  <c r="H372" i="50"/>
  <c r="H24" i="50"/>
  <c r="C41" i="50"/>
  <c r="E41" i="50" s="1"/>
  <c r="C73" i="50"/>
  <c r="H167" i="50"/>
  <c r="C344" i="50"/>
  <c r="E344" i="50" s="1"/>
  <c r="I344" i="50" s="1"/>
  <c r="H354" i="50"/>
  <c r="I382" i="50"/>
  <c r="I107" i="50"/>
  <c r="H107" i="50"/>
  <c r="C170" i="50"/>
  <c r="E170" i="50" s="1"/>
  <c r="I170" i="50" s="1"/>
  <c r="E171" i="50"/>
  <c r="I171" i="50" s="1"/>
  <c r="I176" i="50"/>
  <c r="H176" i="50"/>
  <c r="C178" i="50"/>
  <c r="E178" i="50" s="1"/>
  <c r="I178" i="50" s="1"/>
  <c r="E179" i="50"/>
  <c r="I179" i="50" s="1"/>
  <c r="I188" i="50"/>
  <c r="H188" i="50"/>
  <c r="I199" i="50"/>
  <c r="I205" i="50"/>
  <c r="H205" i="50"/>
  <c r="E226" i="50"/>
  <c r="I226" i="50" s="1"/>
  <c r="C235" i="50"/>
  <c r="E235" i="50" s="1"/>
  <c r="I235" i="50" s="1"/>
  <c r="E237" i="50"/>
  <c r="E248" i="50"/>
  <c r="I248" i="50" s="1"/>
  <c r="C247" i="50"/>
  <c r="E247" i="50" s="1"/>
  <c r="C252" i="50"/>
  <c r="E253" i="50"/>
  <c r="C260" i="50"/>
  <c r="E260" i="50" s="1"/>
  <c r="H260" i="50" s="1"/>
  <c r="E261" i="50"/>
  <c r="H269" i="50"/>
  <c r="I269" i="50"/>
  <c r="H279" i="50"/>
  <c r="I279" i="50"/>
  <c r="I291" i="50"/>
  <c r="C319" i="50"/>
  <c r="E319" i="50" s="1"/>
  <c r="E320" i="50"/>
  <c r="I320" i="50" s="1"/>
  <c r="I328" i="50"/>
  <c r="H328" i="50"/>
  <c r="C11" i="50"/>
  <c r="E11" i="50" s="1"/>
  <c r="H11" i="50" s="1"/>
  <c r="I17" i="50"/>
  <c r="H36" i="50"/>
  <c r="E95" i="50"/>
  <c r="C106" i="50"/>
  <c r="E110" i="50"/>
  <c r="I110" i="50" s="1"/>
  <c r="E114" i="50"/>
  <c r="C121" i="50"/>
  <c r="E121" i="50" s="1"/>
  <c r="I121" i="50" s="1"/>
  <c r="E127" i="50"/>
  <c r="E150" i="50"/>
  <c r="H196" i="50"/>
  <c r="C206" i="50"/>
  <c r="E206" i="50" s="1"/>
  <c r="E207" i="50"/>
  <c r="I207" i="50" s="1"/>
  <c r="I209" i="50"/>
  <c r="H209" i="50"/>
  <c r="I220" i="50"/>
  <c r="H220" i="50"/>
  <c r="I240" i="50"/>
  <c r="I267" i="50"/>
  <c r="C276" i="50"/>
  <c r="E277" i="50"/>
  <c r="H287" i="50"/>
  <c r="I287" i="50"/>
  <c r="I332" i="50"/>
  <c r="H349" i="50"/>
  <c r="I349" i="50"/>
  <c r="I366" i="50"/>
  <c r="H366" i="50"/>
  <c r="I168" i="50"/>
  <c r="C28" i="50"/>
  <c r="E28" i="50" s="1"/>
  <c r="I169" i="50"/>
  <c r="H169" i="50"/>
  <c r="I177" i="50"/>
  <c r="H177" i="50"/>
  <c r="I185" i="50"/>
  <c r="H185" i="50"/>
  <c r="E193" i="50"/>
  <c r="C192" i="50"/>
  <c r="E192" i="50" s="1"/>
  <c r="I204" i="50"/>
  <c r="H204" i="50"/>
  <c r="H224" i="50"/>
  <c r="E229" i="50"/>
  <c r="C228" i="50"/>
  <c r="E228" i="50" s="1"/>
  <c r="H243" i="50"/>
  <c r="I243" i="50"/>
  <c r="I283" i="50"/>
  <c r="H296" i="50"/>
  <c r="H301" i="50"/>
  <c r="I301" i="50"/>
  <c r="I312" i="50"/>
  <c r="H312" i="50"/>
  <c r="I346" i="50"/>
  <c r="H346" i="50"/>
  <c r="H373" i="50"/>
  <c r="I373" i="50"/>
  <c r="C35" i="50"/>
  <c r="E35" i="50" s="1"/>
  <c r="I35" i="50" s="1"/>
  <c r="H91" i="50"/>
  <c r="C96" i="50"/>
  <c r="E96" i="50" s="1"/>
  <c r="H96" i="50" s="1"/>
  <c r="C100" i="50"/>
  <c r="E100" i="50" s="1"/>
  <c r="C128" i="50"/>
  <c r="E128" i="50" s="1"/>
  <c r="I128" i="50" s="1"/>
  <c r="I165" i="50"/>
  <c r="H165" i="50"/>
  <c r="E182" i="50"/>
  <c r="I182" i="50" s="1"/>
  <c r="C181" i="50"/>
  <c r="C211" i="50"/>
  <c r="E211" i="50" s="1"/>
  <c r="I211" i="50" s="1"/>
  <c r="E212" i="50"/>
  <c r="C213" i="50"/>
  <c r="E213" i="50" s="1"/>
  <c r="E215" i="50"/>
  <c r="I232" i="50"/>
  <c r="H232" i="50"/>
  <c r="I236" i="50"/>
  <c r="H236" i="50"/>
  <c r="E256" i="50"/>
  <c r="I256" i="50" s="1"/>
  <c r="C255" i="50"/>
  <c r="E255" i="50" s="1"/>
  <c r="H259" i="50"/>
  <c r="I259" i="50"/>
  <c r="H263" i="50"/>
  <c r="I263" i="50"/>
  <c r="E272" i="50"/>
  <c r="H272" i="50" s="1"/>
  <c r="C271" i="50"/>
  <c r="E271" i="50" s="1"/>
  <c r="I293" i="50"/>
  <c r="H293" i="50"/>
  <c r="C309" i="50"/>
  <c r="E309" i="50" s="1"/>
  <c r="E310" i="50"/>
  <c r="I310" i="50" s="1"/>
  <c r="I322" i="50"/>
  <c r="H322" i="50"/>
  <c r="I368" i="50"/>
  <c r="H368" i="50"/>
  <c r="C408" i="50"/>
  <c r="E409" i="50"/>
  <c r="H409" i="50" s="1"/>
  <c r="E416" i="50"/>
  <c r="I416" i="50" s="1"/>
  <c r="C414" i="50"/>
  <c r="C413" i="50" s="1"/>
  <c r="C396" i="50"/>
  <c r="E396" i="50" s="1"/>
  <c r="I396" i="50" s="1"/>
  <c r="C172" i="50"/>
  <c r="E172" i="50" s="1"/>
  <c r="C217" i="50"/>
  <c r="C233" i="50"/>
  <c r="E233" i="50" s="1"/>
  <c r="C249" i="50"/>
  <c r="E249" i="50" s="1"/>
  <c r="C257" i="50"/>
  <c r="E257" i="50" s="1"/>
  <c r="H380" i="50"/>
  <c r="C421" i="50"/>
  <c r="E421" i="50" s="1"/>
  <c r="I137" i="50"/>
  <c r="H137" i="50"/>
  <c r="I109" i="50"/>
  <c r="H109" i="50"/>
  <c r="I113" i="50"/>
  <c r="H113" i="50"/>
  <c r="I149" i="50"/>
  <c r="H149" i="50"/>
  <c r="I97" i="50"/>
  <c r="H97" i="50"/>
  <c r="I101" i="50"/>
  <c r="H101" i="50"/>
  <c r="I129" i="50"/>
  <c r="H129" i="50"/>
  <c r="I93" i="50"/>
  <c r="H93" i="50"/>
  <c r="I125" i="50"/>
  <c r="H125" i="50"/>
  <c r="I157" i="50"/>
  <c r="H157" i="50"/>
  <c r="E124" i="50"/>
  <c r="I133" i="50"/>
  <c r="I153" i="50"/>
  <c r="I186" i="50"/>
  <c r="H186" i="50"/>
  <c r="I202" i="50"/>
  <c r="H202" i="50"/>
  <c r="I231" i="50"/>
  <c r="H231" i="50"/>
  <c r="I239" i="50"/>
  <c r="H239" i="50"/>
  <c r="I392" i="50"/>
  <c r="H392" i="50"/>
  <c r="H15" i="50"/>
  <c r="H19" i="50"/>
  <c r="H23" i="50"/>
  <c r="H31" i="50"/>
  <c r="H126" i="50"/>
  <c r="E156" i="50"/>
  <c r="C155" i="50"/>
  <c r="E155" i="50" s="1"/>
  <c r="H166" i="50"/>
  <c r="H179" i="50"/>
  <c r="H295" i="50"/>
  <c r="I295" i="50"/>
  <c r="I336" i="50"/>
  <c r="H336" i="50"/>
  <c r="I338" i="50"/>
  <c r="H338" i="50"/>
  <c r="H351" i="50"/>
  <c r="I351" i="50"/>
  <c r="H14" i="50"/>
  <c r="H22" i="50"/>
  <c r="H26" i="50"/>
  <c r="H30" i="50"/>
  <c r="H34" i="50"/>
  <c r="H98" i="50"/>
  <c r="E116" i="50"/>
  <c r="C115" i="50"/>
  <c r="H122" i="50"/>
  <c r="H130" i="50"/>
  <c r="I132" i="50"/>
  <c r="H132" i="50"/>
  <c r="E140" i="50"/>
  <c r="C139" i="50"/>
  <c r="E152" i="50"/>
  <c r="C151" i="50"/>
  <c r="E151" i="50" s="1"/>
  <c r="H158" i="50"/>
  <c r="H175" i="50"/>
  <c r="H191" i="50"/>
  <c r="I210" i="50"/>
  <c r="H210" i="50"/>
  <c r="H219" i="50"/>
  <c r="H227" i="50"/>
  <c r="H319" i="50"/>
  <c r="I319" i="50"/>
  <c r="I327" i="50"/>
  <c r="H327" i="50"/>
  <c r="H117" i="50"/>
  <c r="E136" i="50"/>
  <c r="C135" i="50"/>
  <c r="I141" i="50"/>
  <c r="E160" i="50"/>
  <c r="C159" i="50"/>
  <c r="E159" i="50" s="1"/>
  <c r="I223" i="50"/>
  <c r="H223" i="50"/>
  <c r="E388" i="50"/>
  <c r="C386" i="50"/>
  <c r="I400" i="50"/>
  <c r="H400" i="50"/>
  <c r="I410" i="50"/>
  <c r="H410" i="50"/>
  <c r="I423" i="50"/>
  <c r="H423" i="50"/>
  <c r="H27" i="50"/>
  <c r="H94" i="50"/>
  <c r="H102" i="50"/>
  <c r="E120" i="50"/>
  <c r="C119" i="50"/>
  <c r="E119" i="50" s="1"/>
  <c r="C143" i="50"/>
  <c r="E143" i="50" s="1"/>
  <c r="I198" i="50"/>
  <c r="H198" i="50"/>
  <c r="I214" i="50"/>
  <c r="H214" i="50"/>
  <c r="H292" i="50"/>
  <c r="I334" i="50"/>
  <c r="H334" i="50"/>
  <c r="H18" i="50"/>
  <c r="E104" i="50"/>
  <c r="C103" i="50"/>
  <c r="E103" i="50" s="1"/>
  <c r="E112" i="50"/>
  <c r="C111" i="50"/>
  <c r="E111" i="50" s="1"/>
  <c r="H118" i="50"/>
  <c r="H142" i="50"/>
  <c r="E148" i="50"/>
  <c r="C147" i="50"/>
  <c r="H154" i="50"/>
  <c r="H171" i="50"/>
  <c r="I174" i="50"/>
  <c r="H174" i="50"/>
  <c r="H187" i="50"/>
  <c r="I190" i="50"/>
  <c r="H190" i="50"/>
  <c r="H203" i="50"/>
  <c r="I206" i="50"/>
  <c r="H206" i="50"/>
  <c r="H248" i="50"/>
  <c r="H256" i="50"/>
  <c r="H264" i="50"/>
  <c r="I264" i="50"/>
  <c r="I272" i="50"/>
  <c r="H280" i="50"/>
  <c r="I280" i="50"/>
  <c r="I307" i="50"/>
  <c r="H307" i="50"/>
  <c r="H274" i="50"/>
  <c r="I274" i="50"/>
  <c r="H218" i="50"/>
  <c r="H222" i="50"/>
  <c r="H234" i="50"/>
  <c r="H238" i="50"/>
  <c r="H244" i="50"/>
  <c r="I244" i="50"/>
  <c r="I260" i="50"/>
  <c r="H268" i="50"/>
  <c r="I268" i="50"/>
  <c r="E289" i="50"/>
  <c r="C286" i="50"/>
  <c r="C305" i="50"/>
  <c r="I326" i="50"/>
  <c r="H326" i="50"/>
  <c r="I335" i="50"/>
  <c r="E379" i="50"/>
  <c r="C378" i="50"/>
  <c r="H250" i="50"/>
  <c r="I250" i="50"/>
  <c r="H258" i="50"/>
  <c r="I258" i="50"/>
  <c r="I282" i="50"/>
  <c r="H297" i="50"/>
  <c r="I297" i="50"/>
  <c r="H308" i="50"/>
  <c r="I308" i="50"/>
  <c r="C10" i="50"/>
  <c r="H246" i="50"/>
  <c r="I246" i="50"/>
  <c r="H254" i="50"/>
  <c r="I254" i="50"/>
  <c r="H270" i="50"/>
  <c r="I270" i="50"/>
  <c r="H278" i="50"/>
  <c r="H290" i="50"/>
  <c r="I290" i="50"/>
  <c r="I294" i="50"/>
  <c r="H294" i="50"/>
  <c r="I306" i="50"/>
  <c r="H306" i="50"/>
  <c r="I324" i="50"/>
  <c r="H324" i="50"/>
  <c r="E371" i="50"/>
  <c r="C369" i="50"/>
  <c r="E369" i="50" s="1"/>
  <c r="I375" i="50"/>
  <c r="H375" i="50"/>
  <c r="H310" i="50"/>
  <c r="E316" i="50"/>
  <c r="C313" i="50"/>
  <c r="E313" i="50" s="1"/>
  <c r="I309" i="50"/>
  <c r="H309" i="50"/>
  <c r="I311" i="50"/>
  <c r="H311" i="50"/>
  <c r="H342" i="50"/>
  <c r="I342" i="50"/>
  <c r="I367" i="50"/>
  <c r="H367" i="50"/>
  <c r="C318" i="50"/>
  <c r="E318" i="50" s="1"/>
  <c r="I389" i="50"/>
  <c r="H389" i="50"/>
  <c r="I393" i="50"/>
  <c r="H393" i="50"/>
  <c r="I397" i="50"/>
  <c r="H397" i="50"/>
  <c r="I401" i="50"/>
  <c r="H401" i="50"/>
  <c r="E340" i="50"/>
  <c r="I390" i="50"/>
  <c r="H390" i="50"/>
  <c r="I394" i="50"/>
  <c r="H394" i="50"/>
  <c r="I398" i="50"/>
  <c r="H398" i="50"/>
  <c r="I402" i="50"/>
  <c r="H402" i="50"/>
  <c r="I421" i="50"/>
  <c r="H421" i="50"/>
  <c r="C323" i="50"/>
  <c r="E323" i="50" s="1"/>
  <c r="H325" i="50"/>
  <c r="H343" i="50"/>
  <c r="C350" i="50"/>
  <c r="E350" i="50" s="1"/>
  <c r="E364" i="50"/>
  <c r="C362" i="50"/>
  <c r="I387" i="50"/>
  <c r="H387" i="50"/>
  <c r="I391" i="50"/>
  <c r="H391" i="50"/>
  <c r="I395" i="50"/>
  <c r="H395" i="50"/>
  <c r="I399" i="50"/>
  <c r="H399" i="50"/>
  <c r="H416" i="50"/>
  <c r="I422" i="50"/>
  <c r="H422" i="50"/>
  <c r="C404" i="50"/>
  <c r="E404" i="50" s="1"/>
  <c r="H404" i="50" s="1"/>
  <c r="G21" i="67"/>
  <c r="F21" i="67"/>
  <c r="I15" i="54"/>
  <c r="H131" i="50" l="1"/>
  <c r="H230" i="50"/>
  <c r="H262" i="50"/>
  <c r="H145" i="50"/>
  <c r="I49" i="50"/>
  <c r="H337" i="50"/>
  <c r="H320" i="50"/>
  <c r="H226" i="50"/>
  <c r="H221" i="50"/>
  <c r="H299" i="50"/>
  <c r="H396" i="50"/>
  <c r="H344" i="50"/>
  <c r="H330" i="50"/>
  <c r="I330" i="50"/>
  <c r="H77" i="50"/>
  <c r="I77" i="50"/>
  <c r="C333" i="50"/>
  <c r="E333" i="50" s="1"/>
  <c r="I333" i="50" s="1"/>
  <c r="E414" i="50"/>
  <c r="I414" i="50" s="1"/>
  <c r="H182" i="50"/>
  <c r="I11" i="50"/>
  <c r="I96" i="50"/>
  <c r="I33" i="50"/>
  <c r="H211" i="50"/>
  <c r="C194" i="50"/>
  <c r="E194" i="50" s="1"/>
  <c r="I194" i="50" s="1"/>
  <c r="I195" i="50"/>
  <c r="H195" i="50"/>
  <c r="H241" i="50"/>
  <c r="I241" i="50"/>
  <c r="E38" i="50"/>
  <c r="C37" i="50"/>
  <c r="E37" i="50" s="1"/>
  <c r="H86" i="50"/>
  <c r="I86" i="50"/>
  <c r="H90" i="50"/>
  <c r="I90" i="50"/>
  <c r="H71" i="50"/>
  <c r="I71" i="50"/>
  <c r="I356" i="50"/>
  <c r="H356" i="50"/>
  <c r="I184" i="50"/>
  <c r="H184" i="50"/>
  <c r="H85" i="50"/>
  <c r="I85" i="50"/>
  <c r="H89" i="50"/>
  <c r="I89" i="50"/>
  <c r="I409" i="50"/>
  <c r="H110" i="50"/>
  <c r="C123" i="50"/>
  <c r="E123" i="50" s="1"/>
  <c r="I123" i="50" s="1"/>
  <c r="I245" i="50"/>
  <c r="H39" i="50"/>
  <c r="I39" i="50"/>
  <c r="H76" i="50"/>
  <c r="I76" i="50"/>
  <c r="E50" i="50"/>
  <c r="C47" i="50"/>
  <c r="E47" i="50" s="1"/>
  <c r="H54" i="50"/>
  <c r="I54" i="50"/>
  <c r="H41" i="50"/>
  <c r="I41" i="50"/>
  <c r="H70" i="50"/>
  <c r="I70" i="50"/>
  <c r="C353" i="50"/>
  <c r="E353" i="50" s="1"/>
  <c r="I353" i="50" s="1"/>
  <c r="E73" i="50"/>
  <c r="C72" i="50"/>
  <c r="E72" i="50" s="1"/>
  <c r="I183" i="50"/>
  <c r="H183" i="50"/>
  <c r="E21" i="50"/>
  <c r="C20" i="50"/>
  <c r="E20" i="50" s="1"/>
  <c r="H51" i="50"/>
  <c r="I51" i="50"/>
  <c r="H331" i="50"/>
  <c r="I331" i="50"/>
  <c r="H55" i="50"/>
  <c r="I55" i="50"/>
  <c r="H257" i="50"/>
  <c r="I257" i="50"/>
  <c r="I172" i="50"/>
  <c r="H172" i="50"/>
  <c r="H271" i="50"/>
  <c r="I271" i="50"/>
  <c r="I215" i="50"/>
  <c r="H215" i="50"/>
  <c r="E181" i="50"/>
  <c r="C180" i="50"/>
  <c r="E180" i="50" s="1"/>
  <c r="I229" i="50"/>
  <c r="H229" i="50"/>
  <c r="I193" i="50"/>
  <c r="H193" i="50"/>
  <c r="C25" i="50"/>
  <c r="E25" i="50" s="1"/>
  <c r="E276" i="50"/>
  <c r="C275" i="50"/>
  <c r="E275" i="50" s="1"/>
  <c r="I164" i="50"/>
  <c r="H164" i="50"/>
  <c r="I95" i="50"/>
  <c r="H95" i="50"/>
  <c r="C266" i="50"/>
  <c r="E266" i="50" s="1"/>
  <c r="E252" i="50"/>
  <c r="C251" i="50"/>
  <c r="E251" i="50" s="1"/>
  <c r="C99" i="50"/>
  <c r="E99" i="50" s="1"/>
  <c r="I99" i="50" s="1"/>
  <c r="H235" i="50"/>
  <c r="H207" i="50"/>
  <c r="H178" i="50"/>
  <c r="H128" i="50"/>
  <c r="H249" i="50"/>
  <c r="I249" i="50"/>
  <c r="C407" i="50"/>
  <c r="E407" i="50" s="1"/>
  <c r="E408" i="50"/>
  <c r="I213" i="50"/>
  <c r="H213" i="50"/>
  <c r="C242" i="50"/>
  <c r="E242" i="50" s="1"/>
  <c r="I150" i="50"/>
  <c r="H150" i="50"/>
  <c r="I114" i="50"/>
  <c r="H114" i="50"/>
  <c r="H261" i="50"/>
  <c r="I261" i="50"/>
  <c r="H247" i="50"/>
  <c r="I247" i="50"/>
  <c r="C225" i="50"/>
  <c r="E225" i="50" s="1"/>
  <c r="C163" i="50"/>
  <c r="I233" i="50"/>
  <c r="H233" i="50"/>
  <c r="H255" i="50"/>
  <c r="I255" i="50"/>
  <c r="I212" i="50"/>
  <c r="H212" i="50"/>
  <c r="H170" i="50"/>
  <c r="H121" i="50"/>
  <c r="C82" i="50"/>
  <c r="E82" i="50" s="1"/>
  <c r="H35" i="50"/>
  <c r="E217" i="50"/>
  <c r="C216" i="50"/>
  <c r="E216" i="50" s="1"/>
  <c r="I228" i="50"/>
  <c r="H228" i="50"/>
  <c r="I192" i="50"/>
  <c r="H192" i="50"/>
  <c r="H28" i="50"/>
  <c r="I28" i="50"/>
  <c r="H277" i="50"/>
  <c r="I277" i="50"/>
  <c r="I127" i="50"/>
  <c r="H127" i="50"/>
  <c r="E106" i="50"/>
  <c r="C105" i="50"/>
  <c r="E105" i="50" s="1"/>
  <c r="H253" i="50"/>
  <c r="I253" i="50"/>
  <c r="I237" i="50"/>
  <c r="H237" i="50"/>
  <c r="C361" i="50"/>
  <c r="E362" i="50"/>
  <c r="H318" i="50"/>
  <c r="I318" i="50"/>
  <c r="I316" i="50"/>
  <c r="H316" i="50"/>
  <c r="E413" i="50"/>
  <c r="C412" i="50"/>
  <c r="J413" i="50" s="1"/>
  <c r="E305" i="50"/>
  <c r="C304" i="50"/>
  <c r="I148" i="50"/>
  <c r="H148" i="50"/>
  <c r="I112" i="50"/>
  <c r="H112" i="50"/>
  <c r="I144" i="50"/>
  <c r="H144" i="50"/>
  <c r="E386" i="50"/>
  <c r="C385" i="50"/>
  <c r="I159" i="50"/>
  <c r="H159" i="50"/>
  <c r="E135" i="50"/>
  <c r="C134" i="50"/>
  <c r="E134" i="50" s="1"/>
  <c r="I151" i="50"/>
  <c r="H151" i="50"/>
  <c r="E115" i="50"/>
  <c r="C108" i="50"/>
  <c r="E108" i="50" s="1"/>
  <c r="I124" i="50"/>
  <c r="H124" i="50"/>
  <c r="I364" i="50"/>
  <c r="H364" i="50"/>
  <c r="H369" i="50"/>
  <c r="I369" i="50"/>
  <c r="E10" i="50"/>
  <c r="H414" i="50"/>
  <c r="E286" i="50"/>
  <c r="C285" i="50"/>
  <c r="E285" i="50" s="1"/>
  <c r="H285" i="50" s="1"/>
  <c r="I103" i="50"/>
  <c r="H103" i="50"/>
  <c r="I119" i="50"/>
  <c r="H119" i="50"/>
  <c r="I388" i="50"/>
  <c r="H388" i="50"/>
  <c r="I160" i="50"/>
  <c r="H160" i="50"/>
  <c r="I136" i="50"/>
  <c r="H136" i="50"/>
  <c r="I100" i="50"/>
  <c r="H100" i="50"/>
  <c r="I152" i="50"/>
  <c r="H152" i="50"/>
  <c r="I116" i="50"/>
  <c r="H116" i="50"/>
  <c r="H353" i="50"/>
  <c r="I323" i="50"/>
  <c r="H323" i="50"/>
  <c r="I371" i="50"/>
  <c r="H371" i="50"/>
  <c r="E378" i="50"/>
  <c r="C377" i="50"/>
  <c r="E377" i="50" s="1"/>
  <c r="I289" i="50"/>
  <c r="H289" i="50"/>
  <c r="I104" i="50"/>
  <c r="H104" i="50"/>
  <c r="I120" i="50"/>
  <c r="H120" i="50"/>
  <c r="E139" i="50"/>
  <c r="C138" i="50"/>
  <c r="E138" i="50" s="1"/>
  <c r="I155" i="50"/>
  <c r="H155" i="50"/>
  <c r="H350" i="50"/>
  <c r="I350" i="50"/>
  <c r="H340" i="50"/>
  <c r="I340" i="50"/>
  <c r="H313" i="50"/>
  <c r="I313" i="50"/>
  <c r="I379" i="50"/>
  <c r="H379" i="50"/>
  <c r="E147" i="50"/>
  <c r="C146" i="50"/>
  <c r="E146" i="50" s="1"/>
  <c r="I111" i="50"/>
  <c r="H111" i="50"/>
  <c r="I143" i="50"/>
  <c r="H143" i="50"/>
  <c r="I92" i="50"/>
  <c r="H92" i="50"/>
  <c r="I140" i="50"/>
  <c r="H140" i="50"/>
  <c r="I156" i="50"/>
  <c r="H156" i="50"/>
  <c r="C14" i="1"/>
  <c r="H333" i="50" l="1"/>
  <c r="H194" i="50"/>
  <c r="H123" i="50"/>
  <c r="C9" i="50"/>
  <c r="H99" i="50"/>
  <c r="I20" i="50"/>
  <c r="H20" i="50"/>
  <c r="H21" i="50"/>
  <c r="I21" i="50"/>
  <c r="H73" i="50"/>
  <c r="I73" i="50"/>
  <c r="H47" i="50"/>
  <c r="I47" i="50"/>
  <c r="H37" i="50"/>
  <c r="I37" i="50"/>
  <c r="H72" i="50"/>
  <c r="I72" i="50"/>
  <c r="H50" i="50"/>
  <c r="I50" i="50"/>
  <c r="H38" i="50"/>
  <c r="I38" i="50"/>
  <c r="I242" i="50"/>
  <c r="H242" i="50"/>
  <c r="I407" i="50"/>
  <c r="H407" i="50"/>
  <c r="H251" i="50"/>
  <c r="I251" i="50"/>
  <c r="I276" i="50"/>
  <c r="H276" i="50"/>
  <c r="I105" i="50"/>
  <c r="H105" i="50"/>
  <c r="I216" i="50"/>
  <c r="H216" i="50"/>
  <c r="H252" i="50"/>
  <c r="I252" i="50"/>
  <c r="H25" i="50"/>
  <c r="I25" i="50"/>
  <c r="I106" i="50"/>
  <c r="H106" i="50"/>
  <c r="I217" i="50"/>
  <c r="H217" i="50"/>
  <c r="E163" i="50"/>
  <c r="C162" i="50"/>
  <c r="H266" i="50"/>
  <c r="I266" i="50"/>
  <c r="I180" i="50"/>
  <c r="H180" i="50"/>
  <c r="I225" i="50"/>
  <c r="H225" i="50"/>
  <c r="H408" i="50"/>
  <c r="I408" i="50"/>
  <c r="H275" i="50"/>
  <c r="I275" i="50"/>
  <c r="I181" i="50"/>
  <c r="H181" i="50"/>
  <c r="I146" i="50"/>
  <c r="H146" i="50"/>
  <c r="E412" i="50"/>
  <c r="L413" i="50" s="1"/>
  <c r="I147" i="50"/>
  <c r="H147" i="50"/>
  <c r="C81" i="50"/>
  <c r="I362" i="50"/>
  <c r="H362" i="50"/>
  <c r="I138" i="50"/>
  <c r="H138" i="50"/>
  <c r="I108" i="50"/>
  <c r="H108" i="50"/>
  <c r="I139" i="50"/>
  <c r="H139" i="50"/>
  <c r="H286" i="50"/>
  <c r="I286" i="50"/>
  <c r="I10" i="50"/>
  <c r="H10" i="50"/>
  <c r="I115" i="50"/>
  <c r="H115" i="50"/>
  <c r="I413" i="50"/>
  <c r="H413" i="50"/>
  <c r="H377" i="50"/>
  <c r="I377" i="50"/>
  <c r="I134" i="50"/>
  <c r="H134" i="50"/>
  <c r="E385" i="50"/>
  <c r="C384" i="50"/>
  <c r="E304" i="50"/>
  <c r="C303" i="50"/>
  <c r="H82" i="50"/>
  <c r="I82" i="50"/>
  <c r="I378" i="50"/>
  <c r="H378" i="50"/>
  <c r="I135" i="50"/>
  <c r="H135" i="50"/>
  <c r="I386" i="50"/>
  <c r="H386" i="50"/>
  <c r="I305" i="50"/>
  <c r="H305" i="50"/>
  <c r="C360" i="50"/>
  <c r="J361" i="50" s="1"/>
  <c r="E361" i="50"/>
  <c r="D21" i="67"/>
  <c r="C502" i="89"/>
  <c r="C497" i="89"/>
  <c r="C477" i="89"/>
  <c r="C469" i="89"/>
  <c r="C464" i="89"/>
  <c r="C462" i="89"/>
  <c r="C460" i="89"/>
  <c r="C458" i="89"/>
  <c r="C457" i="89"/>
  <c r="C456" i="89"/>
  <c r="C448" i="89"/>
  <c r="C449" i="89"/>
  <c r="C431" i="89"/>
  <c r="C429" i="89"/>
  <c r="C424" i="89"/>
  <c r="C428" i="89"/>
  <c r="C419" i="89"/>
  <c r="C418" i="89"/>
  <c r="C405" i="89"/>
  <c r="C406" i="89"/>
  <c r="C407" i="89"/>
  <c r="C404" i="89"/>
  <c r="C391" i="89"/>
  <c r="C384" i="89"/>
  <c r="C360" i="89"/>
  <c r="C352" i="89"/>
  <c r="C347" i="89"/>
  <c r="C344" i="89"/>
  <c r="C345" i="89"/>
  <c r="C343" i="89"/>
  <c r="C342" i="89"/>
  <c r="C341" i="89"/>
  <c r="C340" i="89"/>
  <c r="C339" i="89"/>
  <c r="C331" i="89"/>
  <c r="C314" i="89"/>
  <c r="C313" i="89"/>
  <c r="C312" i="89"/>
  <c r="C311" i="89"/>
  <c r="C310" i="89"/>
  <c r="C305" i="89"/>
  <c r="C300" i="89"/>
  <c r="C299" i="89"/>
  <c r="C286" i="89"/>
  <c r="C288" i="89"/>
  <c r="C287" i="89"/>
  <c r="C285" i="89"/>
  <c r="C188" i="89"/>
  <c r="C146" i="89"/>
  <c r="C145" i="89" s="1"/>
  <c r="C139" i="89"/>
  <c r="C138" i="89"/>
  <c r="C58" i="89"/>
  <c r="C44" i="89"/>
  <c r="C72" i="89"/>
  <c r="C68" i="89"/>
  <c r="A3" i="99"/>
  <c r="E9" i="50" l="1"/>
  <c r="J10" i="50"/>
  <c r="E384" i="50"/>
  <c r="L385" i="50" s="1"/>
  <c r="J385" i="50"/>
  <c r="E162" i="50"/>
  <c r="L163" i="50" s="1"/>
  <c r="J163" i="50"/>
  <c r="E303" i="50"/>
  <c r="L304" i="50" s="1"/>
  <c r="J304" i="50"/>
  <c r="E81" i="50"/>
  <c r="L82" i="50" s="1"/>
  <c r="J82" i="50"/>
  <c r="I9" i="50"/>
  <c r="I162" i="50"/>
  <c r="H162" i="50"/>
  <c r="O163" i="50" s="1"/>
  <c r="I163" i="50"/>
  <c r="H163" i="50"/>
  <c r="C359" i="50"/>
  <c r="E360" i="50"/>
  <c r="L361" i="50" s="1"/>
  <c r="I412" i="50"/>
  <c r="H412" i="50"/>
  <c r="O413" i="50" s="1"/>
  <c r="I304" i="50"/>
  <c r="H304" i="50"/>
  <c r="I385" i="50"/>
  <c r="H385" i="50"/>
  <c r="H361" i="50"/>
  <c r="I361" i="50"/>
  <c r="H81" i="50"/>
  <c r="O82" i="50" s="1"/>
  <c r="I81" i="50"/>
  <c r="C11" i="20"/>
  <c r="D11" i="20"/>
  <c r="E11" i="20"/>
  <c r="F65" i="55"/>
  <c r="F62" i="55"/>
  <c r="I303" i="50" l="1"/>
  <c r="H384" i="50"/>
  <c r="O385" i="50" s="1"/>
  <c r="I384" i="50"/>
  <c r="H303" i="50"/>
  <c r="O304" i="50" s="1"/>
  <c r="H9" i="50"/>
  <c r="O10" i="50" s="1"/>
  <c r="L10" i="50"/>
  <c r="I360" i="50"/>
  <c r="H360" i="50"/>
  <c r="O361" i="50" s="1"/>
  <c r="E359" i="50"/>
  <c r="C426" i="50"/>
  <c r="A6" i="100"/>
  <c r="A4" i="100"/>
  <c r="I359" i="50" l="1"/>
  <c r="H359" i="50"/>
  <c r="H426" i="50" s="1"/>
  <c r="E426" i="50"/>
  <c r="D31" i="99"/>
  <c r="C31" i="99"/>
  <c r="E31" i="99" s="1"/>
  <c r="E30" i="99"/>
  <c r="E29" i="99"/>
  <c r="E28" i="99"/>
  <c r="E27" i="99"/>
  <c r="E26" i="99"/>
  <c r="E25" i="99"/>
  <c r="E24" i="99"/>
  <c r="E23" i="99"/>
  <c r="E22" i="99"/>
  <c r="E21" i="99"/>
  <c r="D19" i="99"/>
  <c r="D32" i="99" s="1"/>
  <c r="C19" i="99"/>
  <c r="C32" i="99" s="1"/>
  <c r="E18" i="99"/>
  <c r="E17" i="99"/>
  <c r="E16" i="99"/>
  <c r="E15" i="99"/>
  <c r="E14" i="99"/>
  <c r="E13" i="99"/>
  <c r="E12" i="99"/>
  <c r="E11" i="99"/>
  <c r="E10" i="99"/>
  <c r="E9" i="99"/>
  <c r="A1" i="99"/>
  <c r="G19" i="67"/>
  <c r="I426" i="50" l="1"/>
  <c r="E19" i="99"/>
  <c r="E32" i="99" s="1"/>
  <c r="C33" i="24" l="1"/>
  <c r="C9" i="24"/>
  <c r="D80" i="97"/>
  <c r="G80" i="97" s="1"/>
  <c r="D79" i="97"/>
  <c r="G79" i="97" s="1"/>
  <c r="D78" i="97"/>
  <c r="G78" i="97" s="1"/>
  <c r="D77" i="97"/>
  <c r="G77" i="97" s="1"/>
  <c r="D76" i="97"/>
  <c r="G76" i="97" s="1"/>
  <c r="D75" i="97"/>
  <c r="G75" i="97" s="1"/>
  <c r="D74" i="97"/>
  <c r="G74" i="97" s="1"/>
  <c r="F73" i="97"/>
  <c r="E73" i="97"/>
  <c r="C73" i="97"/>
  <c r="B73" i="97"/>
  <c r="D72" i="97"/>
  <c r="G72" i="97" s="1"/>
  <c r="D71" i="97"/>
  <c r="G71" i="97" s="1"/>
  <c r="D70" i="97"/>
  <c r="G70" i="97" s="1"/>
  <c r="F69" i="97"/>
  <c r="E69" i="97"/>
  <c r="C69" i="97"/>
  <c r="B69" i="97"/>
  <c r="D69" i="97" s="1"/>
  <c r="G69" i="97" s="1"/>
  <c r="D68" i="97"/>
  <c r="G68" i="97" s="1"/>
  <c r="D67" i="97"/>
  <c r="G67" i="97" s="1"/>
  <c r="D66" i="97"/>
  <c r="G66" i="97" s="1"/>
  <c r="D65" i="97"/>
  <c r="G65" i="97" s="1"/>
  <c r="D64" i="97"/>
  <c r="G64" i="97" s="1"/>
  <c r="D63" i="97"/>
  <c r="G63" i="97" s="1"/>
  <c r="D62" i="97"/>
  <c r="G62" i="97" s="1"/>
  <c r="F61" i="97"/>
  <c r="E61" i="97"/>
  <c r="C61" i="97"/>
  <c r="B61" i="97"/>
  <c r="D61" i="97" s="1"/>
  <c r="G61" i="97" s="1"/>
  <c r="D60" i="97"/>
  <c r="G60" i="97" s="1"/>
  <c r="D59" i="97"/>
  <c r="G59" i="97" s="1"/>
  <c r="D58" i="97"/>
  <c r="G58" i="97" s="1"/>
  <c r="F57" i="97"/>
  <c r="E57" i="97"/>
  <c r="C57" i="97"/>
  <c r="B57" i="97"/>
  <c r="D56" i="97"/>
  <c r="G56" i="97" s="1"/>
  <c r="D55" i="97"/>
  <c r="G55" i="97" s="1"/>
  <c r="D54" i="97"/>
  <c r="G54" i="97" s="1"/>
  <c r="D53" i="97"/>
  <c r="G53" i="97" s="1"/>
  <c r="D52" i="97"/>
  <c r="G52" i="97" s="1"/>
  <c r="D51" i="97"/>
  <c r="G51" i="97" s="1"/>
  <c r="D50" i="97"/>
  <c r="G50" i="97" s="1"/>
  <c r="D49" i="97"/>
  <c r="G49" i="97" s="1"/>
  <c r="D48" i="97"/>
  <c r="G48" i="97" s="1"/>
  <c r="F47" i="97"/>
  <c r="E47" i="97"/>
  <c r="C47" i="97"/>
  <c r="B47" i="97"/>
  <c r="D46" i="97"/>
  <c r="G46" i="97" s="1"/>
  <c r="D45" i="97"/>
  <c r="G45" i="97" s="1"/>
  <c r="D44" i="97"/>
  <c r="G44" i="97" s="1"/>
  <c r="D43" i="97"/>
  <c r="G43" i="97" s="1"/>
  <c r="D42" i="97"/>
  <c r="G42" i="97" s="1"/>
  <c r="D41" i="97"/>
  <c r="G41" i="97" s="1"/>
  <c r="D40" i="97"/>
  <c r="G40" i="97" s="1"/>
  <c r="D39" i="97"/>
  <c r="G39" i="97" s="1"/>
  <c r="D38" i="97"/>
  <c r="G38" i="97" s="1"/>
  <c r="F37" i="97"/>
  <c r="E37" i="97"/>
  <c r="C37" i="97"/>
  <c r="B37" i="97"/>
  <c r="D37" i="97" s="1"/>
  <c r="G37" i="97" s="1"/>
  <c r="D36" i="97"/>
  <c r="G36" i="97" s="1"/>
  <c r="D35" i="97"/>
  <c r="G35" i="97" s="1"/>
  <c r="D34" i="97"/>
  <c r="G34" i="97" s="1"/>
  <c r="D33" i="97"/>
  <c r="G33" i="97" s="1"/>
  <c r="D32" i="97"/>
  <c r="G32" i="97" s="1"/>
  <c r="D31" i="97"/>
  <c r="G31" i="97" s="1"/>
  <c r="D30" i="97"/>
  <c r="G30" i="97" s="1"/>
  <c r="D29" i="97"/>
  <c r="G29" i="97" s="1"/>
  <c r="D28" i="97"/>
  <c r="G28" i="97" s="1"/>
  <c r="F27" i="97"/>
  <c r="E27" i="97"/>
  <c r="C27" i="97"/>
  <c r="B27" i="97"/>
  <c r="D26" i="97"/>
  <c r="G26" i="97" s="1"/>
  <c r="D25" i="97"/>
  <c r="G25" i="97" s="1"/>
  <c r="D24" i="97"/>
  <c r="G24" i="97" s="1"/>
  <c r="D23" i="97"/>
  <c r="G23" i="97" s="1"/>
  <c r="D22" i="97"/>
  <c r="G22" i="97" s="1"/>
  <c r="D21" i="97"/>
  <c r="G21" i="97" s="1"/>
  <c r="D20" i="97"/>
  <c r="G20" i="97" s="1"/>
  <c r="D19" i="97"/>
  <c r="G19" i="97" s="1"/>
  <c r="D18" i="97"/>
  <c r="G18" i="97" s="1"/>
  <c r="F17" i="97"/>
  <c r="E17" i="97"/>
  <c r="C17" i="97"/>
  <c r="B17" i="97"/>
  <c r="D16" i="97"/>
  <c r="G16" i="97" s="1"/>
  <c r="D15" i="97"/>
  <c r="G15" i="97" s="1"/>
  <c r="D14" i="97"/>
  <c r="G14" i="97" s="1"/>
  <c r="D13" i="97"/>
  <c r="G13" i="97" s="1"/>
  <c r="D12" i="97"/>
  <c r="G12" i="97" s="1"/>
  <c r="D11" i="97"/>
  <c r="G11" i="97" s="1"/>
  <c r="D10" i="97"/>
  <c r="G10" i="97" s="1"/>
  <c r="F9" i="97"/>
  <c r="E9" i="97"/>
  <c r="C9" i="97"/>
  <c r="B9" i="97"/>
  <c r="A4" i="97"/>
  <c r="A1" i="97"/>
  <c r="D17" i="96"/>
  <c r="D9" i="96"/>
  <c r="E13" i="96"/>
  <c r="E12" i="96"/>
  <c r="E10" i="96"/>
  <c r="A3" i="96"/>
  <c r="A1" i="96"/>
  <c r="D57" i="97" l="1"/>
  <c r="G57" i="97" s="1"/>
  <c r="D17" i="97"/>
  <c r="G17" i="97" s="1"/>
  <c r="D9" i="97"/>
  <c r="G9" i="97" s="1"/>
  <c r="D47" i="97"/>
  <c r="G47" i="97" s="1"/>
  <c r="D27" i="97"/>
  <c r="G27" i="97" s="1"/>
  <c r="E81" i="97"/>
  <c r="C6" i="24" s="1"/>
  <c r="B81" i="97"/>
  <c r="F81" i="97"/>
  <c r="C81" i="97"/>
  <c r="D73" i="97"/>
  <c r="G73" i="97" s="1"/>
  <c r="A3" i="52"/>
  <c r="A3" i="23"/>
  <c r="D81" i="97" l="1"/>
  <c r="G81" i="97" s="1"/>
  <c r="A4" i="23"/>
  <c r="A4" i="74"/>
  <c r="A4" i="80"/>
  <c r="A3" i="89" l="1"/>
  <c r="A1" i="89"/>
  <c r="B1" i="89"/>
  <c r="C13" i="89"/>
  <c r="C15" i="89"/>
  <c r="C18" i="89"/>
  <c r="C22" i="89"/>
  <c r="C21" i="89" s="1"/>
  <c r="C26" i="89"/>
  <c r="C34" i="89"/>
  <c r="C42" i="89"/>
  <c r="C48" i="89"/>
  <c r="C47" i="89" s="1"/>
  <c r="C55" i="89"/>
  <c r="C60" i="89"/>
  <c r="C67" i="89"/>
  <c r="C66" i="89" s="1"/>
  <c r="C74" i="89"/>
  <c r="C83" i="89"/>
  <c r="C88" i="89"/>
  <c r="C98" i="89"/>
  <c r="C108" i="89"/>
  <c r="C107" i="89" s="1"/>
  <c r="C115" i="89"/>
  <c r="C120" i="89"/>
  <c r="C132" i="89"/>
  <c r="C131" i="89" s="1"/>
  <c r="C148" i="89"/>
  <c r="C153" i="89"/>
  <c r="C156" i="89"/>
  <c r="C161" i="89"/>
  <c r="C170" i="89"/>
  <c r="C169" i="89" s="1"/>
  <c r="C177" i="89"/>
  <c r="C186" i="89"/>
  <c r="C196" i="89"/>
  <c r="C200" i="89"/>
  <c r="C205" i="89"/>
  <c r="C208" i="89"/>
  <c r="C215" i="89"/>
  <c r="C224" i="89"/>
  <c r="C230" i="89"/>
  <c r="C236" i="89"/>
  <c r="C243" i="89"/>
  <c r="C249" i="89"/>
  <c r="C248" i="89" s="1"/>
  <c r="C255" i="89"/>
  <c r="C262" i="89"/>
  <c r="C261" i="89" s="1"/>
  <c r="C269" i="89"/>
  <c r="C268" i="89" s="1"/>
  <c r="C284" i="89"/>
  <c r="C292" i="89"/>
  <c r="C297" i="89"/>
  <c r="C303" i="89"/>
  <c r="C307" i="89"/>
  <c r="C318" i="89"/>
  <c r="C323" i="89"/>
  <c r="C326" i="89"/>
  <c r="C337" i="89"/>
  <c r="C348" i="89"/>
  <c r="C356" i="89"/>
  <c r="C359" i="89"/>
  <c r="C362" i="89"/>
  <c r="C370" i="89"/>
  <c r="C374" i="89"/>
  <c r="C380" i="89"/>
  <c r="C383" i="89"/>
  <c r="C387" i="89"/>
  <c r="C402" i="89"/>
  <c r="C411" i="89"/>
  <c r="C416" i="89"/>
  <c r="C422" i="89"/>
  <c r="C426" i="89"/>
  <c r="C436" i="89"/>
  <c r="C441" i="89"/>
  <c r="C444" i="89"/>
  <c r="C454" i="89"/>
  <c r="C465" i="89"/>
  <c r="C473" i="89"/>
  <c r="C476" i="89"/>
  <c r="C479" i="89"/>
  <c r="C485" i="89"/>
  <c r="C488" i="89"/>
  <c r="C493" i="89"/>
  <c r="C496" i="89"/>
  <c r="C499" i="89"/>
  <c r="C435" i="89" l="1"/>
  <c r="C434" i="89" s="1"/>
  <c r="C229" i="89"/>
  <c r="C472" i="89"/>
  <c r="C283" i="89"/>
  <c r="C282" i="89" s="1"/>
  <c r="C401" i="89"/>
  <c r="C355" i="89"/>
  <c r="C336" i="89" s="1"/>
  <c r="C144" i="89"/>
  <c r="C104" i="89"/>
  <c r="C81" i="89" s="1"/>
  <c r="C492" i="89"/>
  <c r="C484" i="89" s="1"/>
  <c r="C368" i="89"/>
  <c r="C317" i="89"/>
  <c r="C316" i="89" s="1"/>
  <c r="C195" i="89"/>
  <c r="C152" i="89"/>
  <c r="C64" i="89"/>
  <c r="C12" i="89"/>
  <c r="C11" i="89" s="1"/>
  <c r="C453" i="89"/>
  <c r="C160" i="89"/>
  <c r="C260" i="89"/>
  <c r="C242" i="89"/>
  <c r="C9" i="89" l="1"/>
  <c r="C7" i="89" s="1"/>
  <c r="C126" i="89" s="1"/>
  <c r="C335" i="89"/>
  <c r="C280" i="89" s="1"/>
  <c r="C395" i="89" s="1"/>
  <c r="C400" i="89"/>
  <c r="C192" i="89"/>
  <c r="C452" i="89"/>
  <c r="C130" i="89"/>
  <c r="C398" i="89" l="1"/>
  <c r="C506" i="89" s="1"/>
  <c r="C128" i="89"/>
  <c r="C274" i="89" s="1"/>
  <c r="C278" i="89" l="1"/>
  <c r="H38" i="67"/>
  <c r="E38" i="67"/>
  <c r="H37" i="67"/>
  <c r="E37" i="67"/>
  <c r="A1" i="80"/>
  <c r="B1" i="20"/>
  <c r="A1" i="27" l="1"/>
  <c r="A1" i="54"/>
  <c r="A1" i="32"/>
  <c r="A1" i="42"/>
  <c r="B1" i="19"/>
  <c r="A1" i="16"/>
  <c r="A1" i="24"/>
  <c r="A1" i="65"/>
  <c r="A1" i="50"/>
  <c r="A1" i="62"/>
  <c r="A1" i="72"/>
  <c r="A1" i="45"/>
  <c r="A1" i="44"/>
  <c r="A1" i="61"/>
  <c r="A1" i="38"/>
  <c r="A1" i="37" l="1"/>
  <c r="A1" i="71"/>
  <c r="A1" i="55"/>
  <c r="A1" i="67"/>
  <c r="A1" i="13"/>
  <c r="A1" i="26"/>
  <c r="A1" i="53" l="1"/>
  <c r="A1" i="52"/>
  <c r="A1" i="75"/>
  <c r="A3" i="75"/>
  <c r="A1" i="6"/>
  <c r="A1" i="23"/>
  <c r="A1" i="74"/>
  <c r="A1" i="1"/>
  <c r="A1" i="51"/>
  <c r="D55" i="23" l="1"/>
  <c r="D54" i="23" s="1"/>
  <c r="C55" i="23"/>
  <c r="C54" i="23" s="1"/>
  <c r="D50" i="23"/>
  <c r="D49" i="23" s="1"/>
  <c r="C50" i="23"/>
  <c r="C49" i="23" s="1"/>
  <c r="D18" i="23" l="1"/>
  <c r="C18" i="23"/>
  <c r="D7" i="23"/>
  <c r="C7" i="23"/>
  <c r="G25" i="67" l="1"/>
  <c r="F25" i="67"/>
  <c r="D25" i="67"/>
  <c r="C25" i="67"/>
  <c r="F19" i="67"/>
  <c r="D19" i="67"/>
  <c r="C19" i="67"/>
  <c r="D6" i="96" l="1"/>
  <c r="D21" i="96" s="1"/>
  <c r="F9" i="42"/>
  <c r="E9" i="42"/>
  <c r="C9" i="42"/>
  <c r="B9" i="42"/>
  <c r="D9" i="42" l="1"/>
  <c r="G9" i="42" s="1"/>
  <c r="A3" i="80" l="1"/>
  <c r="F39" i="80" l="1"/>
  <c r="F38" i="80"/>
  <c r="E37" i="80"/>
  <c r="F37" i="80" s="1"/>
  <c r="F35" i="80"/>
  <c r="F34" i="80"/>
  <c r="F33" i="80"/>
  <c r="F32" i="80"/>
  <c r="F31" i="80"/>
  <c r="D30" i="80"/>
  <c r="C30" i="80"/>
  <c r="F28" i="80"/>
  <c r="F27" i="80"/>
  <c r="F26" i="80"/>
  <c r="B25" i="80"/>
  <c r="F25" i="80" s="1"/>
  <c r="F21" i="80"/>
  <c r="F20" i="80"/>
  <c r="E19" i="80"/>
  <c r="F19" i="80" s="1"/>
  <c r="F17" i="80"/>
  <c r="F16" i="80"/>
  <c r="F15" i="80"/>
  <c r="F14" i="80"/>
  <c r="F13" i="80"/>
  <c r="D12" i="80"/>
  <c r="C12" i="80"/>
  <c r="C23" i="80" s="1"/>
  <c r="C41" i="80" s="1"/>
  <c r="F10" i="80"/>
  <c r="F9" i="80"/>
  <c r="F8" i="80"/>
  <c r="B7" i="80"/>
  <c r="B23" i="80" s="1"/>
  <c r="F30" i="80" l="1"/>
  <c r="E23" i="80"/>
  <c r="E41" i="80" s="1"/>
  <c r="F12" i="80"/>
  <c r="B41" i="80"/>
  <c r="D23" i="80"/>
  <c r="D41" i="80" s="1"/>
  <c r="F7" i="80"/>
  <c r="F41" i="80" l="1"/>
  <c r="F23" i="80"/>
  <c r="A4" i="50" l="1"/>
  <c r="A4" i="62"/>
  <c r="A4" i="61"/>
  <c r="J18" i="52"/>
  <c r="J17" i="52"/>
  <c r="F28" i="75"/>
  <c r="E28" i="75"/>
  <c r="F23" i="75"/>
  <c r="E23" i="75"/>
  <c r="F14" i="75"/>
  <c r="E14" i="75"/>
  <c r="F9" i="75"/>
  <c r="E9" i="75"/>
  <c r="A3" i="74"/>
  <c r="C59" i="74"/>
  <c r="B59" i="74"/>
  <c r="C52" i="74"/>
  <c r="B52" i="74"/>
  <c r="C47" i="74"/>
  <c r="B47" i="74"/>
  <c r="C38" i="74"/>
  <c r="B38" i="74"/>
  <c r="C28" i="74"/>
  <c r="B28" i="74"/>
  <c r="C16" i="74"/>
  <c r="B16" i="74"/>
  <c r="C7" i="74"/>
  <c r="B7" i="74"/>
  <c r="C46" i="74" l="1"/>
  <c r="B6" i="74"/>
  <c r="E20" i="75"/>
  <c r="E34" i="75"/>
  <c r="E38" i="75" s="1"/>
  <c r="B27" i="74"/>
  <c r="F20" i="75"/>
  <c r="F34" i="75"/>
  <c r="C27" i="74"/>
  <c r="B46" i="74"/>
  <c r="C6" i="74"/>
  <c r="A4" i="65"/>
  <c r="F38" i="75" l="1"/>
  <c r="D44" i="72"/>
  <c r="G44" i="72" s="1"/>
  <c r="D43" i="72"/>
  <c r="G43" i="72" s="1"/>
  <c r="D42" i="72"/>
  <c r="G42" i="72" s="1"/>
  <c r="D41" i="72"/>
  <c r="G41" i="72" s="1"/>
  <c r="F40" i="72"/>
  <c r="E40" i="72"/>
  <c r="C40" i="72"/>
  <c r="B40" i="72"/>
  <c r="G39" i="72"/>
  <c r="D39" i="72"/>
  <c r="D38" i="72"/>
  <c r="G38" i="72" s="1"/>
  <c r="D37" i="72"/>
  <c r="G37" i="72" s="1"/>
  <c r="D36" i="72"/>
  <c r="G36" i="72" s="1"/>
  <c r="D35" i="72"/>
  <c r="G35" i="72" s="1"/>
  <c r="D34" i="72"/>
  <c r="G34" i="72" s="1"/>
  <c r="D33" i="72"/>
  <c r="G33" i="72" s="1"/>
  <c r="D32" i="72"/>
  <c r="G32" i="72" s="1"/>
  <c r="D31" i="72"/>
  <c r="G31" i="72" s="1"/>
  <c r="D30" i="72"/>
  <c r="G30" i="72" s="1"/>
  <c r="F29" i="72"/>
  <c r="E29" i="72"/>
  <c r="C29" i="72"/>
  <c r="B29" i="72"/>
  <c r="G28" i="72"/>
  <c r="D28" i="72"/>
  <c r="D27" i="72"/>
  <c r="G27" i="72" s="1"/>
  <c r="D26" i="72"/>
  <c r="G26" i="72" s="1"/>
  <c r="D25" i="72"/>
  <c r="G25" i="72" s="1"/>
  <c r="D24" i="72"/>
  <c r="G24" i="72" s="1"/>
  <c r="D23" i="72"/>
  <c r="G23" i="72" s="1"/>
  <c r="D22" i="72"/>
  <c r="G22" i="72" s="1"/>
  <c r="D21" i="72"/>
  <c r="G21" i="72" s="1"/>
  <c r="F20" i="72"/>
  <c r="E20" i="72"/>
  <c r="C20" i="72"/>
  <c r="B20" i="72"/>
  <c r="G19" i="72"/>
  <c r="D19" i="72"/>
  <c r="D18" i="72"/>
  <c r="G18" i="72" s="1"/>
  <c r="D17" i="72"/>
  <c r="G17" i="72" s="1"/>
  <c r="D16" i="72"/>
  <c r="G16" i="72" s="1"/>
  <c r="D15" i="72"/>
  <c r="G15" i="72" s="1"/>
  <c r="D14" i="72"/>
  <c r="G14" i="72" s="1"/>
  <c r="D13" i="72"/>
  <c r="G13" i="72" s="1"/>
  <c r="D12" i="72"/>
  <c r="G12" i="72" s="1"/>
  <c r="D11" i="72"/>
  <c r="G11" i="72" s="1"/>
  <c r="F10" i="72"/>
  <c r="E10" i="72"/>
  <c r="C10" i="72"/>
  <c r="B10" i="72"/>
  <c r="A4" i="72"/>
  <c r="E157" i="71"/>
  <c r="E156" i="71"/>
  <c r="H156" i="71" s="1"/>
  <c r="E155" i="71"/>
  <c r="H155" i="71" s="1"/>
  <c r="E154" i="71"/>
  <c r="H154" i="71" s="1"/>
  <c r="E153" i="71"/>
  <c r="H153" i="71" s="1"/>
  <c r="E152" i="71"/>
  <c r="E151" i="71"/>
  <c r="H151" i="71" s="1"/>
  <c r="E150" i="71"/>
  <c r="H150" i="71" s="1"/>
  <c r="G149" i="71"/>
  <c r="F149" i="71"/>
  <c r="D149" i="71"/>
  <c r="C149" i="71"/>
  <c r="E148" i="71"/>
  <c r="H148" i="71" s="1"/>
  <c r="E147" i="71"/>
  <c r="H147" i="71" s="1"/>
  <c r="E146" i="71"/>
  <c r="G145" i="71"/>
  <c r="F145" i="71"/>
  <c r="D145" i="71"/>
  <c r="C145" i="71"/>
  <c r="E144" i="71"/>
  <c r="H144" i="71" s="1"/>
  <c r="E143" i="71"/>
  <c r="H143" i="71" s="1"/>
  <c r="E142" i="71"/>
  <c r="H142" i="71" s="1"/>
  <c r="E141" i="71"/>
  <c r="H141" i="71" s="1"/>
  <c r="E140" i="71"/>
  <c r="E139" i="71"/>
  <c r="H139" i="71" s="1"/>
  <c r="E138" i="71"/>
  <c r="H138" i="71" s="1"/>
  <c r="E137" i="71"/>
  <c r="H137" i="71" s="1"/>
  <c r="G136" i="71"/>
  <c r="F136" i="71"/>
  <c r="D136" i="71"/>
  <c r="C136" i="71"/>
  <c r="E135" i="71"/>
  <c r="H135" i="71" s="1"/>
  <c r="E134" i="71"/>
  <c r="H134" i="71" s="1"/>
  <c r="E133" i="71"/>
  <c r="H133" i="71" s="1"/>
  <c r="G132" i="71"/>
  <c r="F132" i="71"/>
  <c r="D132" i="71"/>
  <c r="C132" i="71"/>
  <c r="E131" i="71"/>
  <c r="H131" i="71" s="1"/>
  <c r="E130" i="71"/>
  <c r="H130" i="71" s="1"/>
  <c r="E129" i="71"/>
  <c r="H129" i="71" s="1"/>
  <c r="E128" i="71"/>
  <c r="H128" i="71" s="1"/>
  <c r="E127" i="71"/>
  <c r="H127" i="71" s="1"/>
  <c r="E126" i="71"/>
  <c r="H126" i="71" s="1"/>
  <c r="E125" i="71"/>
  <c r="H125" i="71" s="1"/>
  <c r="E124" i="71"/>
  <c r="H124" i="71" s="1"/>
  <c r="E123" i="71"/>
  <c r="H123" i="71" s="1"/>
  <c r="G122" i="71"/>
  <c r="F122" i="71"/>
  <c r="D122" i="71"/>
  <c r="C122" i="71"/>
  <c r="E121" i="71"/>
  <c r="H121" i="71" s="1"/>
  <c r="E120" i="71"/>
  <c r="H120" i="71" s="1"/>
  <c r="E119" i="71"/>
  <c r="H119" i="71" s="1"/>
  <c r="E118" i="71"/>
  <c r="H118" i="71" s="1"/>
  <c r="E117" i="71"/>
  <c r="H117" i="71" s="1"/>
  <c r="E116" i="71"/>
  <c r="H116" i="71" s="1"/>
  <c r="E115" i="71"/>
  <c r="H115" i="71" s="1"/>
  <c r="E114" i="71"/>
  <c r="H114" i="71" s="1"/>
  <c r="E113" i="71"/>
  <c r="H113" i="71" s="1"/>
  <c r="G112" i="71"/>
  <c r="F112" i="71"/>
  <c r="D112" i="71"/>
  <c r="C112" i="71"/>
  <c r="E111" i="71"/>
  <c r="H111" i="71" s="1"/>
  <c r="E110" i="71"/>
  <c r="H110" i="71" s="1"/>
  <c r="E109" i="71"/>
  <c r="H109" i="71" s="1"/>
  <c r="E108" i="71"/>
  <c r="H108" i="71" s="1"/>
  <c r="E107" i="71"/>
  <c r="H107" i="71" s="1"/>
  <c r="E106" i="71"/>
  <c r="H106" i="71" s="1"/>
  <c r="E105" i="71"/>
  <c r="H105" i="71" s="1"/>
  <c r="E104" i="71"/>
  <c r="H104" i="71" s="1"/>
  <c r="E103" i="71"/>
  <c r="H103" i="71" s="1"/>
  <c r="G102" i="71"/>
  <c r="F102" i="71"/>
  <c r="D102" i="71"/>
  <c r="C102" i="71"/>
  <c r="E101" i="71"/>
  <c r="H101" i="71" s="1"/>
  <c r="E100" i="71"/>
  <c r="H100" i="71" s="1"/>
  <c r="E99" i="71"/>
  <c r="H99" i="71" s="1"/>
  <c r="E98" i="71"/>
  <c r="H98" i="71" s="1"/>
  <c r="E97" i="71"/>
  <c r="H97" i="71" s="1"/>
  <c r="E96" i="71"/>
  <c r="H96" i="71" s="1"/>
  <c r="E95" i="71"/>
  <c r="H95" i="71" s="1"/>
  <c r="E94" i="71"/>
  <c r="H94" i="71" s="1"/>
  <c r="E93" i="71"/>
  <c r="H93" i="71" s="1"/>
  <c r="G92" i="71"/>
  <c r="F92" i="71"/>
  <c r="D92" i="71"/>
  <c r="C92" i="71"/>
  <c r="E91" i="71"/>
  <c r="H91" i="71" s="1"/>
  <c r="E90" i="71"/>
  <c r="H90" i="71" s="1"/>
  <c r="E89" i="71"/>
  <c r="H89" i="71" s="1"/>
  <c r="E88" i="71"/>
  <c r="E87" i="71"/>
  <c r="H87" i="71" s="1"/>
  <c r="E86" i="71"/>
  <c r="H86" i="71" s="1"/>
  <c r="E85" i="71"/>
  <c r="H85" i="71" s="1"/>
  <c r="G84" i="71"/>
  <c r="F84" i="71"/>
  <c r="D84" i="71"/>
  <c r="C84" i="71"/>
  <c r="E82" i="71"/>
  <c r="H82" i="71" s="1"/>
  <c r="E81" i="71"/>
  <c r="H81" i="71" s="1"/>
  <c r="E80" i="71"/>
  <c r="H80" i="71" s="1"/>
  <c r="E79" i="71"/>
  <c r="H79" i="71" s="1"/>
  <c r="E78" i="71"/>
  <c r="H78" i="71" s="1"/>
  <c r="E77" i="71"/>
  <c r="H77" i="71" s="1"/>
  <c r="E76" i="71"/>
  <c r="H76" i="71" s="1"/>
  <c r="G75" i="71"/>
  <c r="F75" i="71"/>
  <c r="D75" i="71"/>
  <c r="C75" i="71"/>
  <c r="E74" i="71"/>
  <c r="H74" i="71" s="1"/>
  <c r="E73" i="71"/>
  <c r="H73" i="71" s="1"/>
  <c r="E72" i="71"/>
  <c r="H72" i="71" s="1"/>
  <c r="G71" i="71"/>
  <c r="F71" i="71"/>
  <c r="D71" i="71"/>
  <c r="C71" i="71"/>
  <c r="E70" i="71"/>
  <c r="H70" i="71" s="1"/>
  <c r="E69" i="71"/>
  <c r="H69" i="71" s="1"/>
  <c r="E68" i="71"/>
  <c r="H68" i="71" s="1"/>
  <c r="E67" i="71"/>
  <c r="H67" i="71" s="1"/>
  <c r="E66" i="71"/>
  <c r="H66" i="71" s="1"/>
  <c r="E65" i="71"/>
  <c r="H65" i="71" s="1"/>
  <c r="E64" i="71"/>
  <c r="H64" i="71" s="1"/>
  <c r="E63" i="71"/>
  <c r="H63" i="71" s="1"/>
  <c r="G62" i="71"/>
  <c r="F62" i="71"/>
  <c r="D62" i="71"/>
  <c r="C62" i="71"/>
  <c r="E61" i="71"/>
  <c r="H61" i="71" s="1"/>
  <c r="E60" i="71"/>
  <c r="H60" i="71" s="1"/>
  <c r="E59" i="71"/>
  <c r="H59" i="71" s="1"/>
  <c r="G58" i="71"/>
  <c r="F58" i="71"/>
  <c r="D58" i="71"/>
  <c r="C58" i="71"/>
  <c r="E57" i="71"/>
  <c r="H57" i="71" s="1"/>
  <c r="E56" i="71"/>
  <c r="H56" i="71" s="1"/>
  <c r="E55" i="71"/>
  <c r="H55" i="71" s="1"/>
  <c r="E54" i="71"/>
  <c r="H54" i="71" s="1"/>
  <c r="E53" i="71"/>
  <c r="H53" i="71" s="1"/>
  <c r="E52" i="71"/>
  <c r="E51" i="71"/>
  <c r="H51" i="71" s="1"/>
  <c r="E50" i="71"/>
  <c r="H50" i="71" s="1"/>
  <c r="E49" i="71"/>
  <c r="H49" i="71" s="1"/>
  <c r="G48" i="71"/>
  <c r="F48" i="71"/>
  <c r="D48" i="71"/>
  <c r="C48" i="71"/>
  <c r="E47" i="71"/>
  <c r="H47" i="71" s="1"/>
  <c r="E46" i="71"/>
  <c r="H46" i="71" s="1"/>
  <c r="E45" i="71"/>
  <c r="H45" i="71" s="1"/>
  <c r="E44" i="71"/>
  <c r="H44" i="71" s="1"/>
  <c r="E43" i="71"/>
  <c r="H43" i="71" s="1"/>
  <c r="E42" i="71"/>
  <c r="E41" i="71"/>
  <c r="H41" i="71" s="1"/>
  <c r="E40" i="71"/>
  <c r="H40" i="71" s="1"/>
  <c r="E39" i="71"/>
  <c r="H39" i="71" s="1"/>
  <c r="G38" i="71"/>
  <c r="F38" i="71"/>
  <c r="D38" i="71"/>
  <c r="C38" i="71"/>
  <c r="E37" i="71"/>
  <c r="H37" i="71" s="1"/>
  <c r="E36" i="71"/>
  <c r="H36" i="71" s="1"/>
  <c r="E35" i="71"/>
  <c r="H35" i="71" s="1"/>
  <c r="E34" i="71"/>
  <c r="H34" i="71" s="1"/>
  <c r="E33" i="71"/>
  <c r="H33" i="71" s="1"/>
  <c r="E32" i="71"/>
  <c r="E31" i="71"/>
  <c r="H31" i="71" s="1"/>
  <c r="E30" i="71"/>
  <c r="H30" i="71" s="1"/>
  <c r="E29" i="71"/>
  <c r="H29" i="71" s="1"/>
  <c r="G28" i="71"/>
  <c r="F28" i="71"/>
  <c r="D28" i="71"/>
  <c r="C28" i="71"/>
  <c r="E27" i="71"/>
  <c r="H27" i="71" s="1"/>
  <c r="E26" i="71"/>
  <c r="H26" i="71" s="1"/>
  <c r="E25" i="71"/>
  <c r="H25" i="71" s="1"/>
  <c r="E24" i="71"/>
  <c r="H24" i="71" s="1"/>
  <c r="E23" i="71"/>
  <c r="H23" i="71" s="1"/>
  <c r="E22" i="71"/>
  <c r="E21" i="71"/>
  <c r="H21" i="71" s="1"/>
  <c r="E20" i="71"/>
  <c r="H20" i="71" s="1"/>
  <c r="E19" i="71"/>
  <c r="H19" i="71" s="1"/>
  <c r="G18" i="71"/>
  <c r="F18" i="71"/>
  <c r="D18" i="71"/>
  <c r="C18" i="71"/>
  <c r="E17" i="71"/>
  <c r="H17" i="71" s="1"/>
  <c r="E16" i="71"/>
  <c r="H16" i="71" s="1"/>
  <c r="E15" i="71"/>
  <c r="H15" i="71" s="1"/>
  <c r="E14" i="71"/>
  <c r="H14" i="71" s="1"/>
  <c r="E13" i="71"/>
  <c r="H13" i="71" s="1"/>
  <c r="E12" i="71"/>
  <c r="H12" i="71" s="1"/>
  <c r="E11" i="71"/>
  <c r="H11" i="71" s="1"/>
  <c r="G10" i="71"/>
  <c r="F10" i="71"/>
  <c r="D10" i="71"/>
  <c r="C10" i="71"/>
  <c r="E45" i="72" l="1"/>
  <c r="D29" i="72"/>
  <c r="G29" i="72" s="1"/>
  <c r="D10" i="72"/>
  <c r="G10" i="72" s="1"/>
  <c r="C45" i="72"/>
  <c r="F9" i="71"/>
  <c r="F83" i="71"/>
  <c r="E18" i="71"/>
  <c r="E38" i="71"/>
  <c r="G83" i="71"/>
  <c r="D9" i="71"/>
  <c r="E28" i="71"/>
  <c r="H71" i="71"/>
  <c r="E145" i="71"/>
  <c r="D20" i="72"/>
  <c r="G20" i="72" s="1"/>
  <c r="D40" i="72"/>
  <c r="G40" i="72" s="1"/>
  <c r="E48" i="71"/>
  <c r="C9" i="71"/>
  <c r="G9" i="71"/>
  <c r="H58" i="71"/>
  <c r="H75" i="71"/>
  <c r="D83" i="71"/>
  <c r="H122" i="71"/>
  <c r="E71" i="71"/>
  <c r="E84" i="71"/>
  <c r="F45" i="72"/>
  <c r="H112" i="71"/>
  <c r="E58" i="71"/>
  <c r="C83" i="71"/>
  <c r="E136" i="71"/>
  <c r="E149" i="71"/>
  <c r="B45" i="72"/>
  <c r="H132" i="71"/>
  <c r="H62" i="71"/>
  <c r="H92" i="71"/>
  <c r="H10" i="71"/>
  <c r="H102" i="71"/>
  <c r="H88" i="71"/>
  <c r="H84" i="71" s="1"/>
  <c r="H140" i="71"/>
  <c r="H136" i="71" s="1"/>
  <c r="H146" i="71"/>
  <c r="H145" i="71" s="1"/>
  <c r="H152" i="71"/>
  <c r="H149" i="71" s="1"/>
  <c r="E10" i="71"/>
  <c r="E62" i="71"/>
  <c r="E92" i="71"/>
  <c r="E102" i="71"/>
  <c r="E112" i="71"/>
  <c r="E122" i="71"/>
  <c r="E132" i="71"/>
  <c r="E75" i="71"/>
  <c r="H22" i="71"/>
  <c r="H18" i="71" s="1"/>
  <c r="H32" i="71"/>
  <c r="H28" i="71" s="1"/>
  <c r="H42" i="71"/>
  <c r="H38" i="71" s="1"/>
  <c r="H52" i="71"/>
  <c r="H48" i="71" s="1"/>
  <c r="D158" i="71" l="1"/>
  <c r="F158" i="71"/>
  <c r="G158" i="71"/>
  <c r="D45" i="72"/>
  <c r="C158" i="71"/>
  <c r="E83" i="71"/>
  <c r="H83" i="71"/>
  <c r="E9" i="71"/>
  <c r="H9" i="71"/>
  <c r="H158" i="71" l="1"/>
  <c r="E158" i="71"/>
  <c r="I159" i="71"/>
  <c r="I154" i="71"/>
  <c r="I155" i="71"/>
  <c r="I158" i="71"/>
  <c r="G45" i="72"/>
  <c r="I156" i="71" l="1"/>
  <c r="I66" i="55"/>
  <c r="I67" i="55"/>
  <c r="I12" i="55"/>
  <c r="H28" i="67"/>
  <c r="F66" i="55"/>
  <c r="F67" i="55"/>
  <c r="F12" i="55"/>
  <c r="E28" i="67"/>
  <c r="A3" i="67"/>
  <c r="G35" i="67"/>
  <c r="G41" i="67"/>
  <c r="C35" i="67"/>
  <c r="C41" i="67"/>
  <c r="H26" i="67"/>
  <c r="H29" i="67"/>
  <c r="H30" i="67"/>
  <c r="H31" i="67"/>
  <c r="H32" i="67"/>
  <c r="H33" i="67"/>
  <c r="H36" i="67"/>
  <c r="H39" i="67"/>
  <c r="H42" i="67"/>
  <c r="H41" i="67" s="1"/>
  <c r="F35" i="67"/>
  <c r="F41" i="67"/>
  <c r="E26" i="67"/>
  <c r="E29" i="67"/>
  <c r="E30" i="67"/>
  <c r="E31" i="67"/>
  <c r="E32" i="67"/>
  <c r="E33" i="67"/>
  <c r="E36" i="67"/>
  <c r="E39" i="67"/>
  <c r="E42" i="67"/>
  <c r="E41" i="67" s="1"/>
  <c r="D35" i="67"/>
  <c r="D41" i="67"/>
  <c r="H18" i="67"/>
  <c r="E18" i="67"/>
  <c r="H17" i="67"/>
  <c r="E17" i="67"/>
  <c r="H16" i="67"/>
  <c r="E16" i="67"/>
  <c r="H15" i="67"/>
  <c r="E15" i="67"/>
  <c r="H14" i="67"/>
  <c r="E14" i="67"/>
  <c r="H13" i="67"/>
  <c r="E13" i="67"/>
  <c r="H12" i="67"/>
  <c r="E12" i="67"/>
  <c r="H11" i="67"/>
  <c r="E11" i="67"/>
  <c r="H10" i="67"/>
  <c r="E10" i="67"/>
  <c r="H9" i="67"/>
  <c r="E9" i="67"/>
  <c r="A3" i="54"/>
  <c r="C9" i="52"/>
  <c r="J9" i="52" s="1"/>
  <c r="C13" i="52"/>
  <c r="J13" i="52" s="1"/>
  <c r="D30" i="65"/>
  <c r="G30" i="65" s="1"/>
  <c r="D29" i="65"/>
  <c r="G29" i="65" s="1"/>
  <c r="D28" i="65"/>
  <c r="G28" i="65" s="1"/>
  <c r="F27" i="65"/>
  <c r="F20" i="65" s="1"/>
  <c r="E27" i="65"/>
  <c r="E20" i="65" s="1"/>
  <c r="C27" i="65"/>
  <c r="C20" i="65" s="1"/>
  <c r="B27" i="65"/>
  <c r="B20" i="65" s="1"/>
  <c r="B15" i="65"/>
  <c r="B8" i="65" s="1"/>
  <c r="D26" i="65"/>
  <c r="G26" i="65" s="1"/>
  <c r="D25" i="65"/>
  <c r="G25" i="65" s="1"/>
  <c r="D24" i="65"/>
  <c r="G24" i="65" s="1"/>
  <c r="D23" i="65"/>
  <c r="G23" i="65" s="1"/>
  <c r="D21" i="65"/>
  <c r="G21" i="65" s="1"/>
  <c r="D22" i="65"/>
  <c r="D9" i="65"/>
  <c r="G9" i="65" s="1"/>
  <c r="D10" i="65"/>
  <c r="G10" i="65" s="1"/>
  <c r="D11" i="65"/>
  <c r="G11" i="65" s="1"/>
  <c r="D12" i="65"/>
  <c r="G12" i="65" s="1"/>
  <c r="D13" i="65"/>
  <c r="G13" i="65" s="1"/>
  <c r="D14" i="65"/>
  <c r="G14" i="65" s="1"/>
  <c r="D16" i="65"/>
  <c r="G16" i="65" s="1"/>
  <c r="D17" i="65"/>
  <c r="G17" i="65" s="1"/>
  <c r="D18" i="65"/>
  <c r="G18" i="65" s="1"/>
  <c r="F15" i="65"/>
  <c r="F8" i="65" s="1"/>
  <c r="E15" i="65"/>
  <c r="E8" i="65" s="1"/>
  <c r="C15" i="65"/>
  <c r="C8" i="65" s="1"/>
  <c r="I38" i="55"/>
  <c r="I37" i="55" s="1"/>
  <c r="A3" i="53"/>
  <c r="A3" i="55" s="1"/>
  <c r="E18" i="54"/>
  <c r="D18" i="54"/>
  <c r="C18" i="54"/>
  <c r="H30" i="55"/>
  <c r="G30" i="55"/>
  <c r="E30" i="55"/>
  <c r="D30" i="55"/>
  <c r="C56" i="51"/>
  <c r="B56" i="51"/>
  <c r="C30" i="51"/>
  <c r="B30" i="51"/>
  <c r="C76" i="62"/>
  <c r="B8" i="51"/>
  <c r="D30" i="61"/>
  <c r="G30" i="61" s="1"/>
  <c r="D29" i="61"/>
  <c r="G29" i="61" s="1"/>
  <c r="D28" i="61"/>
  <c r="G28" i="61" s="1"/>
  <c r="D27" i="61"/>
  <c r="G27" i="61" s="1"/>
  <c r="D26" i="61"/>
  <c r="G26" i="61" s="1"/>
  <c r="D24" i="61"/>
  <c r="G24" i="61" s="1"/>
  <c r="D23" i="61"/>
  <c r="G23" i="61" s="1"/>
  <c r="D22" i="61"/>
  <c r="D18" i="61"/>
  <c r="G18" i="61" s="1"/>
  <c r="D17" i="61"/>
  <c r="G17" i="61" s="1"/>
  <c r="D16" i="61"/>
  <c r="G16" i="61" s="1"/>
  <c r="D15" i="61"/>
  <c r="G15" i="61" s="1"/>
  <c r="D14" i="61"/>
  <c r="G14" i="61" s="1"/>
  <c r="D12" i="61"/>
  <c r="G12" i="61" s="1"/>
  <c r="D11" i="61"/>
  <c r="G11" i="61" s="1"/>
  <c r="D10" i="61"/>
  <c r="G10" i="61" s="1"/>
  <c r="I78" i="55"/>
  <c r="I77" i="55"/>
  <c r="I72" i="55"/>
  <c r="I71" i="55" s="1"/>
  <c r="I65" i="55"/>
  <c r="I64" i="55"/>
  <c r="I62" i="55"/>
  <c r="I61" i="55"/>
  <c r="I60" i="55"/>
  <c r="I59" i="55"/>
  <c r="I57" i="55"/>
  <c r="I56" i="55"/>
  <c r="I55" i="55"/>
  <c r="I54" i="55"/>
  <c r="I53" i="55"/>
  <c r="I52" i="55"/>
  <c r="I51" i="55"/>
  <c r="I50" i="55"/>
  <c r="I41" i="55"/>
  <c r="I40" i="55"/>
  <c r="C31" i="54"/>
  <c r="F31" i="54" s="1"/>
  <c r="F68" i="51"/>
  <c r="G24" i="52"/>
  <c r="G25" i="52"/>
  <c r="G26" i="52"/>
  <c r="G14" i="52"/>
  <c r="G15" i="52"/>
  <c r="G16" i="52"/>
  <c r="G22" i="52"/>
  <c r="G21" i="52"/>
  <c r="G20" i="52"/>
  <c r="G12" i="52"/>
  <c r="G11" i="52"/>
  <c r="G10" i="52"/>
  <c r="E80" i="62"/>
  <c r="H80" i="62" s="1"/>
  <c r="E79" i="62"/>
  <c r="H79" i="62" s="1"/>
  <c r="E78" i="62"/>
  <c r="H78" i="62" s="1"/>
  <c r="E77" i="62"/>
  <c r="H77" i="62" s="1"/>
  <c r="E74" i="62"/>
  <c r="H74" i="62" s="1"/>
  <c r="E66" i="62"/>
  <c r="H66" i="62" s="1"/>
  <c r="H67" i="62"/>
  <c r="E68" i="62"/>
  <c r="H68" i="62" s="1"/>
  <c r="E69" i="62"/>
  <c r="H69" i="62" s="1"/>
  <c r="E70" i="62"/>
  <c r="H70" i="62" s="1"/>
  <c r="E71" i="62"/>
  <c r="H71" i="62" s="1"/>
  <c r="E72" i="62"/>
  <c r="H72" i="62" s="1"/>
  <c r="E73" i="62"/>
  <c r="H73" i="62" s="1"/>
  <c r="E64" i="62"/>
  <c r="H64" i="62" s="1"/>
  <c r="E63" i="62"/>
  <c r="H63" i="62" s="1"/>
  <c r="E62" i="62"/>
  <c r="H62" i="62" s="1"/>
  <c r="E61" i="62"/>
  <c r="H61" i="62" s="1"/>
  <c r="E60" i="62"/>
  <c r="H60" i="62" s="1"/>
  <c r="E59" i="62"/>
  <c r="H59" i="62" s="1"/>
  <c r="E58" i="62"/>
  <c r="H58" i="62" s="1"/>
  <c r="E55" i="62"/>
  <c r="H55" i="62" s="1"/>
  <c r="E54" i="62"/>
  <c r="H54" i="62" s="1"/>
  <c r="E53" i="62"/>
  <c r="H53" i="62" s="1"/>
  <c r="E52" i="62"/>
  <c r="H52" i="62" s="1"/>
  <c r="E51" i="62"/>
  <c r="H51" i="62" s="1"/>
  <c r="E50" i="62"/>
  <c r="H50" i="62" s="1"/>
  <c r="E49" i="62"/>
  <c r="H49" i="62" s="1"/>
  <c r="E48" i="62"/>
  <c r="H48" i="62" s="1"/>
  <c r="E44" i="62"/>
  <c r="H44" i="62" s="1"/>
  <c r="E43" i="62"/>
  <c r="H43" i="62" s="1"/>
  <c r="E42" i="62"/>
  <c r="E41" i="62"/>
  <c r="H41" i="62" s="1"/>
  <c r="E38" i="62"/>
  <c r="H38" i="62" s="1"/>
  <c r="E37" i="62"/>
  <c r="H37" i="62" s="1"/>
  <c r="E36" i="62"/>
  <c r="H36" i="62" s="1"/>
  <c r="E35" i="62"/>
  <c r="H35" i="62" s="1"/>
  <c r="E34" i="62"/>
  <c r="H34" i="62" s="1"/>
  <c r="E33" i="62"/>
  <c r="H33" i="62" s="1"/>
  <c r="E32" i="62"/>
  <c r="H32" i="62" s="1"/>
  <c r="E31" i="62"/>
  <c r="H31" i="62" s="1"/>
  <c r="E30" i="62"/>
  <c r="E27" i="62"/>
  <c r="H27" i="62" s="1"/>
  <c r="E26" i="62"/>
  <c r="H26" i="62" s="1"/>
  <c r="E25" i="62"/>
  <c r="H25" i="62" s="1"/>
  <c r="E24" i="62"/>
  <c r="H24" i="62" s="1"/>
  <c r="E23" i="62"/>
  <c r="H23" i="62" s="1"/>
  <c r="E21" i="62"/>
  <c r="H21" i="62" s="1"/>
  <c r="E22" i="62"/>
  <c r="H22" i="62" s="1"/>
  <c r="E18" i="62"/>
  <c r="H18" i="62" s="1"/>
  <c r="E17" i="62"/>
  <c r="H17" i="62" s="1"/>
  <c r="E16" i="62"/>
  <c r="H16" i="62" s="1"/>
  <c r="E15" i="62"/>
  <c r="H15" i="62" s="1"/>
  <c r="E14" i="62"/>
  <c r="H14" i="62" s="1"/>
  <c r="E13" i="62"/>
  <c r="H13" i="62" s="1"/>
  <c r="E11" i="62"/>
  <c r="H11" i="62" s="1"/>
  <c r="E12" i="62"/>
  <c r="F11" i="55"/>
  <c r="D17" i="55"/>
  <c r="G41" i="51"/>
  <c r="F41" i="51"/>
  <c r="F19" i="52"/>
  <c r="F26" i="51"/>
  <c r="C24" i="51"/>
  <c r="C16" i="51"/>
  <c r="E44" i="54"/>
  <c r="F46" i="54" s="1"/>
  <c r="D44" i="54"/>
  <c r="F45" i="54" s="1"/>
  <c r="C44" i="54"/>
  <c r="F44" i="54" s="1"/>
  <c r="E41" i="54"/>
  <c r="F43" i="54" s="1"/>
  <c r="D41" i="54"/>
  <c r="F42" i="54" s="1"/>
  <c r="C41" i="54"/>
  <c r="F41" i="54" s="1"/>
  <c r="E31" i="54"/>
  <c r="F33" i="54" s="1"/>
  <c r="D31" i="54"/>
  <c r="F32" i="54" s="1"/>
  <c r="E9" i="54"/>
  <c r="E8" i="20"/>
  <c r="E14" i="54"/>
  <c r="D14" i="54"/>
  <c r="C14" i="54"/>
  <c r="D8" i="20"/>
  <c r="D14" i="20" s="1"/>
  <c r="D18" i="20" s="1"/>
  <c r="D20" i="20" s="1"/>
  <c r="C9" i="54"/>
  <c r="C8" i="20"/>
  <c r="H42" i="62"/>
  <c r="C10" i="62"/>
  <c r="C20" i="62"/>
  <c r="C29" i="62"/>
  <c r="C40" i="62"/>
  <c r="C47" i="62"/>
  <c r="C57" i="62"/>
  <c r="C65" i="62"/>
  <c r="G10" i="62"/>
  <c r="G20" i="62"/>
  <c r="G29" i="62"/>
  <c r="G40" i="62"/>
  <c r="G47" i="62"/>
  <c r="G57" i="62"/>
  <c r="G65" i="62"/>
  <c r="G76" i="62"/>
  <c r="F10" i="62"/>
  <c r="F20" i="62"/>
  <c r="F29" i="62"/>
  <c r="F40" i="62"/>
  <c r="F47" i="62"/>
  <c r="F57" i="62"/>
  <c r="F65" i="62"/>
  <c r="F76" i="62"/>
  <c r="D10" i="62"/>
  <c r="D20" i="62"/>
  <c r="D29" i="62"/>
  <c r="D40" i="62"/>
  <c r="D47" i="62"/>
  <c r="D57" i="62"/>
  <c r="D65" i="62"/>
  <c r="D76" i="62"/>
  <c r="C9" i="61"/>
  <c r="C21" i="61"/>
  <c r="C32" i="38"/>
  <c r="C34" i="38" s="1"/>
  <c r="B32" i="38"/>
  <c r="F9" i="61"/>
  <c r="F21" i="61"/>
  <c r="F32" i="38"/>
  <c r="F34" i="38" s="1"/>
  <c r="D9" i="52"/>
  <c r="D13" i="52"/>
  <c r="E9" i="52"/>
  <c r="E8" i="52" s="1"/>
  <c r="E18" i="52" s="1"/>
  <c r="E13" i="52"/>
  <c r="F9" i="52"/>
  <c r="F13" i="52"/>
  <c r="F37" i="51"/>
  <c r="F30" i="51"/>
  <c r="F22" i="51"/>
  <c r="F18" i="51"/>
  <c r="F8" i="51"/>
  <c r="F54" i="51"/>
  <c r="F58" i="51"/>
  <c r="F62" i="51"/>
  <c r="F45" i="2"/>
  <c r="F39" i="2"/>
  <c r="F35" i="2"/>
  <c r="F30" i="2"/>
  <c r="F17" i="2"/>
  <c r="B30" i="2"/>
  <c r="B17" i="2"/>
  <c r="G37" i="51"/>
  <c r="G30" i="51"/>
  <c r="G26" i="51"/>
  <c r="G22" i="51"/>
  <c r="G18" i="51"/>
  <c r="G8" i="51"/>
  <c r="G54" i="51"/>
  <c r="G58" i="51"/>
  <c r="G62" i="51"/>
  <c r="G68" i="51"/>
  <c r="G45" i="2"/>
  <c r="G39" i="2"/>
  <c r="G35" i="2"/>
  <c r="G30" i="2"/>
  <c r="G17" i="2"/>
  <c r="B40" i="51"/>
  <c r="B37" i="51"/>
  <c r="B24" i="51"/>
  <c r="B16" i="51"/>
  <c r="C18" i="6"/>
  <c r="D18" i="6"/>
  <c r="E18" i="6"/>
  <c r="C40" i="51"/>
  <c r="C37" i="51"/>
  <c r="C8" i="51"/>
  <c r="C30" i="2"/>
  <c r="C17" i="2"/>
  <c r="E21" i="61"/>
  <c r="B21" i="61"/>
  <c r="E9" i="61"/>
  <c r="B9" i="61"/>
  <c r="I13" i="52"/>
  <c r="K17" i="53"/>
  <c r="K16" i="53"/>
  <c r="K15" i="53"/>
  <c r="K14" i="53"/>
  <c r="K11" i="53"/>
  <c r="K10" i="53"/>
  <c r="K9" i="53"/>
  <c r="F10" i="55"/>
  <c r="H39" i="55"/>
  <c r="G39" i="55"/>
  <c r="E39" i="55"/>
  <c r="D39" i="55"/>
  <c r="E17" i="55"/>
  <c r="H17" i="55"/>
  <c r="G17" i="55"/>
  <c r="J13" i="53"/>
  <c r="I13" i="53"/>
  <c r="H13" i="53"/>
  <c r="G13" i="53"/>
  <c r="F13" i="53"/>
  <c r="F7" i="53"/>
  <c r="E13" i="53"/>
  <c r="D13" i="53"/>
  <c r="C13" i="53"/>
  <c r="B13" i="53"/>
  <c r="J7" i="53"/>
  <c r="I7" i="53"/>
  <c r="I19" i="53" s="1"/>
  <c r="H7" i="53"/>
  <c r="G7" i="53"/>
  <c r="E7" i="53"/>
  <c r="E19" i="53" s="1"/>
  <c r="D7" i="53"/>
  <c r="C7" i="53"/>
  <c r="B7" i="53"/>
  <c r="B19" i="53" s="1"/>
  <c r="E77" i="54"/>
  <c r="E75" i="54"/>
  <c r="E81" i="54"/>
  <c r="E83" i="54"/>
  <c r="C78" i="54"/>
  <c r="C79" i="54"/>
  <c r="C75" i="54"/>
  <c r="C81" i="54"/>
  <c r="D77" i="54"/>
  <c r="D83" i="54"/>
  <c r="D81" i="54"/>
  <c r="D75" i="54"/>
  <c r="E65" i="54"/>
  <c r="E63" i="54"/>
  <c r="E61" i="54"/>
  <c r="E60" i="54"/>
  <c r="E57" i="54"/>
  <c r="D65" i="54"/>
  <c r="D63" i="54"/>
  <c r="D61" i="54"/>
  <c r="D60" i="54"/>
  <c r="D57" i="54"/>
  <c r="C60" i="54"/>
  <c r="C61" i="54"/>
  <c r="C57" i="54"/>
  <c r="C63" i="54"/>
  <c r="I36" i="55"/>
  <c r="I35" i="55"/>
  <c r="I34" i="55"/>
  <c r="I33" i="55"/>
  <c r="I32" i="55"/>
  <c r="I31" i="55"/>
  <c r="I29" i="55"/>
  <c r="I28" i="55"/>
  <c r="I27" i="55"/>
  <c r="I26" i="55"/>
  <c r="I25" i="55"/>
  <c r="I24" i="55"/>
  <c r="I23" i="55"/>
  <c r="I22" i="55"/>
  <c r="I21" i="55"/>
  <c r="I20" i="55"/>
  <c r="I19" i="55"/>
  <c r="I16" i="55"/>
  <c r="I15" i="55"/>
  <c r="I14" i="55"/>
  <c r="I13" i="55"/>
  <c r="I11" i="55"/>
  <c r="I10" i="55"/>
  <c r="F64" i="55"/>
  <c r="F63" i="55" s="1"/>
  <c r="F50" i="55"/>
  <c r="F51" i="55"/>
  <c r="F52" i="55"/>
  <c r="F53" i="55"/>
  <c r="F54" i="55"/>
  <c r="F55" i="55"/>
  <c r="F56" i="55"/>
  <c r="F57" i="55"/>
  <c r="F59" i="55"/>
  <c r="F58" i="55" s="1"/>
  <c r="F41" i="55"/>
  <c r="F40" i="55"/>
  <c r="F38" i="55"/>
  <c r="F37" i="55" s="1"/>
  <c r="F32" i="55"/>
  <c r="F33" i="55"/>
  <c r="F34" i="55"/>
  <c r="F35" i="55"/>
  <c r="F36" i="55"/>
  <c r="F13" i="55"/>
  <c r="F14" i="55"/>
  <c r="F15" i="55"/>
  <c r="F16" i="55"/>
  <c r="F19" i="55"/>
  <c r="F20" i="55"/>
  <c r="F21" i="55"/>
  <c r="F22" i="55"/>
  <c r="F23" i="55"/>
  <c r="F24" i="55"/>
  <c r="F25" i="55"/>
  <c r="F26" i="55"/>
  <c r="F27" i="55"/>
  <c r="F28" i="55"/>
  <c r="F29" i="55"/>
  <c r="F71" i="55"/>
  <c r="D79" i="55"/>
  <c r="E79" i="55"/>
  <c r="F78" i="55"/>
  <c r="F77" i="55"/>
  <c r="F79" i="55" s="1"/>
  <c r="H79" i="55"/>
  <c r="H71" i="55"/>
  <c r="H49" i="55"/>
  <c r="H58" i="55"/>
  <c r="H63" i="55"/>
  <c r="H37" i="55"/>
  <c r="G79" i="55"/>
  <c r="G71" i="55"/>
  <c r="G63" i="55"/>
  <c r="G58" i="55"/>
  <c r="G49" i="55"/>
  <c r="G37" i="55"/>
  <c r="E71" i="55"/>
  <c r="E63" i="55"/>
  <c r="E58" i="55"/>
  <c r="E49" i="55"/>
  <c r="E37" i="55"/>
  <c r="D71" i="55"/>
  <c r="D37" i="55"/>
  <c r="D49" i="55"/>
  <c r="D58" i="55"/>
  <c r="D63" i="55"/>
  <c r="C23" i="52"/>
  <c r="D23" i="52"/>
  <c r="E23" i="52"/>
  <c r="F23" i="52"/>
  <c r="C19" i="52"/>
  <c r="D19" i="52"/>
  <c r="E19" i="52"/>
  <c r="I23" i="52"/>
  <c r="H23" i="52"/>
  <c r="I19" i="52"/>
  <c r="H19" i="52"/>
  <c r="I9" i="52"/>
  <c r="H9" i="52"/>
  <c r="H13" i="52"/>
  <c r="D9" i="38"/>
  <c r="G9" i="38" s="1"/>
  <c r="D10" i="38"/>
  <c r="G10" i="38" s="1"/>
  <c r="D11" i="38"/>
  <c r="G11" i="38" s="1"/>
  <c r="D12" i="38"/>
  <c r="G12" i="38" s="1"/>
  <c r="D13" i="38"/>
  <c r="G13" i="38" s="1"/>
  <c r="D14" i="38"/>
  <c r="G14" i="38" s="1"/>
  <c r="D15" i="38"/>
  <c r="G15" i="38" s="1"/>
  <c r="D16" i="38"/>
  <c r="G16" i="38" s="1"/>
  <c r="D17" i="38"/>
  <c r="G17" i="38" s="1"/>
  <c r="D18" i="38"/>
  <c r="D26" i="38"/>
  <c r="D27" i="38"/>
  <c r="D28" i="38"/>
  <c r="D29" i="38"/>
  <c r="D30" i="38"/>
  <c r="D31" i="38"/>
  <c r="D19" i="38"/>
  <c r="D20" i="38"/>
  <c r="D21" i="38"/>
  <c r="D22" i="38"/>
  <c r="D23" i="38"/>
  <c r="D24" i="38"/>
  <c r="D25" i="38"/>
  <c r="A3" i="27"/>
  <c r="A3" i="20"/>
  <c r="A3" i="32"/>
  <c r="A3" i="42"/>
  <c r="B3" i="19"/>
  <c r="A3" i="16"/>
  <c r="A4" i="45"/>
  <c r="A4" i="44"/>
  <c r="A4" i="38"/>
  <c r="A4" i="37"/>
  <c r="A3" i="6"/>
  <c r="A3" i="24"/>
  <c r="A3" i="13"/>
  <c r="A3" i="26"/>
  <c r="G19" i="38"/>
  <c r="G20" i="38"/>
  <c r="G21" i="38"/>
  <c r="G22" i="38"/>
  <c r="G23" i="38"/>
  <c r="G24" i="38"/>
  <c r="G25" i="38"/>
  <c r="G26" i="38"/>
  <c r="G27" i="38"/>
  <c r="G28" i="38"/>
  <c r="G29" i="38"/>
  <c r="G30" i="38"/>
  <c r="G31" i="38"/>
  <c r="G18" i="38"/>
  <c r="D38" i="42"/>
  <c r="G38" i="42" s="1"/>
  <c r="D37" i="42"/>
  <c r="G37" i="42" s="1"/>
  <c r="D36" i="42"/>
  <c r="G36" i="42" s="1"/>
  <c r="D9" i="6"/>
  <c r="F23" i="45"/>
  <c r="E23" i="45"/>
  <c r="C23" i="45"/>
  <c r="B23" i="45"/>
  <c r="D56" i="1"/>
  <c r="C56" i="1"/>
  <c r="C51" i="1"/>
  <c r="C45" i="1"/>
  <c r="F19" i="20" s="1"/>
  <c r="C31" i="1"/>
  <c r="C27" i="1"/>
  <c r="C41" i="1"/>
  <c r="D51" i="1"/>
  <c r="D45" i="1"/>
  <c r="D31" i="1"/>
  <c r="D27" i="1"/>
  <c r="D41" i="1"/>
  <c r="D18" i="1"/>
  <c r="D15" i="1"/>
  <c r="D7" i="1"/>
  <c r="C18" i="1"/>
  <c r="C15" i="1"/>
  <c r="C7" i="1"/>
  <c r="D12" i="42"/>
  <c r="G12" i="42" s="1"/>
  <c r="D11" i="42"/>
  <c r="G11" i="42" s="1"/>
  <c r="D21" i="42"/>
  <c r="G21" i="42" s="1"/>
  <c r="D20" i="42"/>
  <c r="D19" i="42"/>
  <c r="G19" i="42" s="1"/>
  <c r="D18" i="42"/>
  <c r="G18" i="42" s="1"/>
  <c r="D17" i="42"/>
  <c r="G17" i="42" s="1"/>
  <c r="D16" i="42"/>
  <c r="G16" i="42" s="1"/>
  <c r="D15" i="42"/>
  <c r="G15" i="42" s="1"/>
  <c r="D14" i="42"/>
  <c r="G14" i="42" s="1"/>
  <c r="D25" i="42"/>
  <c r="G25" i="42" s="1"/>
  <c r="D24" i="42"/>
  <c r="G24" i="42" s="1"/>
  <c r="D23" i="42"/>
  <c r="G23" i="42" s="1"/>
  <c r="D28" i="42"/>
  <c r="G28" i="42" s="1"/>
  <c r="D27" i="42"/>
  <c r="D35" i="42"/>
  <c r="D34" i="42" s="1"/>
  <c r="D32" i="42"/>
  <c r="G32" i="42" s="1"/>
  <c r="D31" i="42"/>
  <c r="G31" i="42" s="1"/>
  <c r="D30" i="42"/>
  <c r="G30" i="42" s="1"/>
  <c r="D33" i="42"/>
  <c r="G33" i="42" s="1"/>
  <c r="F34" i="42"/>
  <c r="E34" i="42"/>
  <c r="C34" i="42"/>
  <c r="B34" i="42"/>
  <c r="F29" i="42"/>
  <c r="E29" i="42"/>
  <c r="C29" i="42"/>
  <c r="B29" i="42"/>
  <c r="F26" i="42"/>
  <c r="E26" i="42"/>
  <c r="C26" i="42"/>
  <c r="B26" i="42"/>
  <c r="F22" i="42"/>
  <c r="E22" i="42"/>
  <c r="C22" i="42"/>
  <c r="B22" i="42"/>
  <c r="F13" i="42"/>
  <c r="E13" i="42"/>
  <c r="C13" i="42"/>
  <c r="B13" i="42"/>
  <c r="B39" i="42" s="1"/>
  <c r="F39" i="42"/>
  <c r="E63" i="23"/>
  <c r="E26" i="20"/>
  <c r="D26" i="20"/>
  <c r="C26" i="20"/>
  <c r="D31" i="19"/>
  <c r="D19" i="19"/>
  <c r="C31" i="19"/>
  <c r="C19" i="19"/>
  <c r="E29" i="16"/>
  <c r="E28" i="16"/>
  <c r="E27" i="16"/>
  <c r="E26" i="16"/>
  <c r="E25" i="16"/>
  <c r="E24" i="16"/>
  <c r="E23" i="16"/>
  <c r="E22" i="16"/>
  <c r="E21" i="16"/>
  <c r="E20" i="16"/>
  <c r="E9" i="16"/>
  <c r="E10" i="16"/>
  <c r="E11" i="16"/>
  <c r="E12" i="16"/>
  <c r="E13" i="16"/>
  <c r="E14" i="16"/>
  <c r="E15" i="16"/>
  <c r="E16" i="16"/>
  <c r="E17" i="16"/>
  <c r="E8" i="16"/>
  <c r="D30" i="16"/>
  <c r="D18" i="16"/>
  <c r="C30" i="16"/>
  <c r="C18" i="16"/>
  <c r="G11" i="45"/>
  <c r="G13" i="45"/>
  <c r="G15" i="45"/>
  <c r="G17" i="45"/>
  <c r="G19" i="45"/>
  <c r="G21" i="45"/>
  <c r="D11" i="45"/>
  <c r="D12" i="45"/>
  <c r="G12" i="45" s="1"/>
  <c r="D13" i="45"/>
  <c r="D14" i="45"/>
  <c r="G14" i="45" s="1"/>
  <c r="D15" i="45"/>
  <c r="D16" i="45"/>
  <c r="G16" i="45" s="1"/>
  <c r="D17" i="45"/>
  <c r="D18" i="45"/>
  <c r="G18" i="45" s="1"/>
  <c r="D19" i="45"/>
  <c r="D20" i="45"/>
  <c r="G20" i="45" s="1"/>
  <c r="D21" i="45"/>
  <c r="D22" i="45"/>
  <c r="G22" i="45" s="1"/>
  <c r="D10" i="45"/>
  <c r="G10" i="45" s="1"/>
  <c r="F15" i="44"/>
  <c r="E15" i="44"/>
  <c r="C15" i="44"/>
  <c r="B15" i="44"/>
  <c r="D11" i="44"/>
  <c r="G11" i="44" s="1"/>
  <c r="D12" i="44"/>
  <c r="G12" i="44" s="1"/>
  <c r="D13" i="44"/>
  <c r="G13" i="44" s="1"/>
  <c r="D10" i="44"/>
  <c r="G10" i="44" s="1"/>
  <c r="E32" i="38"/>
  <c r="E34" i="38" s="1"/>
  <c r="F26" i="6"/>
  <c r="G26" i="6" s="1"/>
  <c r="F27" i="6"/>
  <c r="G27" i="6" s="1"/>
  <c r="F25" i="6"/>
  <c r="G25" i="6" s="1"/>
  <c r="F24" i="6"/>
  <c r="G24" i="6" s="1"/>
  <c r="F23" i="6"/>
  <c r="G23" i="6" s="1"/>
  <c r="F22" i="6"/>
  <c r="G22" i="6" s="1"/>
  <c r="F21" i="6"/>
  <c r="G21" i="6" s="1"/>
  <c r="F20" i="6"/>
  <c r="G20" i="6" s="1"/>
  <c r="F19" i="6"/>
  <c r="G19" i="6" s="1"/>
  <c r="F11" i="6"/>
  <c r="G11" i="6" s="1"/>
  <c r="F12" i="6"/>
  <c r="G12" i="6" s="1"/>
  <c r="F13" i="6"/>
  <c r="G13" i="6" s="1"/>
  <c r="F14" i="6"/>
  <c r="G14" i="6" s="1"/>
  <c r="F15" i="6"/>
  <c r="G15" i="6" s="1"/>
  <c r="F16" i="6"/>
  <c r="G16" i="6" s="1"/>
  <c r="F10" i="6"/>
  <c r="G10" i="6" s="1"/>
  <c r="F15" i="37"/>
  <c r="E15" i="37"/>
  <c r="C15" i="37"/>
  <c r="B15" i="37"/>
  <c r="D13" i="37"/>
  <c r="G13" i="37" s="1"/>
  <c r="D12" i="37"/>
  <c r="G12" i="37" s="1"/>
  <c r="D11" i="37"/>
  <c r="G11" i="37" s="1"/>
  <c r="D10" i="37"/>
  <c r="G10" i="37" s="1"/>
  <c r="D9" i="37"/>
  <c r="G9" i="37" s="1"/>
  <c r="E9" i="6"/>
  <c r="C9" i="6"/>
  <c r="D38" i="23"/>
  <c r="D42" i="23"/>
  <c r="C38" i="23"/>
  <c r="C42" i="23"/>
  <c r="G35" i="42"/>
  <c r="G34" i="42" s="1"/>
  <c r="F49" i="55"/>
  <c r="F69" i="55" s="1"/>
  <c r="G20" i="42"/>
  <c r="D7" i="6" l="1"/>
  <c r="C24" i="1"/>
  <c r="E21" i="96" s="1"/>
  <c r="H8" i="52"/>
  <c r="H18" i="52" s="1"/>
  <c r="I8" i="52"/>
  <c r="I18" i="52" s="1"/>
  <c r="F8" i="52"/>
  <c r="F18" i="52" s="1"/>
  <c r="D8" i="52"/>
  <c r="D18" i="52" s="1"/>
  <c r="G19" i="53"/>
  <c r="E22" i="54"/>
  <c r="E24" i="54" s="1"/>
  <c r="E26" i="54" s="1"/>
  <c r="E35" i="54" s="1"/>
  <c r="I79" i="55"/>
  <c r="D59" i="54"/>
  <c r="D67" i="54" s="1"/>
  <c r="D69" i="54" s="1"/>
  <c r="E57" i="62"/>
  <c r="C7" i="6"/>
  <c r="G19" i="52"/>
  <c r="H19" i="53"/>
  <c r="D46" i="62"/>
  <c r="K7" i="53"/>
  <c r="C9" i="62"/>
  <c r="I49" i="55"/>
  <c r="E43" i="55"/>
  <c r="C45" i="51"/>
  <c r="C58" i="51" s="1"/>
  <c r="I157" i="71"/>
  <c r="I39" i="55"/>
  <c r="E69" i="55"/>
  <c r="F30" i="55"/>
  <c r="I17" i="55"/>
  <c r="I30" i="55"/>
  <c r="G9" i="52"/>
  <c r="J10" i="52" s="1"/>
  <c r="D59" i="1"/>
  <c r="F18" i="6"/>
  <c r="G18" i="6" s="1"/>
  <c r="D9" i="62"/>
  <c r="D82" i="62" s="1"/>
  <c r="I83" i="62" s="1"/>
  <c r="D46" i="23"/>
  <c r="D59" i="23"/>
  <c r="H20" i="62"/>
  <c r="E47" i="62"/>
  <c r="F17" i="55"/>
  <c r="G13" i="52"/>
  <c r="J14" i="52" s="1"/>
  <c r="I63" i="55"/>
  <c r="C31" i="16"/>
  <c r="D26" i="42"/>
  <c r="H57" i="62"/>
  <c r="E85" i="54"/>
  <c r="E87" i="54" s="1"/>
  <c r="J19" i="53"/>
  <c r="K19" i="53" s="1"/>
  <c r="G71" i="51"/>
  <c r="G45" i="51"/>
  <c r="G56" i="51" s="1"/>
  <c r="F9" i="62"/>
  <c r="G46" i="62"/>
  <c r="G9" i="62"/>
  <c r="C46" i="62"/>
  <c r="B45" i="51"/>
  <c r="B58" i="51" s="1"/>
  <c r="H25" i="67"/>
  <c r="E25" i="67"/>
  <c r="E19" i="67"/>
  <c r="H35" i="67"/>
  <c r="D24" i="1"/>
  <c r="C42" i="24"/>
  <c r="F49" i="2"/>
  <c r="G41" i="80" s="1"/>
  <c r="E40" i="62"/>
  <c r="D22" i="42"/>
  <c r="K13" i="53"/>
  <c r="G27" i="42"/>
  <c r="G26" i="42" s="1"/>
  <c r="D23" i="45"/>
  <c r="B32" i="61"/>
  <c r="H32" i="61" s="1"/>
  <c r="E14" i="20"/>
  <c r="E18" i="20" s="1"/>
  <c r="E20" i="20" s="1"/>
  <c r="G23" i="52"/>
  <c r="I58" i="55"/>
  <c r="E65" i="62"/>
  <c r="D13" i="42"/>
  <c r="D48" i="54"/>
  <c r="D29" i="42"/>
  <c r="C48" i="54"/>
  <c r="C35" i="23"/>
  <c r="D31" i="16"/>
  <c r="D32" i="19"/>
  <c r="C59" i="23"/>
  <c r="C59" i="54"/>
  <c r="C67" i="54" s="1"/>
  <c r="C69" i="54" s="1"/>
  <c r="E59" i="54"/>
  <c r="E67" i="54" s="1"/>
  <c r="E69" i="54" s="1"/>
  <c r="E20" i="62"/>
  <c r="G9" i="61"/>
  <c r="D35" i="23"/>
  <c r="G13" i="42"/>
  <c r="C59" i="1"/>
  <c r="D85" i="54"/>
  <c r="D87" i="54" s="1"/>
  <c r="F32" i="2"/>
  <c r="F71" i="51"/>
  <c r="F45" i="51"/>
  <c r="F56" i="51" s="1"/>
  <c r="D44" i="67"/>
  <c r="F44" i="67"/>
  <c r="E6" i="96" s="1"/>
  <c r="G27" i="65"/>
  <c r="F39" i="55"/>
  <c r="G49" i="2"/>
  <c r="G23" i="80" s="1"/>
  <c r="C46" i="23"/>
  <c r="C19" i="53"/>
  <c r="C32" i="2"/>
  <c r="G32" i="2"/>
  <c r="D32" i="38"/>
  <c r="D34" i="38" s="1"/>
  <c r="C32" i="61"/>
  <c r="H33" i="61" s="1"/>
  <c r="F46" i="62"/>
  <c r="G15" i="65"/>
  <c r="G8" i="65" s="1"/>
  <c r="D27" i="65"/>
  <c r="D20" i="65" s="1"/>
  <c r="C44" i="67"/>
  <c r="F8" i="20" s="1"/>
  <c r="G44" i="67"/>
  <c r="E10" i="62"/>
  <c r="C22" i="54"/>
  <c r="C24" i="54" s="1"/>
  <c r="C26" i="54" s="1"/>
  <c r="C35" i="54" s="1"/>
  <c r="E48" i="54"/>
  <c r="C77" i="54"/>
  <c r="C85" i="54" s="1"/>
  <c r="C87" i="54" s="1"/>
  <c r="D15" i="44"/>
  <c r="D9" i="61"/>
  <c r="G29" i="42"/>
  <c r="H40" i="62"/>
  <c r="H47" i="62"/>
  <c r="B32" i="2"/>
  <c r="H76" i="62"/>
  <c r="A4" i="71"/>
  <c r="F31" i="65"/>
  <c r="G22" i="61"/>
  <c r="G21" i="61" s="1"/>
  <c r="D21" i="61"/>
  <c r="E76" i="62"/>
  <c r="E18" i="16"/>
  <c r="C14" i="20"/>
  <c r="C18" i="20" s="1"/>
  <c r="C20" i="20" s="1"/>
  <c r="H30" i="62"/>
  <c r="H29" i="62" s="1"/>
  <c r="E29" i="62"/>
  <c r="E7" i="6"/>
  <c r="E30" i="16"/>
  <c r="C39" i="42"/>
  <c r="F19" i="53"/>
  <c r="F32" i="61"/>
  <c r="H36" i="61" s="1"/>
  <c r="F15" i="54"/>
  <c r="F11" i="54"/>
  <c r="C8" i="52"/>
  <c r="C18" i="52" s="1"/>
  <c r="J20" i="52" s="1"/>
  <c r="E39" i="42"/>
  <c r="D69" i="55"/>
  <c r="D19" i="53"/>
  <c r="G43" i="55"/>
  <c r="F9" i="54"/>
  <c r="F14" i="54"/>
  <c r="F16" i="54"/>
  <c r="C32" i="19"/>
  <c r="G69" i="55"/>
  <c r="H69" i="55"/>
  <c r="H43" i="55"/>
  <c r="E32" i="61"/>
  <c r="D43" i="55"/>
  <c r="C31" i="65"/>
  <c r="B31" i="65"/>
  <c r="E31" i="65"/>
  <c r="E35" i="67"/>
  <c r="F9" i="6"/>
  <c r="H9" i="6" s="1"/>
  <c r="H65" i="62"/>
  <c r="D15" i="37"/>
  <c r="G22" i="42"/>
  <c r="D15" i="65"/>
  <c r="D8" i="65" s="1"/>
  <c r="G22" i="65"/>
  <c r="H12" i="62"/>
  <c r="H10" i="62" s="1"/>
  <c r="E74" i="55" l="1"/>
  <c r="D43" i="24"/>
  <c r="D61" i="1"/>
  <c r="E62" i="1" s="1"/>
  <c r="H18" i="6"/>
  <c r="C82" i="62"/>
  <c r="I82" i="62" s="1"/>
  <c r="G23" i="45"/>
  <c r="F43" i="55"/>
  <c r="F74" i="55" s="1"/>
  <c r="J81" i="55" s="1"/>
  <c r="G82" i="62"/>
  <c r="I86" i="62" s="1"/>
  <c r="I69" i="55"/>
  <c r="I43" i="55"/>
  <c r="F82" i="62"/>
  <c r="I85" i="62" s="1"/>
  <c r="G72" i="51"/>
  <c r="H58" i="51"/>
  <c r="H59" i="51"/>
  <c r="D61" i="23"/>
  <c r="D64" i="23" s="1"/>
  <c r="D39" i="42"/>
  <c r="H45" i="67"/>
  <c r="H20" i="67"/>
  <c r="H19" i="67"/>
  <c r="C61" i="1"/>
  <c r="G51" i="2"/>
  <c r="G32" i="61"/>
  <c r="G8" i="52"/>
  <c r="G18" i="52" s="1"/>
  <c r="J19" i="52" s="1"/>
  <c r="D31" i="65"/>
  <c r="H74" i="55"/>
  <c r="J83" i="55" s="1"/>
  <c r="H44" i="67"/>
  <c r="G20" i="65"/>
  <c r="G31" i="65" s="1"/>
  <c r="G39" i="42"/>
  <c r="E46" i="62"/>
  <c r="C61" i="23"/>
  <c r="C64" i="23" s="1"/>
  <c r="D74" i="55"/>
  <c r="J79" i="55" s="1"/>
  <c r="E9" i="62"/>
  <c r="F72" i="51"/>
  <c r="E44" i="67"/>
  <c r="G74" i="55"/>
  <c r="J82" i="55" s="1"/>
  <c r="F51" i="2"/>
  <c r="H51" i="2" s="1"/>
  <c r="G38" i="75"/>
  <c r="G32" i="38"/>
  <c r="G15" i="44"/>
  <c r="H9" i="62"/>
  <c r="I46" i="55"/>
  <c r="E31" i="16"/>
  <c r="H46" i="62"/>
  <c r="D32" i="61"/>
  <c r="J80" i="55"/>
  <c r="J86" i="55"/>
  <c r="G15" i="37"/>
  <c r="F7" i="6"/>
  <c r="H7" i="6" s="1"/>
  <c r="G9" i="6"/>
  <c r="G7" i="6" s="1"/>
  <c r="E64" i="23" l="1"/>
  <c r="E61" i="1"/>
  <c r="I74" i="55"/>
  <c r="J84" i="55" s="1"/>
  <c r="J87" i="55"/>
  <c r="J89" i="55"/>
  <c r="E82" i="62"/>
  <c r="I84" i="62" s="1"/>
  <c r="H72" i="51"/>
  <c r="H52" i="2"/>
  <c r="H82" i="62"/>
  <c r="I87" i="62" s="1"/>
  <c r="J88" i="55"/>
  <c r="J85" i="55"/>
  <c r="H73" i="51"/>
  <c r="H37" i="61"/>
  <c r="H34" i="61"/>
  <c r="H35" i="61"/>
  <c r="J90" i="55" l="1"/>
  <c r="D9" i="54"/>
  <c r="D22" i="54" l="1"/>
  <c r="D24" i="54" s="1"/>
  <c r="D26" i="54" s="1"/>
  <c r="D35" i="54" s="1"/>
  <c r="F10" i="5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Claudia</author>
  </authors>
  <commentList>
    <comment ref="C61" authorId="0" shapeId="0" xr:uid="{00000000-0006-0000-0300-000001000000}">
      <text>
        <r>
          <rPr>
            <b/>
            <sz val="9"/>
            <color indexed="81"/>
            <rFont val="Tahoma"/>
            <family val="2"/>
          </rPr>
          <t>EVALUACIÓN:
VERIFICAR QUE COINCIDA EL MONTO CON LO REPORTADO EN EL FORMATO ETCA-I-01 EN EL EJERCICIO ACTUAL.</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Claudia</author>
  </authors>
  <commentList>
    <comment ref="F9" authorId="0" shapeId="0" xr:uid="{00000000-0006-0000-0700-000001000000}">
      <text>
        <r>
          <rPr>
            <b/>
            <sz val="9"/>
            <color indexed="81"/>
            <rFont val="Tahoma"/>
            <family val="2"/>
          </rPr>
          <t>Evaluación:
Verificar que coincida este monto con lo reportado en el formato CPCA-I-01 en el ejercicio actual en el mismo rubro</t>
        </r>
      </text>
    </comment>
    <comment ref="F18" authorId="0" shapeId="0" xr:uid="{00000000-0006-0000-0700-000002000000}">
      <text>
        <r>
          <rPr>
            <b/>
            <sz val="9"/>
            <color indexed="81"/>
            <rFont val="Tahoma"/>
            <family val="2"/>
          </rPr>
          <t>Evaluación:
Verificar que coincida este monto con lo reportado en el formato CPCA-I-01 en el ejercicio actual en el mismo rubro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Claudia</author>
  </authors>
  <commentList>
    <comment ref="F38" authorId="0" shapeId="0" xr:uid="{00000000-0006-0000-0800-000001000000}">
      <text>
        <r>
          <rPr>
            <b/>
            <sz val="9"/>
            <color indexed="81"/>
            <rFont val="Tahoma"/>
            <family val="2"/>
          </rPr>
          <t>Evaluación:
Verificar que coincida este monto con lo reportado en el formato ETCA-I-01 en el ejercicio actual Total de Pasivo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Claudia</author>
  </authors>
  <commentList>
    <comment ref="G20" authorId="0" shapeId="0" xr:uid="{00000000-0006-0000-0D00-000001000000}">
      <text>
        <r>
          <rPr>
            <b/>
            <sz val="9"/>
            <color indexed="81"/>
            <rFont val="Tahoma"/>
            <family val="2"/>
          </rPr>
          <t xml:space="preserve">Evaluación:
</t>
        </r>
        <r>
          <rPr>
            <sz val="9"/>
            <color indexed="81"/>
            <rFont val="Tahoma"/>
            <family val="2"/>
          </rPr>
          <t xml:space="preserve">Total Ingreso Recaudado Anual - Total Ingreso Estimado Anual
</t>
        </r>
      </text>
    </comment>
    <comment ref="G45" authorId="0" shapeId="0" xr:uid="{00000000-0006-0000-0D00-000002000000}">
      <text>
        <r>
          <rPr>
            <b/>
            <sz val="9"/>
            <color indexed="81"/>
            <rFont val="Tahoma"/>
            <family val="2"/>
          </rPr>
          <t>Evaluación:
Total Ingreso Recaudado Anual - Total Ingreso Estimado Anual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Claudia</author>
  </authors>
  <commentList>
    <comment ref="D6" authorId="0" shapeId="0" xr:uid="{00000000-0006-0000-0F00-000001000000}">
      <text>
        <r>
          <rPr>
            <b/>
            <sz val="9"/>
            <color indexed="81"/>
            <rFont val="Tahoma"/>
            <family val="2"/>
          </rPr>
          <t>EVALUACIÓN:
VERIFICA QUE COINCIDAN LAS CANTIDADES  DE TOTAL DE INGRESOS CON LO REPORTADO EN EL FORMATO CPCA-II-01 EN EL TOTAL DE LA COLUMNA DE TOTAL DE INGRESOS DEVENGADO ANUAL (4)</t>
        </r>
        <r>
          <rPr>
            <sz val="9"/>
            <color indexed="81"/>
            <rFont val="Tahoma"/>
            <family val="2"/>
          </rPr>
          <t xml:space="preserve">
</t>
        </r>
      </text>
    </comment>
    <comment ref="D21" authorId="0" shapeId="0" xr:uid="{00000000-0006-0000-0F00-000002000000}">
      <text>
        <r>
          <rPr>
            <b/>
            <sz val="9"/>
            <color indexed="81"/>
            <rFont val="Tahoma"/>
            <family val="2"/>
          </rPr>
          <t>EVALUACIÓN:
VERIFICA QUE COINCIDAN LAS CANTIDADES  DE TOTAL DE INGRESOS CON LO REPORTADO EN EL FORMATO CPCA-I-03 EN EL MISMO RUBRO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Claudia</author>
  </authors>
  <commentList>
    <comment ref="C6" authorId="0" shapeId="0" xr:uid="{00000000-0006-0000-1B00-000001000000}">
      <text>
        <r>
          <rPr>
            <b/>
            <sz val="9"/>
            <color indexed="81"/>
            <rFont val="Tahoma"/>
            <family val="2"/>
          </rPr>
          <t>EVALUACIÓN:
VERIFICA QUE COINCIDAN LAS CANTIDADES  DE TOTAL DE EGRESOS CON LO REPORTADO EN EL FORMATO ETCA-II-04 EN EL TOTAL DE LA COLUMNA DE EGRESOS DEVENGADO ANUAL.</t>
        </r>
      </text>
    </comment>
    <comment ref="C42" authorId="0" shapeId="0" xr:uid="{00000000-0006-0000-1B00-000002000000}">
      <text>
        <r>
          <rPr>
            <b/>
            <sz val="9"/>
            <color indexed="81"/>
            <rFont val="Tahoma"/>
            <family val="2"/>
          </rPr>
          <t>EVALUACIÓN:
VERIFICA QUE COINCIDAN LAS CANTIDADES  DEL TOTAL GASTO CONTABLE CON LO REPORTADO EN EL FORMATO ETCA-I-03 EN EL TOTAL DE GASTOS Y OTRAS PÉRDIDAS</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Ismael Norzagaray</author>
  </authors>
  <commentList>
    <comment ref="N338" authorId="0" shapeId="0" xr:uid="{C8C37DDB-BF53-4B61-ADC3-44707FB7EAC9}">
      <text>
        <r>
          <rPr>
            <b/>
            <sz val="9"/>
            <color indexed="81"/>
            <rFont val="Tahoma"/>
            <family val="2"/>
          </rPr>
          <t>PRODDER</t>
        </r>
        <r>
          <rPr>
            <sz val="9"/>
            <color indexed="81"/>
            <rFont val="Tahoma"/>
            <family val="2"/>
          </rPr>
          <t xml:space="preserve">
</t>
        </r>
      </text>
    </comment>
  </commentList>
</comments>
</file>

<file path=xl/sharedStrings.xml><?xml version="1.0" encoding="utf-8"?>
<sst xmlns="http://schemas.openxmlformats.org/spreadsheetml/2006/main" count="11715" uniqueCount="6686">
  <si>
    <t>Formatos</t>
  </si>
  <si>
    <t>Estado de Actividades</t>
  </si>
  <si>
    <t xml:space="preserve">Estado de Variación en la Hacienda Pública </t>
  </si>
  <si>
    <t>Estado de Cambios en la Situación Financiera</t>
  </si>
  <si>
    <t>Estado de Flujos de Efectivo</t>
  </si>
  <si>
    <t>Estado Analítico del Activo</t>
  </si>
  <si>
    <t>Estado Analítico de la Deuda y Otros Pasivos</t>
  </si>
  <si>
    <t>Informe Analítico de la Deuda y Otros Pasivos-Detallado-LDF</t>
  </si>
  <si>
    <t>Informe sobre Pasivos Contingentes</t>
  </si>
  <si>
    <t>Notas a los Estados Financieros</t>
  </si>
  <si>
    <t>II.- Información Presupuestaria</t>
  </si>
  <si>
    <t>Estado Analítico de Ingresos</t>
  </si>
  <si>
    <t>Estado Analítico del Ejercicio Presupuesto de Egresos Detallado-LDF Por Unidad Administrativa</t>
  </si>
  <si>
    <t>Conciliacion entre los Egresos Presupuestarios y los Gastos Contables</t>
  </si>
  <si>
    <t xml:space="preserve">Endeudamiento Neto                                                             </t>
  </si>
  <si>
    <t>III.- Información Programática</t>
  </si>
  <si>
    <t xml:space="preserve">Gasto por Categoría Programática    </t>
  </si>
  <si>
    <t xml:space="preserve">Gasto por Proyectos de Inversión   </t>
  </si>
  <si>
    <t xml:space="preserve">Indicadores de Postura Fiscal                                               </t>
  </si>
  <si>
    <t xml:space="preserve">Balance Presupuestario-LDF                                                            </t>
  </si>
  <si>
    <t>Relación de Cuentas Bancarias Productivas Específicas</t>
  </si>
  <si>
    <t>Análisis de variaciones Programático-Presupuestal</t>
  </si>
  <si>
    <t>Estado de Situación Financiera</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</si>
  <si>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</si>
  <si>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</si>
  <si>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</si>
  <si>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</si>
  <si>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</si>
  <si>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</si>
  <si>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</si>
  <si>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</si>
  <si>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</si>
  <si>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</si>
  <si>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</si>
  <si>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</si>
  <si>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</si>
  <si>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</si>
  <si>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</si>
  <si>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</si>
  <si>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</si>
  <si>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</si>
  <si>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</si>
  <si>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 xml:space="preserve">     Total de Activos Circulantes</t>
  </si>
  <si>
    <t xml:space="preserve">     Total de Pasivos Circulantes</t>
  </si>
  <si>
    <t>Activo No Circulante</t>
  </si>
  <si>
    <t>Pasivo No Circulante</t>
  </si>
  <si>
    <t>Inversiones Financieras a Largo Plazo</t>
  </si>
  <si>
    <t>Cuentas por Pagar a Largo Plazo</t>
  </si>
  <si>
    <t>Derechos a Recibir Efectivo o Equivalentes a Largo Plazo</t>
  </si>
  <si>
    <t>Documentos por Pagar a Largo Plazo</t>
  </si>
  <si>
    <t>Bienes Inmuebles, Infraestructura y Construcciones en Proceso</t>
  </si>
  <si>
    <t>Deuda Pública a Largo Plazo</t>
  </si>
  <si>
    <t>Bienes Muebles</t>
  </si>
  <si>
    <t>Pasivos Diferidos a Largo Plazo</t>
  </si>
  <si>
    <t>Activos Intangibles</t>
  </si>
  <si>
    <t>Fondos y Bienes de Terceros en Garantía y/o en Administración a Largo Plazo</t>
  </si>
  <si>
    <t>Depreciación, Deterioro y Amortización Acumulada de Bienes</t>
  </si>
  <si>
    <t>Provisiones a Largo Plazo</t>
  </si>
  <si>
    <t>Activos Diferidos</t>
  </si>
  <si>
    <t>Estimación por Pérdida o Deterioro de Activos no Circulantes</t>
  </si>
  <si>
    <t>Otros Activos no Circulantes</t>
  </si>
  <si>
    <t>Total de Activos No Circulantes</t>
  </si>
  <si>
    <t>Total de Pasivos No Circulantes</t>
  </si>
  <si>
    <t>Total de Activos</t>
  </si>
  <si>
    <t>Total de Pasivo</t>
  </si>
  <si>
    <t>Hacienda Pública/Patrimonio Contribuido</t>
  </si>
  <si>
    <t>Aportaciones</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</si>
  <si>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</si>
  <si>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</si>
  <si>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</si>
  <si>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</si>
  <si>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</si>
  <si>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</si>
  <si>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</si>
  <si>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</si>
  <si>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</si>
  <si>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</si>
  <si>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</si>
  <si>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</si>
  <si>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 Pasivo y Hacienda Pública/Patrimonio</t>
  </si>
  <si>
    <t>"Bajo protesta de decir verdad declaramos que los Estados Financieros y sus Notas, son razonablemente correctos y son responsabilidad del emisor"</t>
  </si>
  <si>
    <t>Celdas Protegidas</t>
  </si>
  <si>
    <t>(PESOS)</t>
  </si>
  <si>
    <t>Concepto (c)</t>
  </si>
  <si>
    <t>a. Efectivo y Equivalentes (a=a1+a2+a3+a4+a5+a6+a7)</t>
  </si>
  <si>
    <t>a. Cuentas por Pagar a Corto Plazo (a=a1+a2+a3+a4+a5+a6+a7+a8+a9)</t>
  </si>
  <si>
    <t>a1) Efectivo</t>
  </si>
  <si>
    <t>a1) Servicios Personales por Pagar a Corto Plazo</t>
  </si>
  <si>
    <t>a2) Bancos/Tesorería</t>
  </si>
  <si>
    <t>a2) Proveedores por Pagar a Corto Plazo</t>
  </si>
  <si>
    <t>a3) Bancos/Dependencias y Otros</t>
  </si>
  <si>
    <t>a3) Contratistas por Obras Públicas por Pagar a Corto Plazo</t>
  </si>
  <si>
    <t>a4) Inversiones Temporales (Hasta 3 meses)</t>
  </si>
  <si>
    <t>a4) Participaciones y Aportaciones por Pagar a Corto Plazo</t>
  </si>
  <si>
    <t>a5) Fondos con Afectación Específica</t>
  </si>
  <si>
    <t>a5) Transferencias Otorgadas por Pagar a Corto Plazo</t>
  </si>
  <si>
    <t>a6) Depósitos de Fondos de Terceros en Garantía y/o Administración</t>
  </si>
  <si>
    <t>a6) Intereses, Comisiones y Otros Gastos de la Deuda Pública por Pagar a Corto Plazo</t>
  </si>
  <si>
    <t>a7) Otros Efectivos y Equivalentes</t>
  </si>
  <si>
    <t>a7) Retenciones y Contribuciones por Pagar a Corto Plazo</t>
  </si>
  <si>
    <t>b. Derechos a Recibir Efectivo o Equivalentes (b=b1+b2+b3+b4+b5+b6+b7)</t>
  </si>
  <si>
    <t>a8) Devoluciones de la Ley de Ingresos por Pagar a Corto Plazo</t>
  </si>
  <si>
    <t>b1) Inversiones Financieras de Corto Plazo</t>
  </si>
  <si>
    <t>a9) Otras Cuentas por Pagar a Corto Plazo</t>
  </si>
  <si>
    <t>b2) Cuentas por Cobrar a Corto Plazo</t>
  </si>
  <si>
    <t>b. Documentos por Pagar a Corto Plazo (b=b1+b2+b3)</t>
  </si>
  <si>
    <t>b3) Deudores Diversos por Cobrar a Corto Plazo</t>
  </si>
  <si>
    <t>b1) Documentos Comerciales por Pagar a Corto Plazo</t>
  </si>
  <si>
    <t>b4) Ingresos por Recuperar a Corto Plazo</t>
  </si>
  <si>
    <t>b2) Documentos con Contratistas por Obras Públicas por Pagar a Corto Plazo</t>
  </si>
  <si>
    <t>b5) Deudores por Anticipos de la Tesorería a Corto Plazo</t>
  </si>
  <si>
    <t>b3) Otros Documentos por Pagar a Corto Plazo</t>
  </si>
  <si>
    <t>b6) Préstamos Otorgados a Corto Plazo</t>
  </si>
  <si>
    <t>c. Porción a Corto Plazo de la Deuda Pública a Largo Plazo (c=c1+c2)</t>
  </si>
  <si>
    <t>b7) Otros Derechos a Recibir Efectivo o Equivalentes a Corto Plazo</t>
  </si>
  <si>
    <t>c1) Porción a Corto Plazo de la Deuda Pública</t>
  </si>
  <si>
    <t>c. Derechos a Recibir Bienes o Servicios (c=c1+c2+c3+c4+c5)</t>
  </si>
  <si>
    <t>c2) Porción a Corto Plazo de Arrendamiento Financiero</t>
  </si>
  <si>
    <t>c1) Anticipo a Proveedores por Adquisición de Bienes y Prestación de Servicios a Corto Plazo</t>
  </si>
  <si>
    <t>d. Títulos y Valores a Corto Plazo</t>
  </si>
  <si>
    <t>c2) Anticipo a Proveedores por Adquisición de Bienes Inmuebles y Muebles a Corto Plazo</t>
  </si>
  <si>
    <t>e. Pasivos Diferidos a Corto Plazo (e=e1+e2+e3)</t>
  </si>
  <si>
    <t>c3) Anticipo a Proveedores por Adquisición de Bienes Intangibles a Corto Plazo</t>
  </si>
  <si>
    <t>e1) Ingresos Cobrados por Adelantado a Corto Plazo</t>
  </si>
  <si>
    <t>c4) Anticipo a Contratistas por Obras Públicas a Corto Plazo</t>
  </si>
  <si>
    <t>e2) Intereses Cobrados por Adelantado a Corto Plazo</t>
  </si>
  <si>
    <t>c5) Otros Derechos a Recibir Bienes o Servicios a Corto Plazo</t>
  </si>
  <si>
    <t>e3) Otros Pasivos Diferidos a Corto Plazo</t>
  </si>
  <si>
    <t>d. Inventarios (d=d1+d2+d3+d4+d5)</t>
  </si>
  <si>
    <t>f. Fondos y Bienes de Terceros en Garantía y/o Administración a Corto Plazo (f=f1+f2+f3+f4+f5+f6)</t>
  </si>
  <si>
    <t>d1) Inventario de Mercancías para Venta</t>
  </si>
  <si>
    <t>f1) Fondos en Garantía a Corto Plazo</t>
  </si>
  <si>
    <t>d2) Inventario de Mercancías Terminadas</t>
  </si>
  <si>
    <t>f2) Fondos en Administración a Corto Plazo</t>
  </si>
  <si>
    <t>d3) Inventario de Mercancías en Proceso de Elaboración</t>
  </si>
  <si>
    <t>f3) Fondos Contingentes a Corto Plazo</t>
  </si>
  <si>
    <t>d4) Inventario de Materias Primas, Materiales y Suministros para Producción</t>
  </si>
  <si>
    <t>f4) Fondos de Fideicomisos, Mandatos y Contratos Análogos a Corto Plazo</t>
  </si>
  <si>
    <t>d5) Bienes en Tránsito</t>
  </si>
  <si>
    <t>f5) Otros Fondos de Terceros en Garantía y/o Administración a Corto Plazo</t>
  </si>
  <si>
    <t>e. Almacenes</t>
  </si>
  <si>
    <t>f6) Valores y Bienes en Garantía a Corto Plazo</t>
  </si>
  <si>
    <t>f. Estimación por Pérdida o Deterioro de Activos Circulantes (f=f1+f2)</t>
  </si>
  <si>
    <t>g. Provisiones a Corto Plazo (g=g1+g2+g3)</t>
  </si>
  <si>
    <t>f1) Estimaciones para Cuentas Incobrables por Derechos a Recibir Efectivo o Equivalentes</t>
  </si>
  <si>
    <t>g1) Provisión para Demandas y Juicios a Corto Plazo</t>
  </si>
  <si>
    <t>f2) Estimación por Deterioro de Inventarios</t>
  </si>
  <si>
    <t>g2) Provisión para Contingencias a Corto Plazo</t>
  </si>
  <si>
    <t>g. Otros Activos Circulantes (g=g1+g2+g3+g4)</t>
  </si>
  <si>
    <t>g3) Otras Provisiones a Corto Plazo</t>
  </si>
  <si>
    <t>g1) Valores en Garantía</t>
  </si>
  <si>
    <t>h. Otros Pasivos a Corto Plazo (h=h1+h2+h3)</t>
  </si>
  <si>
    <t>g2) Bienes en Garantía (excluye depósitos de fondos)</t>
  </si>
  <si>
    <t>h1) Ingresos por Clasificar</t>
  </si>
  <si>
    <t>g3) Bienes Derivados de Embargos, Decomisos, Aseguramientos y Dación en Pago</t>
  </si>
  <si>
    <t>h2) Recaudación por Participar</t>
  </si>
  <si>
    <t>g4) Adquisición con Fondos de Terceros</t>
  </si>
  <si>
    <t>h3) Otros Pasivos Circulantes</t>
  </si>
  <si>
    <t>IA. Total de Activos Circulantes (IA = a + b + c + d + e + f + g)</t>
  </si>
  <si>
    <t>IIA. Total de Pasivos Circulantes (IIA = a +b +c +d +e +f +g +h)</t>
  </si>
  <si>
    <t>a. Inversiones Financieras a Largo Plazo</t>
  </si>
  <si>
    <t>a. Cuentas por Pagar a Largo Plazo</t>
  </si>
  <si>
    <t xml:space="preserve">b. Derechos a Recibir Efectivo o Equivalentes a Largo Plazo </t>
  </si>
  <si>
    <t>b. Documentos por Pagar a Largo Plazo</t>
  </si>
  <si>
    <t xml:space="preserve">c. Bienes Inmuebles, Infraestructura y Construcciones en Proceso </t>
  </si>
  <si>
    <t>c. Deuda Pública a Largo Plazo</t>
  </si>
  <si>
    <t xml:space="preserve">d. Bienes Muebles </t>
  </si>
  <si>
    <t>d. Pasivos Diferidos a Largo Plazo</t>
  </si>
  <si>
    <t xml:space="preserve">e. Activos Intangibles </t>
  </si>
  <si>
    <t>e. Fondos y Bienes de Terceros en Garantía y/o en Administración a Largo Plazo</t>
  </si>
  <si>
    <t xml:space="preserve">f. Depreciación, Deterioro y Amortización Acumulada de Bienes </t>
  </si>
  <si>
    <t>f. Provisiones a Largo Plazo</t>
  </si>
  <si>
    <t>g. Activos Diferidos</t>
  </si>
  <si>
    <t>h. Estimación por Pérdida o Deterioro de Activos no Circulantes</t>
  </si>
  <si>
    <t>IIB. Total de Pasivos No Circulantes (IIB=a + b + c + d + e + f)</t>
  </si>
  <si>
    <t>i. Otros Activos no Circulantes</t>
  </si>
  <si>
    <t>IB. Total de Activos No Circulantes (IB = a + b + c + d + e + f + g + h + i)</t>
  </si>
  <si>
    <t>II. Total del Pasivo (II = IIA + IIB)</t>
  </si>
  <si>
    <t>HACIENDA PÚBLICA/PATRIMONIO</t>
  </si>
  <si>
    <t>I. Total del Activo (I = IA + IB)</t>
  </si>
  <si>
    <t>IIIA. Hacienda Pública/Patrimonio Contribuido (IIIA =a +b+c)</t>
  </si>
  <si>
    <t>a. Aportaciones</t>
  </si>
  <si>
    <t>b. Donaciones de Capital</t>
  </si>
  <si>
    <t>c. Actualización de la Hacienda Pública/Patrimonio</t>
  </si>
  <si>
    <t>IIIB. Hacienda Pública/Patrimonio Generado (IIIB = a + b + c + d + e)</t>
  </si>
  <si>
    <t>a. Resultados del Ejercicio (Ahorro/ Desahorro)</t>
  </si>
  <si>
    <t>b. Resultados de Ejercicios Anteriores</t>
  </si>
  <si>
    <t>c. Revalúos</t>
  </si>
  <si>
    <t>d. Reservas</t>
  </si>
  <si>
    <t>e. Rectificaciones de Resultados de Ejercicios Anteriores</t>
  </si>
  <si>
    <t>IIIC. Exceso o Insuficiencia en la Actualización de la Hacienda Pública/Patrimonio (IIIC=a+b)</t>
  </si>
  <si>
    <t>a. Resultado por Posición Monetaria</t>
  </si>
  <si>
    <t>b. Resultado por Tenencia de Activos no Monetarios</t>
  </si>
  <si>
    <t>III. Total Hacienda Pública/Patrimonio (III = IIIA + IIIB + IIIC)</t>
  </si>
  <si>
    <t>IV. Total del Pasivo y Hacienda Pública/Patrimonio (IV =II+III)</t>
  </si>
  <si>
    <t>INGRESOS Y OTROS BENEFICIOS</t>
  </si>
  <si>
    <t>Impuestos</t>
  </si>
  <si>
    <t>Cuotas y Aportaciones de Seguridad Social</t>
  </si>
  <si>
    <t xml:space="preserve">Contribuciones de Mejoras </t>
  </si>
  <si>
    <t>Derechos</t>
  </si>
  <si>
    <t>Participaciones y Aportaciones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</si>
  <si>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</si>
  <si>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</si>
  <si>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</si>
  <si>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</si>
  <si>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</si>
  <si>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</si>
  <si>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</si>
  <si>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</si>
  <si>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</si>
  <si>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</si>
  <si>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</si>
  <si>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</si>
  <si>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</si>
  <si>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</si>
  <si>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</si>
  <si>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</si>
  <si>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</si>
  <si>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</si>
  <si>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</si>
  <si>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</si>
  <si>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</si>
  <si>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 xml:space="preserve">Participaciones y Aportaciones </t>
  </si>
  <si>
    <t>Participaciones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</si>
  <si>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</si>
  <si>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</si>
  <si>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</si>
  <si>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</si>
  <si>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</si>
  <si>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</si>
  <si>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</si>
  <si>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</si>
  <si>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</si>
  <si>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</si>
  <si>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</si>
  <si>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</si>
  <si>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</si>
  <si>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</si>
  <si>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</si>
  <si>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</si>
  <si>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</si>
  <si>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 xml:space="preserve"> </t>
  </si>
  <si>
    <t>Estado de Variación en la Hacienda Pública</t>
  </si>
  <si>
    <t>Concepto</t>
  </si>
  <si>
    <t>Hacienda Pública / Patrimonio Contribuido</t>
  </si>
  <si>
    <t>Hacienda Pública / Patrimonio Generado del Ejercicio</t>
  </si>
  <si>
    <t>Total</t>
  </si>
  <si>
    <t>Origen</t>
  </si>
  <si>
    <t>Aplicación</t>
  </si>
  <si>
    <t>HACIENDA PUBLICA/PATRIMONIO</t>
  </si>
  <si>
    <t>Excesos o Insuficiencia en la Actualización de la Hacienda Pública/Patrimonio</t>
  </si>
  <si>
    <t xml:space="preserve">Flujos de Efectivo de las Actividades de Operación </t>
  </si>
  <si>
    <t>Otros Orígenes de Operación</t>
  </si>
  <si>
    <t>Transferencias al resto del Sector Público</t>
  </si>
  <si>
    <t xml:space="preserve">Subsidios y Subvenciones </t>
  </si>
  <si>
    <t xml:space="preserve">Participaciones </t>
  </si>
  <si>
    <t>Otras Aplicaciones de Operación</t>
  </si>
  <si>
    <t>Flujos Netos de Efectivo por Actividades de Operación</t>
  </si>
  <si>
    <t xml:space="preserve">Flujos de Efectivo de las Actividades de Inversión </t>
  </si>
  <si>
    <t>Otros Orígenes de Inversión</t>
  </si>
  <si>
    <t>Otras Aplicaciones de Inversión</t>
  </si>
  <si>
    <t>Flujos Netos de Efectivo por Actividades de Inversión</t>
  </si>
  <si>
    <t>Flujo de Efectivo de las Actividades de Financiamiento</t>
  </si>
  <si>
    <t>Endeudamiento Neto</t>
  </si>
  <si>
    <t>Otros Orígenes de Financiamiento</t>
  </si>
  <si>
    <t>Servicios de la Deuda</t>
  </si>
  <si>
    <t>Otras Aplicaciones de Financiamiento</t>
  </si>
  <si>
    <t>Flujos netos de Efectivo por Actividades de Financiamiento</t>
  </si>
  <si>
    <t xml:space="preserve">Incremento/Disminución Neta en el Efectivo y Equivalentes al Efectivo </t>
  </si>
  <si>
    <t>Efectivo y Equivalentes al Efectivo al Inicio del Ejercicio</t>
  </si>
  <si>
    <t>Efectivo y Equivalentes al Efectivo al Final del Ejercicio</t>
  </si>
  <si>
    <t>DEUDA PÚBLICA</t>
  </si>
  <si>
    <t>Corto Plazo</t>
  </si>
  <si>
    <t>Deuda Interna</t>
  </si>
  <si>
    <t>Instituciones de Crédito</t>
  </si>
  <si>
    <t>Títulos y Valores</t>
  </si>
  <si>
    <t>Arrendamientos Financieros</t>
  </si>
  <si>
    <t>Deuda Externa</t>
  </si>
  <si>
    <t>Organismos Financieros Internacionales</t>
  </si>
  <si>
    <t>Deuda Bilateral</t>
  </si>
  <si>
    <t>Largo Plazo</t>
  </si>
  <si>
    <t>Otros Pasivos</t>
  </si>
  <si>
    <t>Informe Analítico de la Deuda Pública y Otros Pasivos - LDF</t>
  </si>
  <si>
    <t>Denominación de la Deuda Pública y Otros Pasivos (c)</t>
  </si>
  <si>
    <t>Saldo</t>
  </si>
  <si>
    <t>Disposiciones del Periodo (e)</t>
  </si>
  <si>
    <t>Amortizaciones del Periodo (f)</t>
  </si>
  <si>
    <t>Revaluaciones, Reclasificaciones y Otros Ajustes (g)</t>
  </si>
  <si>
    <t>Saldo Final del Periodo (h)</t>
  </si>
  <si>
    <t>Pago de Intereses del Periodo (i)</t>
  </si>
  <si>
    <t>Pago de Comisiones y demás costos asociados durante el Periodo (j)</t>
  </si>
  <si>
    <t>h=d+e-f+g</t>
  </si>
  <si>
    <t>1. Deuda Pública (1=A+B)</t>
  </si>
  <si>
    <t>A. Corto Plazo (A=a1+a2+a3)</t>
  </si>
  <si>
    <t>a1) Instituciones de Crédito</t>
  </si>
  <si>
    <t>a2) Títulos y Valores</t>
  </si>
  <si>
    <t>a3) Arrendamientos Financieros</t>
  </si>
  <si>
    <t>B. Largo Plazo (B=b1+b2+b3)</t>
  </si>
  <si>
    <t>b1) Instituciones de Crédito</t>
  </si>
  <si>
    <t>b2) Títulos y Valores</t>
  </si>
  <si>
    <t>b3) Arrendamientos Financieros</t>
  </si>
  <si>
    <t xml:space="preserve">2. Otros Pasivos </t>
  </si>
  <si>
    <t>3. Total de la Deuda Pública y Otros Pasivos (3=1+2)</t>
  </si>
  <si>
    <t>4. Deuda Contingente 1 (informativo)</t>
  </si>
  <si>
    <t>A. Deuda Contingente 1</t>
  </si>
  <si>
    <t>B. Deuda Contingente 2</t>
  </si>
  <si>
    <t>C. Deuda Contingente XX</t>
  </si>
  <si>
    <t>5. Valor de Instrumentos Bono Cupón Cero 2 (Informativo)</t>
  </si>
  <si>
    <t>A. Instrumento Bono Cupón Cero 1</t>
  </si>
  <si>
    <t>B. Instrumento Bono Cupón Cero 2</t>
  </si>
  <si>
    <t>C. Instrumento Bono Cupón Cero XX</t>
  </si>
  <si>
    <t>Se refiere a cualquier Financiamiento sin fuente o garantía de pago definida, que sea asumida de manera solidaria o subsidiaria por las Entidades Federativas con sus Municipios, organismos descentralizados y empresas de participación estatal mayoritaria y fideicomisos, locales o municipales, y por los Municipios con sus respectivos organismos descentralizados y empresas de participación municipal mayoritaria.</t>
  </si>
  <si>
    <t>Se refiere al valor del Bono Cupón Cero que respalda el pago de los créditos asociados al mismo (Activo).</t>
  </si>
  <si>
    <t>Obligaciones a Corto Plazo (k)</t>
  </si>
  <si>
    <t>Monto</t>
  </si>
  <si>
    <t>Plazo</t>
  </si>
  <si>
    <t>Tasa de Interés</t>
  </si>
  <si>
    <t>Comisiones y Costos Relacionados (o)</t>
  </si>
  <si>
    <t>Tasa Efectiva</t>
  </si>
  <si>
    <t>Contratado (l)</t>
  </si>
  <si>
    <t>Pactado</t>
  </si>
  <si>
    <t>(n)</t>
  </si>
  <si>
    <t>(p)</t>
  </si>
  <si>
    <t>(m)</t>
  </si>
  <si>
    <t>6. Obligaciones a Corto Plazo (Informativo)</t>
  </si>
  <si>
    <t>A. Crédito 1</t>
  </si>
  <si>
    <t>B. Crédito 2</t>
  </si>
  <si>
    <t>C. Crédito XX</t>
  </si>
  <si>
    <t>Informe Analítico de Obligaciones Diferentes de Financiamientos – LDF</t>
  </si>
  <si>
    <t>Denominación de las Obligaciones Diferentes de Financiamiento (c)</t>
  </si>
  <si>
    <t>Fecha del Contrato (d)</t>
  </si>
  <si>
    <t>Fecha de inicio de operación del proyecto (e)</t>
  </si>
  <si>
    <t>Fecha de vencimiento (f)</t>
  </si>
  <si>
    <t>Monto de la inversión pactado (g)</t>
  </si>
  <si>
    <t>Plazo pactado (h)</t>
  </si>
  <si>
    <t>Monto promedio mensual del pago de la contraprestación (i)</t>
  </si>
  <si>
    <t>Monto promedio mensual del pago de la contraprestación correspondiente al pago de inversión (j)</t>
  </si>
  <si>
    <t>A. Asociaciones Público Privadas (APP’s) (A=a+b+c+d)</t>
  </si>
  <si>
    <t>a) APP 1</t>
  </si>
  <si>
    <t>b) APP 2</t>
  </si>
  <si>
    <t>c) APP 3</t>
  </si>
  <si>
    <t>d) APP XX</t>
  </si>
  <si>
    <t>B. Otros Instrumentos (B=a+b+c+d)</t>
  </si>
  <si>
    <t>a) Otro Instrumento 1</t>
  </si>
  <si>
    <t>b) Otro Instrumento 2</t>
  </si>
  <si>
    <t>c) Otro Instrumento 3</t>
  </si>
  <si>
    <t>d) Otro Instrumento XX</t>
  </si>
  <si>
    <t>C. Total de Obligaciones Diferentes de Financiamiento (C=A+B)</t>
  </si>
  <si>
    <t>A Corto Plazo</t>
  </si>
  <si>
    <t>A Mediano Plazo</t>
  </si>
  <si>
    <t>A Largo Plazo</t>
  </si>
  <si>
    <t>Se deberá cumplir con lo siguiente:</t>
  </si>
  <si>
    <t>1.</t>
  </si>
  <si>
    <t>2.</t>
  </si>
  <si>
    <t>Panorama Económico y Financiero.</t>
  </si>
  <si>
    <t>3.</t>
  </si>
  <si>
    <t>Autorización e Historia.</t>
  </si>
  <si>
    <t>4.</t>
  </si>
  <si>
    <t>Organización y Objeto Social.</t>
  </si>
  <si>
    <t>5.</t>
  </si>
  <si>
    <t>Bases de Preparación de los Estados Financieros.</t>
  </si>
  <si>
    <t>6.</t>
  </si>
  <si>
    <t>Políticas de Contabilidad Significativas.</t>
  </si>
  <si>
    <t>7.</t>
  </si>
  <si>
    <t>Posición en Moneda Estranjera y Protección por Riesgo Cambiario.</t>
  </si>
  <si>
    <t>8.</t>
  </si>
  <si>
    <t>Reporte Analítico del Activo.</t>
  </si>
  <si>
    <t>9.</t>
  </si>
  <si>
    <t>Fideicomisos, Mandatos y Análogos.</t>
  </si>
  <si>
    <t>10.</t>
  </si>
  <si>
    <t>Reporte de la Recaudación.</t>
  </si>
  <si>
    <t>11.</t>
  </si>
  <si>
    <t>Información sobre la Deuda y el Reporte Analítico de la Deuda.</t>
  </si>
  <si>
    <t>12.</t>
  </si>
  <si>
    <t>Calificaciones otorgadas.</t>
  </si>
  <si>
    <t>13.</t>
  </si>
  <si>
    <t>Proceso de Mejora.</t>
  </si>
  <si>
    <t>14.</t>
  </si>
  <si>
    <t>Información por Segmentos.</t>
  </si>
  <si>
    <t>15.</t>
  </si>
  <si>
    <t>Eventos Posteriores al Cierre.</t>
  </si>
  <si>
    <t>16.</t>
  </si>
  <si>
    <t>Partes Relacionadas.</t>
  </si>
  <si>
    <t>Diferencia</t>
  </si>
  <si>
    <t>(1)</t>
  </si>
  <si>
    <t>(2)</t>
  </si>
  <si>
    <t>(3= 1 +2)</t>
  </si>
  <si>
    <t>(4)</t>
  </si>
  <si>
    <t>(5)</t>
  </si>
  <si>
    <t>(6= 5 - 1 )</t>
  </si>
  <si>
    <t>Contribuciones de Mejoras</t>
  </si>
  <si>
    <t>Productos</t>
  </si>
  <si>
    <t>Aprovechamientos</t>
  </si>
  <si>
    <t>Ingresos Derivados de Financiamientos</t>
  </si>
  <si>
    <t xml:space="preserve">Impuestos </t>
  </si>
  <si>
    <t>Capital</t>
  </si>
  <si>
    <t>Transferencias, Asignaciones, Subsidios y Otras Ayudas</t>
  </si>
  <si>
    <t>Ingresos  derivados de Financiamiento</t>
  </si>
  <si>
    <t>Los Ingresos Excedentes  se presentan para efectos de cumplimiento de la Ley de Ingresos del Estado y Ley de Contabilidad Gubernamental.</t>
  </si>
  <si>
    <t>El importe reflejado siempre debe ser mayor a cero. Nunca en rojo.</t>
  </si>
  <si>
    <t>Estado Analítico de Ingresos Detallado – LDF</t>
  </si>
  <si>
    <t>Ingreso</t>
  </si>
  <si>
    <t>Diferencia (e)</t>
  </si>
  <si>
    <t>Estimado (d)</t>
  </si>
  <si>
    <t>Ampliaciones/ (Reducciones)</t>
  </si>
  <si>
    <t>Modificado</t>
  </si>
  <si>
    <t>Devengado</t>
  </si>
  <si>
    <t>Recaudado</t>
  </si>
  <si>
    <t>(c)</t>
  </si>
  <si>
    <t>Ingresos de Libre Disposición</t>
  </si>
  <si>
    <t>A. Impuestos</t>
  </si>
  <si>
    <t>B. Cuotas y Aportaciones de Seguridad Social</t>
  </si>
  <si>
    <t>C. Contribuciones de Mejoras</t>
  </si>
  <si>
    <t>D. Derechos</t>
  </si>
  <si>
    <t>E. Productos</t>
  </si>
  <si>
    <t>F. Aprovechamientos</t>
  </si>
  <si>
    <t>H. Participaciones</t>
  </si>
  <si>
    <t>(H=h1+h2+h3+h4+h5+h6+h7+h8+h9+h10+h11)</t>
  </si>
  <si>
    <t xml:space="preserve">h1) Fondo General de Participaciones </t>
  </si>
  <si>
    <t>h2) Fondo de Fomento Municipal</t>
  </si>
  <si>
    <t>h3) Fondo de Fiscalización y Recaudación</t>
  </si>
  <si>
    <t>h4) Fondo de Compensación</t>
  </si>
  <si>
    <t>h5) Fondo de Extracción de Hidrocarburos</t>
  </si>
  <si>
    <t>h6) Impuesto Especial Sobre Producción y Servicios</t>
  </si>
  <si>
    <t>h7) 0.136% de la Recaudación Federal Participable</t>
  </si>
  <si>
    <t>h8) 3.17% Sobre Extracción de Petróleo</t>
  </si>
  <si>
    <t>h9) Gasolinas y Diésel</t>
  </si>
  <si>
    <t>h10) Fondo del Impuesto Sobre la Renta</t>
  </si>
  <si>
    <t>h11) Fondo de Estabilización de los Ingresos de las Entidades Federativas</t>
  </si>
  <si>
    <t>I. Incentivos Derivados de la Colaboración Fiscal (I=i1+i2+i3+i4+i5)</t>
  </si>
  <si>
    <t>i1) Tenencia o Uso de Vehículos</t>
  </si>
  <si>
    <t>i2) Fondo de Compensación ISAN</t>
  </si>
  <si>
    <t>i3) Impuesto Sobre Automóviles Nuevos</t>
  </si>
  <si>
    <t>i4) Fondo de Compensación de Repecos-Intermedios</t>
  </si>
  <si>
    <t>i5) Otros Incentivos Económicos</t>
  </si>
  <si>
    <t>K. Convenios</t>
  </si>
  <si>
    <t>k1) Otros Convenios y Subsidios</t>
  </si>
  <si>
    <t>L. Otros Ingresos de Libre Disposición (L=l1+l2)</t>
  </si>
  <si>
    <t xml:space="preserve">l1) Participaciones en Ingresos Locales </t>
  </si>
  <si>
    <t>l2) Otros Ingresos de Libre Disposición</t>
  </si>
  <si>
    <t xml:space="preserve">I. Total de Ingresos de Libre Disposición                                                 </t>
  </si>
  <si>
    <t>(I=A+B+C+D+E+F+G+H+I+J+K+L)</t>
  </si>
  <si>
    <t>Ingresos Excedentes de Ingresos de Libre Disposición</t>
  </si>
  <si>
    <t xml:space="preserve">Transferencias Federales Etiquetadas </t>
  </si>
  <si>
    <t>A. Aportaciones (A=a1+a2+a3+a4+a5+a6+a7+a8)</t>
  </si>
  <si>
    <t>a1) Fondo de Aportaciones para la Nómina Educativa y Gasto Operativo</t>
  </si>
  <si>
    <t>a2) Fondo de Aportaciones para los Servicios de Salud</t>
  </si>
  <si>
    <t>a3) Fondo de Aportaciones para la Infraestructura Social</t>
  </si>
  <si>
    <t>a4) Fondo de Aportaciones para el Fortalecimiento de los Municipios y de las Demarcaciones Territoriales del Distrito Federal</t>
  </si>
  <si>
    <t>a5) Fondo de Aportaciones Múltiples</t>
  </si>
  <si>
    <t>a6) Fondo de Aportaciones para la Educación Tecnológica y de Adultos</t>
  </si>
  <si>
    <t>a7) Fondo de Aportaciones para la Seguridad Pública de los Estados y del Distrito Federal</t>
  </si>
  <si>
    <t>a8) Fondo de Aportaciones para el Fortalecimiento de las Entidades Federativas</t>
  </si>
  <si>
    <t>B. Convenios (B=b1+b2+b3+b4)</t>
  </si>
  <si>
    <t>b1) Convenios de Protección Social en Salud</t>
  </si>
  <si>
    <t>b2) Convenios de Descentralización</t>
  </si>
  <si>
    <t>b3) Convenios de Reasignación</t>
  </si>
  <si>
    <t>b4) Otros Convenios y Subsidios</t>
  </si>
  <si>
    <t>C. Fondos Distintos de Aportaciones (C=c1+c2)</t>
  </si>
  <si>
    <t>c1) Fondo para Entidades Federativas y Municipios Productores de Hidrocarburos</t>
  </si>
  <si>
    <t>c2) Fondo Minero</t>
  </si>
  <si>
    <t>E. Otras Transferencias Federales Etiquetadas</t>
  </si>
  <si>
    <t>II. Total de Transferencias Federales Etiquetadas (II = A + B + C + D + E)</t>
  </si>
  <si>
    <t>III. Ingresos Derivados de Financiamientos (III = A)</t>
  </si>
  <si>
    <t>A. Ingresos Derivados de Financiamientos</t>
  </si>
  <si>
    <t>IV. Total de Ingresos (IV = I + II + III)</t>
  </si>
  <si>
    <t>Datos Informativos</t>
  </si>
  <si>
    <t>1. Ingresos Derivados de Financiamientos con Fuente de Pago de Ingresos de Libre Disposición</t>
  </si>
  <si>
    <t>2. Ingresos Derivados de Financiamientos con Fuente de Pago de Transferencias Federales Etiquetadas</t>
  </si>
  <si>
    <t>3. Ingresos Derivados de Financiamientos (3 = 1 + 2)</t>
  </si>
  <si>
    <t>Conciliacion entre los Ingresos Presupuestarios y Contables</t>
  </si>
  <si>
    <t>Estado Analítico del Ejercicio Presupuesto de Egresos</t>
  </si>
  <si>
    <t>Clasificación por Objeto del Gasto (Capítulo y Concepto)</t>
  </si>
  <si>
    <t>Egresos Aprobado   Anual</t>
  </si>
  <si>
    <t>Egresos Modificado   Anual</t>
  </si>
  <si>
    <t>Egresos Devengado Acumulado</t>
  </si>
  <si>
    <t>Egresos Pagado     Acumulado</t>
  </si>
  <si>
    <t>Subejercicio</t>
  </si>
  <si>
    <t>(3=1+2)</t>
  </si>
  <si>
    <t>( 6 = 3 - 4 )</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</si>
  <si>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</si>
  <si>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</si>
  <si>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</si>
  <si>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</si>
  <si>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</si>
  <si>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</si>
  <si>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</si>
  <si>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</si>
  <si>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</si>
  <si>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</si>
  <si>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</si>
  <si>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</si>
  <si>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</si>
  <si>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</si>
  <si>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</si>
  <si>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</si>
  <si>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</si>
  <si>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</si>
  <si>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</si>
  <si>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</si>
  <si>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</si>
  <si>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</si>
  <si>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</si>
  <si>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</si>
  <si>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</si>
  <si>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 Fideicomisos, Mandatos y Otros Análogos</t>
  </si>
  <si>
    <t>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</si>
  <si>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</si>
  <si>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</si>
  <si>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</si>
  <si>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</si>
  <si>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</si>
  <si>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</si>
  <si>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</si>
  <si>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</si>
  <si>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</si>
  <si>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</si>
  <si>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</si>
  <si>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</si>
  <si>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</si>
  <si>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</si>
  <si>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</si>
  <si>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</si>
  <si>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</si>
  <si>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</si>
  <si>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</si>
  <si>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Deuda Pública</t>
  </si>
  <si>
    <t>Amortización de la Deuda Pública</t>
  </si>
  <si>
    <t>Adeudos de Ejercicios Fiscales Anteriores (Adefas)</t>
  </si>
  <si>
    <t>Total del Gasto</t>
  </si>
  <si>
    <t>Estado Analítico del Ejercicio del Presupuesto de Egresos Detallado - LDF</t>
  </si>
  <si>
    <t xml:space="preserve">Clasificación por Objeto del Gasto (Capítulo y Concepto) </t>
  </si>
  <si>
    <t>Egresos</t>
  </si>
  <si>
    <t>Subejercicio (e)</t>
  </si>
  <si>
    <t>Aprobado (d)</t>
  </si>
  <si>
    <t xml:space="preserve">Ampliaciones/ (Reducciones) </t>
  </si>
  <si>
    <t xml:space="preserve">Modificado </t>
  </si>
  <si>
    <t xml:space="preserve">Pagado </t>
  </si>
  <si>
    <t>I. Gasto No Etiquetado (I=A+B+C+D+E+F+G+H+I)</t>
  </si>
  <si>
    <t>A. Servicios Personales (A=a1+a2+a3+a4+a5+a6+a7)</t>
  </si>
  <si>
    <t>a1) Remuneraciones al Personal de Carácter Permanente</t>
  </si>
  <si>
    <t>a2) Remuneraciones al Personal de Carácter Transitorio</t>
  </si>
  <si>
    <t>a3) Remuneraciones Adicionales y Especiales</t>
  </si>
  <si>
    <t>a4) Seguridad Social</t>
  </si>
  <si>
    <t>a5) Otras Prestaciones Sociales y Económicas</t>
  </si>
  <si>
    <t>a6) Previsiones</t>
  </si>
  <si>
    <t>a7) Pago de Estímulos a Servidores Públicos</t>
  </si>
  <si>
    <t>B. Materiales y Suministros (B=b1+b2+b3+b4+b5+b6+b7+b8+b9)</t>
  </si>
  <si>
    <t>b1) Materiales de Administración, Emisión de Documentos y Artículos Oficiales</t>
  </si>
  <si>
    <t>b2) Alimentos y Utensilios</t>
  </si>
  <si>
    <t>b3) Materias Primas y Materiales de Producción y Comercialización</t>
  </si>
  <si>
    <t>b4) Materiales y Artículos de Construcción y de Reparación</t>
  </si>
  <si>
    <t>b5) Productos Químicos, Farmacéuticos y de Laboratorio</t>
  </si>
  <si>
    <t>b6) Combustibles, Lubricantes y Aditivos</t>
  </si>
  <si>
    <t>b7) Vestuario, Blancos, Prendas de Protección y Artículos Deportivos</t>
  </si>
  <si>
    <t>b8) Materiales y Suministros Para Seguridad</t>
  </si>
  <si>
    <t>b9) Herramientas, Refacciones y Accesorios Menores</t>
  </si>
  <si>
    <t>C. Servicios Generales (C=c1+c2+c3+c4+c5+c6+c7+c8+c9)</t>
  </si>
  <si>
    <t>c1) Servicios Básicos</t>
  </si>
  <si>
    <t>c2) Servicios de Arrendamiento</t>
  </si>
  <si>
    <t>c3) Servicios Profesionales, Científicos, Técnicos y Otros Servicios</t>
  </si>
  <si>
    <t>c4) Servicios Financieros, Bancarios y Comerciales</t>
  </si>
  <si>
    <t>c5) Servicios de Instalación, Reparación, Mantenimiento y Conservación</t>
  </si>
  <si>
    <t>c6) Servicios de Comunicación Social y Publicidad</t>
  </si>
  <si>
    <t>c7) Servicios de Traslado y Viáticos</t>
  </si>
  <si>
    <t>c8) Servicios Oficiales</t>
  </si>
  <si>
    <t>c9) Otros Servicios Generales</t>
  </si>
  <si>
    <t>D. Transferencias, Asignaciones, Subsidios y Otras Ayudas (D=d1+d2+d3+d4+d5+d6+d7+d8+d9)</t>
  </si>
  <si>
    <t>d1) Transferencias Internas y Asignaciones al Sector Público</t>
  </si>
  <si>
    <t>d2) Transferencias al Resto del Sector Público</t>
  </si>
  <si>
    <t>d3) Subsidios y Subvenciones</t>
  </si>
  <si>
    <t>d4) Ayudas Sociales</t>
  </si>
  <si>
    <t>d5) Pensiones y Jubilaciones</t>
  </si>
  <si>
    <t>d6) Transferencias a Fideicomisos, Mandatos y Otros Análogos</t>
  </si>
  <si>
    <t>d7) Transferencias a la Seguridad Social</t>
  </si>
  <si>
    <t>d8) Donativos</t>
  </si>
  <si>
    <t>d9) Transferencias al Exterior</t>
  </si>
  <si>
    <t>E. Bienes Muebles, Inmuebles e Intangibles (E=e1+e2+e3+e4+e5+e6+e7+e8+e9)</t>
  </si>
  <si>
    <t>e1) Mobiliario y Equipo de Administración</t>
  </si>
  <si>
    <t>e2) Mobiliario y Equipo Educacional y Recreativo</t>
  </si>
  <si>
    <t>e3) Equipo e Instrumental Médico y de Laboratorio</t>
  </si>
  <si>
    <t>e4) Vehículos y Equipo de Transporte</t>
  </si>
  <si>
    <t>e5) Equipo de Defensa y Seguridad</t>
  </si>
  <si>
    <t>e6) Maquinaria, Otros Equipos y Herramientas</t>
  </si>
  <si>
    <t>e7) Activos Biológicos</t>
  </si>
  <si>
    <t>e8) Bienes Inmuebles</t>
  </si>
  <si>
    <t>e9) Activos Intangibles</t>
  </si>
  <si>
    <t>F. Inversión Pública (F=f1+f2+f3)</t>
  </si>
  <si>
    <t>f1) Obra Pública en Bienes de Dominio Público</t>
  </si>
  <si>
    <t>f2) Obra Pública en Bienes Propios</t>
  </si>
  <si>
    <t>f3) Proyectos Productivos y Acciones de Fomento</t>
  </si>
  <si>
    <t>G. Inversiones Financieras y Otras Provisiones (G=g1+g2+g3+g4+g5+g6+g7)</t>
  </si>
  <si>
    <t>g1) Inversiones Para el Fomento de Actividades Productivas</t>
  </si>
  <si>
    <t>g2) Acciones y Participaciones de Capital</t>
  </si>
  <si>
    <t>g3) Compra de Títulos y Valores</t>
  </si>
  <si>
    <t>g4) Concesión de Préstamos</t>
  </si>
  <si>
    <t>g5) Inversiones en Fideicomisos, Mandatos y Otros Análogos</t>
  </si>
  <si>
    <t>Fideicomiso de Desastres Naturales (Informativo)</t>
  </si>
  <si>
    <t>g6) Otras Inversiones Financieras</t>
  </si>
  <si>
    <t>g7) Provisiones para Contingencias y Otras Erogaciones Especiales</t>
  </si>
  <si>
    <t>H. Participaciones y Aportaciones (H=h1+h2+h3)</t>
  </si>
  <si>
    <t>h1) Participaciones</t>
  </si>
  <si>
    <t>h2) Aportaciones</t>
  </si>
  <si>
    <t>h3) Convenios</t>
  </si>
  <si>
    <t>I. Deuda Pública (I=i1+i2+i3+i4+i5+i6+i7)</t>
  </si>
  <si>
    <t>i1) Amortización de la Deuda Pública</t>
  </si>
  <si>
    <t>i2) Intereses de la Deuda Pública</t>
  </si>
  <si>
    <t>i3) Comisiones de la Deuda Pública</t>
  </si>
  <si>
    <t>i4) Gastos de la Deuda Pública</t>
  </si>
  <si>
    <t>i5) Costo por Coberturas</t>
  </si>
  <si>
    <t>i6) Apoyos Financieros</t>
  </si>
  <si>
    <t>i7) Adeudos de Ejercicios Fiscales Anteriores (ADEFAS)</t>
  </si>
  <si>
    <t>II. Gasto Etiquetado (II=A+B+C+D+E+F+G+H+I)</t>
  </si>
  <si>
    <t>III. Total de Egresos (III = I + II)</t>
  </si>
  <si>
    <t>Clasificación Económica (por Tipo de Gasto)</t>
  </si>
  <si>
    <t>Gasto Corriente</t>
  </si>
  <si>
    <t>Gasto de Capital</t>
  </si>
  <si>
    <t>Amortización del la Deuda y Disminución de Pasivos</t>
  </si>
  <si>
    <t>A continuación se conceptualizan las siguientes categorías:</t>
  </si>
  <si>
    <t>1. Gasto Corriente</t>
  </si>
  <si>
    <t>Son los gastos de consumo y/o de operación, el arrendamiento de la propiedad y las transferencias otorgadas a los otros componentes institucionales del sistema económico para financiar gastos de esas características.</t>
  </si>
  <si>
    <t>2. Gasto de Capital</t>
  </si>
  <si>
    <t>Son los gastos destinados a la inversión de capital y las transferencias a los otros componentes institucionales del sistema económico que se efectúan para financiar gastos de éstos con tal propósito.</t>
  </si>
  <si>
    <t>3. Amortización de la deuda y disminución de pasivos</t>
  </si>
  <si>
    <t>Comprende la amortización de la deuda adquirida y disminución de pasivos con el sector privado, público y externo.</t>
  </si>
  <si>
    <t>4. Pensiones y Jubilaciones</t>
  </si>
  <si>
    <t>Son los gastos destinados para el pago a pensionistas y jubilados o a sus familiares, que cubren los gobiernos Federal, Estatal y Municipal, o bien el Instituto de Seguridad Social correspondiente.</t>
  </si>
  <si>
    <t>Punto Adicionado DOF 30-09-2015</t>
  </si>
  <si>
    <t xml:space="preserve">5. Participaciones </t>
  </si>
  <si>
    <t>Son los gastos destinados a cubrir las participaciones para las entidades federativas y/o los municipios.</t>
  </si>
  <si>
    <t>Clasificación Administrativa (Por Unidad Administrativa)</t>
  </si>
  <si>
    <t>Clasificación Administrativa</t>
  </si>
  <si>
    <t>Pagado</t>
  </si>
  <si>
    <t>I. Gasto No Etiquetado</t>
  </si>
  <si>
    <t>(I=A+B+C+D+E+F+G+H)</t>
  </si>
  <si>
    <t>II. Gasto Etiquetado</t>
  </si>
  <si>
    <t>(II=A+B+C+D+E+F+G+H)</t>
  </si>
  <si>
    <t>Poder Ejecutivo</t>
  </si>
  <si>
    <t>Poder Legislativo</t>
  </si>
  <si>
    <t>Poder Judicial</t>
  </si>
  <si>
    <t>Órganos Autónomos</t>
  </si>
  <si>
    <t>Entidades Paraestatales y Fideicomisos No Empresariales y No Financieros</t>
  </si>
  <si>
    <t>Instituciones Públicas de la Seguridad Social</t>
  </si>
  <si>
    <t>Entidades Paraestatales Empresariales No Financieras con Participación Estatal Mayoritaria</t>
  </si>
  <si>
    <t>Fideicomisos Empresariales No Financieros con Participación Estatal Mayoritaria</t>
  </si>
  <si>
    <t>Entidades Paraestatales Empresariales Financieras Monetarias con Participación Estatal Mayoritaria</t>
  </si>
  <si>
    <t>Entidades Paraestatales Empresariales Financieras No Monetarias con Participación Estatal Mayoritaria</t>
  </si>
  <si>
    <t>Fideicomisos Financieros Públicos con Participación Estatal Mayoritaria</t>
  </si>
  <si>
    <t>Clasificación Funcional (Finalidad y Función)</t>
  </si>
  <si>
    <t>Gobierno</t>
  </si>
  <si>
    <t>Legislación</t>
  </si>
  <si>
    <t>Justicia</t>
  </si>
  <si>
    <t>Coordinación de la Politica de Gobierno</t>
  </si>
  <si>
    <t>Relaciones Exteriores</t>
  </si>
  <si>
    <t>Asuntos Financieros y Hacendarios</t>
  </si>
  <si>
    <t>Seguridad Nacional</t>
  </si>
  <si>
    <t>Asuntos de Orden Público y Seguridad Interior</t>
  </si>
  <si>
    <t>Desarrollo Social</t>
  </si>
  <si>
    <t>Protección Ambiental</t>
  </si>
  <si>
    <t>Viviendas y Servicios a la Comunidad</t>
  </si>
  <si>
    <t>Salud</t>
  </si>
  <si>
    <t>Recreación, Cultura y Otras Manifestaciones Sociales</t>
  </si>
  <si>
    <t>Educación</t>
  </si>
  <si>
    <t>Protección Social</t>
  </si>
  <si>
    <t>Otros Asuntos Sociales</t>
  </si>
  <si>
    <t>Desarrollo Económico</t>
  </si>
  <si>
    <t>Asuntos Económicos, Comerciales y Laborales en General</t>
  </si>
  <si>
    <t>Agropecuaria, Silvicultura, Pesca y Caza</t>
  </si>
  <si>
    <t>Combustibles y Energía</t>
  </si>
  <si>
    <t>Minería, Manufacturas y Construcción</t>
  </si>
  <si>
    <t>Transporte</t>
  </si>
  <si>
    <t>Comunicaciones</t>
  </si>
  <si>
    <t>Turismo</t>
  </si>
  <si>
    <t>Ciencia, Tencología e Innovación</t>
  </si>
  <si>
    <t>Otras Industrias y Otros Asuntos Económicos</t>
  </si>
  <si>
    <t>Otras No Clasificadas en funciones anteriores</t>
  </si>
  <si>
    <t>Transacdciones de la Deuda Pública / Costo financiero de la Deuda</t>
  </si>
  <si>
    <t>Transferencias, Participaciones y Aportaciones entre Diferentes Niveles y Órdenes de gobierno</t>
  </si>
  <si>
    <t>Saneamiento del Sistema Financiero</t>
  </si>
  <si>
    <t>Adeudos de ejercicios Fiscales Anteriores</t>
  </si>
  <si>
    <t>I. Gasto No Etiquetado (I=A+B+C+D)</t>
  </si>
  <si>
    <t>A. Gobierno (A=a1+a2+a3+a4+a5+a6+a7+a8)</t>
  </si>
  <si>
    <t>a1) Legislación</t>
  </si>
  <si>
    <t>a2) Justicia</t>
  </si>
  <si>
    <t>a3) Coordinación de la Política de Gobierno</t>
  </si>
  <si>
    <t>a4) Relaciones Exteriores</t>
  </si>
  <si>
    <t>a5) Asuntos Financieros y Hacendarios</t>
  </si>
  <si>
    <t>a6) Seguridad Nacional</t>
  </si>
  <si>
    <t>a7) Asuntos de Orden Público y de Seguridad Interior</t>
  </si>
  <si>
    <t>a8) Otros Servicios Generales</t>
  </si>
  <si>
    <t>B. Desarrollo Social (B=b1+b2+b3+b4+b5+b6+b7)</t>
  </si>
  <si>
    <t>b1) Protección Ambiental</t>
  </si>
  <si>
    <t>b2) Vivienda y Servicios a la Comunidad</t>
  </si>
  <si>
    <t>b3) Salud</t>
  </si>
  <si>
    <t>b4) Recreación, Cultura y Otras Manifestaciones Sociales</t>
  </si>
  <si>
    <t>b5) Educación</t>
  </si>
  <si>
    <t>b6) Protección Social</t>
  </si>
  <si>
    <t>b7) Otros Asuntos Sociales</t>
  </si>
  <si>
    <t>C. Desarrollo Económico (C=c1+c2+c3+c4+c5+c6+c7+c8+c9)</t>
  </si>
  <si>
    <t>c1) Asuntos Económicos, Comerciales y Laborales en General</t>
  </si>
  <si>
    <t>c2) Agropecuaria, Silvicultura, Pesca y Caza</t>
  </si>
  <si>
    <t>c3) Combustibles y Energía</t>
  </si>
  <si>
    <t>c4) Minería, Manufacturas y Construcción</t>
  </si>
  <si>
    <t>c5) Transporte</t>
  </si>
  <si>
    <t>c6) Comunicaciones</t>
  </si>
  <si>
    <t>c7) Turismo</t>
  </si>
  <si>
    <t>c8) Ciencia, Tecnología e Innovación</t>
  </si>
  <si>
    <t>c9) Otras Industrias y Otros Asuntos Económicos</t>
  </si>
  <si>
    <t>D. Otras No Clasificadas en Funciones Anteriores (D=d1+d2+d3+d4)</t>
  </si>
  <si>
    <t>d1) Transacciones de la Deuda Publica / Costo Financiero de la Deuda</t>
  </si>
  <si>
    <t>d2) Transferencias, Participaciones y Aportaciones Entre Diferentes Niveles y Ordenes de Gobierno</t>
  </si>
  <si>
    <t>d3) Saneamiento del Sistema Financiero</t>
  </si>
  <si>
    <t>d4) Adeudos de Ejercicios Fiscales Anteriores</t>
  </si>
  <si>
    <t>II. Gasto Etiquetado (II=A+B+C+D)</t>
  </si>
  <si>
    <t>Por Partida del Gasto</t>
  </si>
  <si>
    <t>Ejercicio del Presupuesto por
Partida  /  Descripción</t>
  </si>
  <si>
    <t>% Avance Anual</t>
  </si>
  <si>
    <t>(7= 4/3)</t>
  </si>
  <si>
    <t>Estado Analítico del Ejercicio de Presupuesto de Egresos- Detallado – LDF</t>
  </si>
  <si>
    <t>(Clasificación de Servicios Personales por Categoría)</t>
  </si>
  <si>
    <t xml:space="preserve">Devengado </t>
  </si>
  <si>
    <t>I. Gasto No Etiquetado (I=A+B+C+D+E+F)</t>
  </si>
  <si>
    <t>A. Personal Administrativo y de Servicio Público</t>
  </si>
  <si>
    <t>B. Magisterio</t>
  </si>
  <si>
    <t>C. Servicios de Salud (C=c1+c2)</t>
  </si>
  <si>
    <t>c1) Personal Administrativo</t>
  </si>
  <si>
    <t>c2) Personal Médico, Paramédico y afín</t>
  </si>
  <si>
    <t>D. Seguridad Pública</t>
  </si>
  <si>
    <t>E. Gastos asociados a la implementación de nuevas leyes federales o reformas a las mismas (E = e1 + e2)</t>
  </si>
  <si>
    <t>e1) Nombre del Programa o Ley 1</t>
  </si>
  <si>
    <t>e2) Nombre del Programa o Ley 2</t>
  </si>
  <si>
    <t>F. Sentencias laborales definitivas</t>
  </si>
  <si>
    <t>II. Gasto Etiquetado (II=A+B+C+D+E+F)</t>
  </si>
  <si>
    <t>III. Total del Gasto en Servicios Personales (III = I + II)</t>
  </si>
  <si>
    <t>1. Total de Egresos Presupuestarios</t>
  </si>
  <si>
    <t>Otros Egresos Presupuestales No Contables</t>
  </si>
  <si>
    <t>Otros Gastos Contables No Presupuestales</t>
  </si>
  <si>
    <t>4. Total de Gasto Contable  (4=  1  -  2  +  3 )</t>
  </si>
  <si>
    <t>Identificacion del crédito o Instrumento</t>
  </si>
  <si>
    <t>Contratacion / Colocación</t>
  </si>
  <si>
    <t>Amortización</t>
  </si>
  <si>
    <t>A</t>
  </si>
  <si>
    <t>B</t>
  </si>
  <si>
    <t>C=A-B</t>
  </si>
  <si>
    <t>Créditos Bancarios</t>
  </si>
  <si>
    <t>Total Créditos Bancarios</t>
  </si>
  <si>
    <t>Otros Instrumentos de Deuda</t>
  </si>
  <si>
    <t>Total Otros Instrumentos de Deuda</t>
  </si>
  <si>
    <t>TOTAL</t>
  </si>
  <si>
    <t>Intereses de la Deuda</t>
  </si>
  <si>
    <t>Total de Interéses Créditos Bancarios</t>
  </si>
  <si>
    <t>Total Intereses Otros Instrumentos de Deuda</t>
  </si>
  <si>
    <t>Gasto Por Categoría Programática</t>
  </si>
  <si>
    <t>Egresos Devengado     Anual</t>
  </si>
  <si>
    <t>Egresos Pagado     Anual</t>
  </si>
  <si>
    <t>Programas</t>
  </si>
  <si>
    <t>Sujetos a Reglas de Operación</t>
  </si>
  <si>
    <t>Otros Subsidios</t>
  </si>
  <si>
    <t xml:space="preserve">   Desempeño de las Funciones:</t>
  </si>
  <si>
    <t>Prestación de Servicios Públicos</t>
  </si>
  <si>
    <t>Provisión de Bienes Públics</t>
  </si>
  <si>
    <t>Planeación, Seguimiento y Evaluación de Políticas Públicas</t>
  </si>
  <si>
    <t>Promoción y Fomento</t>
  </si>
  <si>
    <t>Regulación y Supervisión</t>
  </si>
  <si>
    <t>Funciones de las Fuerzas Armadas (Unicamente el Gobierno Federal)</t>
  </si>
  <si>
    <t>Específicos</t>
  </si>
  <si>
    <t>Proyectos de Inversión</t>
  </si>
  <si>
    <t xml:space="preserve">   Administrativos y de Apoyos</t>
  </si>
  <si>
    <t>Apoyo al Proceso Presupuestario y para Mejorar la Eficiencia Institucional</t>
  </si>
  <si>
    <t>Apoyo a la Función Pública y al Mejoramiento de la Gestión</t>
  </si>
  <si>
    <t>Operaciones Ajenas</t>
  </si>
  <si>
    <t xml:space="preserve">   Compromisos</t>
  </si>
  <si>
    <t>Obligaciones de Cumplimiento de Resolición Jurisdiccional</t>
  </si>
  <si>
    <t>Desastres Naturales</t>
  </si>
  <si>
    <t xml:space="preserve">   Obligaciones</t>
  </si>
  <si>
    <t>Aportaciones a la Seguridad Social</t>
  </si>
  <si>
    <t>Aportaciones a Fondos de Estabilización</t>
  </si>
  <si>
    <t>Aportaciones a Fondos de Inversión y Reestructura de Pensiones</t>
  </si>
  <si>
    <t xml:space="preserve">   Programas de gasto Federalizado ( Gobierno Federal)</t>
  </si>
  <si>
    <t>Gasto Federalizado</t>
  </si>
  <si>
    <t xml:space="preserve">   Participaciones a Entidades Federativas y Municipios</t>
  </si>
  <si>
    <t xml:space="preserve">   Costo Financiero, Deuda o Apoyo a Deudores y Ahorradores de la Banca</t>
  </si>
  <si>
    <t xml:space="preserve">   Adeudos de Ejercicios Fiscales Anteriores</t>
  </si>
  <si>
    <t>Gastos por proyectos de Inversión</t>
  </si>
  <si>
    <t>GASTO DE INVERSION EJERCIDO:</t>
  </si>
  <si>
    <t xml:space="preserve">NOMBRE DEL PROYECTO </t>
  </si>
  <si>
    <t xml:space="preserve">MONTO EROGADO </t>
  </si>
  <si>
    <r>
      <t>ORIGEN DEL RECURSO</t>
    </r>
    <r>
      <rPr>
        <b/>
        <sz val="14"/>
        <rFont val="Arial Narrow"/>
        <family val="2"/>
      </rPr>
      <t>*</t>
    </r>
  </si>
  <si>
    <t>*</t>
  </si>
  <si>
    <t>Se deberán informar con todas las fuentes del recurso.</t>
  </si>
  <si>
    <t>Ya sean obras con Recurso Federal, Recurso Estatal e Ingresos Propios del ente Público.</t>
  </si>
  <si>
    <t>Indicadores de Postura Fiscal</t>
  </si>
  <si>
    <t>III. Balance Presupuestario (Superávit o Déficit)  (III= I-II)</t>
  </si>
  <si>
    <t>III. Balance Presupuestario (Superávit o Déficit)</t>
  </si>
  <si>
    <t>IV. Interéses, Comisiones y Gastos de la Deuda</t>
  </si>
  <si>
    <t>A. Financiamiento</t>
  </si>
  <si>
    <t>B. Amortización de la Deuda</t>
  </si>
  <si>
    <t>Balance Presupuestario - LDF</t>
  </si>
  <si>
    <t>Estimado/</t>
  </si>
  <si>
    <t>Recaudado/</t>
  </si>
  <si>
    <t>A. Ingresos Totales (A = A1+A2+A3)</t>
  </si>
  <si>
    <t>A1. Ingresos de Libre Disposición</t>
  </si>
  <si>
    <t>A2. Transferencias Federales Etiquetadas</t>
  </si>
  <si>
    <t>A3. Financiamiento Neto</t>
  </si>
  <si>
    <r>
      <t>B. Egresos Presupuestarios</t>
    </r>
    <r>
      <rPr>
        <b/>
        <vertAlign val="superscript"/>
        <sz val="7.5"/>
        <color theme="1"/>
        <rFont val="Arial Narrow"/>
        <family val="2"/>
      </rPr>
      <t>1</t>
    </r>
    <r>
      <rPr>
        <b/>
        <sz val="7.5"/>
        <color theme="1"/>
        <rFont val="Arial Narrow"/>
        <family val="2"/>
      </rPr>
      <t xml:space="preserve"> (B = B1+B2)</t>
    </r>
  </si>
  <si>
    <t>B1. Gasto No Etiquetado (sin incluir Amortización de la Deuda Pública)</t>
  </si>
  <si>
    <t xml:space="preserve">B2. Gasto Etiquetado (sin incluir Amortización de la Deuda Pública) </t>
  </si>
  <si>
    <t>C. Remanentes del Ejercicio Anterior ( C = C1 + C2 )</t>
  </si>
  <si>
    <t>C1. Remanentes de Ingresos de Libre Disposición aplicados en el periodo</t>
  </si>
  <si>
    <t>C2. Remanentes de Transferencias Federales Etiquetadas aplicados en el periodo</t>
  </si>
  <si>
    <t>I. Balance Presupuestario (I = A – B + C)</t>
  </si>
  <si>
    <t>II. Balance Presupuestario sin Financiamiento Neto (II = I - A3)</t>
  </si>
  <si>
    <t>III. Balance Presupuestario sin Financiamiento Neto y sin Remanentes del Ejercicio Anterior (III= II - C)</t>
  </si>
  <si>
    <t>Aprobado</t>
  </si>
  <si>
    <t>E. Intereses, Comisiones y Gastos de la Deuda (E = E1+E2)</t>
  </si>
  <si>
    <t>E1. Intereses, Comisiones y Gastos de la Deuda con Gasto No Etiquetado</t>
  </si>
  <si>
    <t>E2. Intereses, Comisiones y Gastos de la Deuda con Gasto Etiquetado</t>
  </si>
  <si>
    <t>IV. Balance Primario (IV = III + E)</t>
  </si>
  <si>
    <t>Estimado/ Aprobado</t>
  </si>
  <si>
    <t>F. Financiamiento (F = F1 + F2)</t>
  </si>
  <si>
    <t>F1. Financiamiento con Fuente de Pago de Ingresos de Libre Disposición</t>
  </si>
  <si>
    <t>F2. Financiamiento con Fuente de Pago de Transferencias Federales Etiquetadas</t>
  </si>
  <si>
    <t>G. Amortización de la Deuda (G = G1 + G2)</t>
  </si>
  <si>
    <t>G1. Amortización de la Deuda Pública con Gasto No Etiquetado</t>
  </si>
  <si>
    <t>G2. Amortización de la Deuda Pública con Gasto Etiquetado</t>
  </si>
  <si>
    <t>A3. Financiamiento Neto (A3 = F – G )</t>
  </si>
  <si>
    <t xml:space="preserve">A1. Ingresos de Libre Disposición </t>
  </si>
  <si>
    <t>A3.1 Financiamiento Neto con Fuente de Pago de Ingresos de Libre Disposición (A3.1 = F1 – G1)</t>
  </si>
  <si>
    <t>V. Balance Presupuestario de Recursos Disponibles (V = A1 + A3.1 – B 1 + C1)</t>
  </si>
  <si>
    <t>VI. Balance Presupuestario de Recursos Disponibles sin Financiamiento Neto (VI = V – A3.1)</t>
  </si>
  <si>
    <t>A3.2 Financiamiento Neto con Fuente de Pago de Transferencias Federales Etiquetadas (A3.2 = F2 – G2)</t>
  </si>
  <si>
    <t>B2. Gasto Etiquetado (sin incluir Amortización de la Deuda Pública)</t>
  </si>
  <si>
    <t>VII. Balance Presupuestario de Recursos Etiquetados (VII = A2 + A3.2 – B2 + C2)</t>
  </si>
  <si>
    <t>VIII. Balance Presupuestario de Recursos Etiquetados sin Financiamiento Neto (VIII = VII – A3.2)</t>
  </si>
  <si>
    <t>Fondo, Programa o Convenio</t>
  </si>
  <si>
    <t>Datos de la Cuenta Bancaria</t>
  </si>
  <si>
    <t>Institución Bancaria</t>
  </si>
  <si>
    <t>Número de Cuenta</t>
  </si>
  <si>
    <t>NOTA: La información de este formato es ACUMULADA</t>
  </si>
  <si>
    <t>Relación de Bienes Muebles e Inmuebles que Componen su Patrimonio</t>
  </si>
  <si>
    <t>Código</t>
  </si>
  <si>
    <t>Descripción del Bien</t>
  </si>
  <si>
    <t>Valor en Libros</t>
  </si>
  <si>
    <t>BIENES MUEBLES</t>
  </si>
  <si>
    <t>BIENES INMUEBLES</t>
  </si>
  <si>
    <t>TERRENOS</t>
  </si>
  <si>
    <t>EDIFICIOS</t>
  </si>
  <si>
    <t>Y DEMAS INMUEBLES</t>
  </si>
  <si>
    <t>Matriz de Indicadores de Resultados</t>
  </si>
  <si>
    <t>I.- Información contable</t>
  </si>
  <si>
    <t>Estado de Situación Financiera-Detallado-LDF</t>
  </si>
  <si>
    <t>Informe Analítico de Obligaciones Diferentes de Financiamiento-LDF</t>
  </si>
  <si>
    <t xml:space="preserve">Estado Analítico de Ingresos Detallado-LDF                                 </t>
  </si>
  <si>
    <t xml:space="preserve">Conciliación entre los Ingresos Presupuestarios y Contables      </t>
  </si>
  <si>
    <t>Estado Analítico del Ejercicio Presupuesto de Egresos Detallado-LDF</t>
  </si>
  <si>
    <t>Clasificación Por Objeto del Gasto</t>
  </si>
  <si>
    <t>Clasificación Económica (Por Tipo de Gasto)</t>
  </si>
  <si>
    <t>Por Unidad Administrativa</t>
  </si>
  <si>
    <t>Clasificación Administrativa, Por Poderes</t>
  </si>
  <si>
    <t>Clasificación Administrativa, Por tipo de Organismo o Entidad Paraestatal</t>
  </si>
  <si>
    <t>Estado Analítico del Ejercicio Presupuesto de Egresos -Detallado-LDF</t>
  </si>
  <si>
    <t xml:space="preserve">Estado Analítico del Ejercicio Presupuesto de Egresos - Detallado-LDF  </t>
  </si>
  <si>
    <t>Conciliación entre los Egresos Presupuestarios y los Gastos Contables</t>
  </si>
  <si>
    <t xml:space="preserve">Intereses de la Deuda                                                        </t>
  </si>
  <si>
    <t xml:space="preserve">Informe de Avance Programático </t>
  </si>
  <si>
    <t xml:space="preserve">IV.- Información Complementaria-Anexos. </t>
  </si>
  <si>
    <t>Hacienda Pública / Patrimonio Generado de Ejercicios Anteriores</t>
  </si>
  <si>
    <t>Exceso o Insuficiencia en la Actualización de la Hacienda Pública / Patrimonio</t>
  </si>
  <si>
    <t>Gasto por Programa Presupuestario (NO APLICA)</t>
  </si>
  <si>
    <t>Relación de Bienes que Componen su Patrimonio (SEGUNDO TRIMESTRE y CUENTA PÚBLICA)</t>
  </si>
  <si>
    <t xml:space="preserve">   Subsidios: Sector Social y Privado o Estados y Municipios</t>
  </si>
  <si>
    <t>1. Total de Ingresos Presupuestarios</t>
  </si>
  <si>
    <t>3.Menos Ingresos Presupuestarios No Contables</t>
  </si>
  <si>
    <t xml:space="preserve">2. Menos Egresos Presupuestarios No Contables </t>
  </si>
  <si>
    <t xml:space="preserve">Materias Primas y Materiales de Producción y Comercializacíon </t>
  </si>
  <si>
    <t xml:space="preserve">Materiales y Suministros </t>
  </si>
  <si>
    <t>3. Más Gastos Contables No Presupuestarios</t>
  </si>
  <si>
    <t xml:space="preserve">Productos </t>
  </si>
  <si>
    <t xml:space="preserve">Aprovechamientos </t>
  </si>
  <si>
    <t xml:space="preserve">Participaciones,  Aportaciones, Convenios, Incentivos Derivados de la Colaboracion Fiscal y Fondos Distintos de Aportaciones </t>
  </si>
  <si>
    <t>Rubros de  Ingresos</t>
  </si>
  <si>
    <t>Estimado</t>
  </si>
  <si>
    <t xml:space="preserve">Recaudado </t>
  </si>
  <si>
    <t>Ingresos por Ventas de Bienes, Prestacion de Servicios y Otros Ingresos</t>
  </si>
  <si>
    <t xml:space="preserve">Participaciones, Aportaciones, Convenios, Incentivos Derivados de la Colaboracción Fiscal y Fondos Distintos de Aportaciones </t>
  </si>
  <si>
    <t>Estado Analitico de Ingresos Por Fuente de Financiamiento</t>
  </si>
  <si>
    <t xml:space="preserve">Ingresos del Poder Ejecutivo Federal o Estatal y de los Municipios </t>
  </si>
  <si>
    <t xml:space="preserve">Transferencias, Asignaciones, Subsidios y Subvenciones, y Pensiones y Jubilaciones </t>
  </si>
  <si>
    <t>Ingresos De los Entes Públicos de los Poderes Legislativo y Judicial, de los Órganos Autonomos y del Sector Paraestatal o Paramunicipal, asi como de las Empresas Productivas del Estado</t>
  </si>
  <si>
    <t>G. Ingresos por Ventas de Bienes y Prestación de Servicios</t>
  </si>
  <si>
    <t>J. Transferencias y Asignaciones</t>
  </si>
  <si>
    <t>Ingresos de  Gestión</t>
  </si>
  <si>
    <t>Ingresos por Venta de Bienes y Prestación de Servicios</t>
  </si>
  <si>
    <t>Transferencias, Asignaciones, Subsidios y Subvenciones, y Pensiones y Jubilaciones</t>
  </si>
  <si>
    <t xml:space="preserve">Participaciones, Aportaciones, Convenios, Incentivos Derivados de la Colaboración Fiscal y Fondos Distintos de Aportaciones </t>
  </si>
  <si>
    <t xml:space="preserve">     Interno</t>
  </si>
  <si>
    <t xml:space="preserve">     Externo</t>
  </si>
  <si>
    <r>
      <t>Productos</t>
    </r>
    <r>
      <rPr>
        <vertAlign val="superscript"/>
        <sz val="10"/>
        <color theme="1"/>
        <rFont val="Arial Narrow"/>
        <family val="2"/>
      </rPr>
      <t>1</t>
    </r>
  </si>
  <si>
    <r>
      <t>Aprovechamientos</t>
    </r>
    <r>
      <rPr>
        <vertAlign val="superscript"/>
        <sz val="10"/>
        <color theme="1"/>
        <rFont val="Arial Narrow"/>
        <family val="2"/>
      </rPr>
      <t>2</t>
    </r>
  </si>
  <si>
    <r>
      <t>Ingresos por ventas de Bienes, Prestación de Servicios y Otros Ingresos</t>
    </r>
    <r>
      <rPr>
        <vertAlign val="superscript"/>
        <sz val="10"/>
        <color theme="1"/>
        <rFont val="Arial Narrow"/>
        <family val="2"/>
      </rPr>
      <t>3</t>
    </r>
  </si>
  <si>
    <t>D. Transferencias, Asignaciones, Subsidios y Subvenciones, y Pensiones y Jubilaciones</t>
  </si>
  <si>
    <t>Arctivos Biológicos</t>
  </si>
  <si>
    <t>Armonización de la Deuda Pública</t>
  </si>
  <si>
    <t>Adeudos de Ejercicios Fiscales Anteriores (ADEFAS)</t>
  </si>
  <si>
    <r>
      <rPr>
        <b/>
        <vertAlign val="superscript"/>
        <sz val="9"/>
        <color theme="0" tint="-0.34998626667073579"/>
        <rFont val="Arial Narrow"/>
        <family val="2"/>
      </rPr>
      <t>1</t>
    </r>
    <r>
      <rPr>
        <b/>
        <sz val="9"/>
        <color theme="0" tint="-0.34998626667073579"/>
        <rFont val="Arial Narrow"/>
        <family val="2"/>
      </rPr>
      <t xml:space="preserve"> </t>
    </r>
    <r>
      <rPr>
        <sz val="9"/>
        <color theme="0" tint="-0.34998626667073579"/>
        <rFont val="Arial Narrow"/>
        <family val="2"/>
      </rPr>
      <t>Incluye interesesque generan las cuentas bancarias de los entes públicos en productos.</t>
    </r>
  </si>
  <si>
    <r>
      <rPr>
        <b/>
        <vertAlign val="superscript"/>
        <sz val="9"/>
        <color theme="0" tint="-0.34998626667073579"/>
        <rFont val="Arial Narrow"/>
        <family val="2"/>
      </rPr>
      <t>2</t>
    </r>
    <r>
      <rPr>
        <vertAlign val="superscript"/>
        <sz val="9"/>
        <color theme="0" tint="-0.34998626667073579"/>
        <rFont val="Arial Narrow"/>
        <family val="2"/>
      </rPr>
      <t xml:space="preserve"> </t>
    </r>
    <r>
      <rPr>
        <sz val="9"/>
        <color theme="0" tint="-0.34998626667073579"/>
        <rFont val="Arial Narrow"/>
        <family val="2"/>
      </rPr>
      <t>Incluye donativos en efectivo del Poder Ejecutivo, entre otros aprovechamientos.</t>
    </r>
  </si>
  <si>
    <r>
      <rPr>
        <b/>
        <vertAlign val="superscript"/>
        <sz val="9"/>
        <color theme="0" tint="-0.34998626667073579"/>
        <rFont val="Arial Narrow"/>
        <family val="2"/>
      </rPr>
      <t>3</t>
    </r>
    <r>
      <rPr>
        <sz val="9"/>
        <color theme="0" tint="-0.34998626667073579"/>
        <rFont val="Arial Narrow"/>
        <family val="2"/>
      </rPr>
      <t xml:space="preserve"> Se refiere a los ingresos propios obtenidos por los Poderes Legislativo y Judicial, los Organos Autónomos y las entidades de la administracion pública paraestataly paramunicipal, por sus actividades diversas no inherentes a su operación que general recursos y que no sean ingresos por venta de bienes o prestación de servicios, tales como donativos en efectivo, entre otros.</t>
    </r>
  </si>
  <si>
    <r>
      <rPr>
        <b/>
        <sz val="9"/>
        <color theme="0" tint="-0.34998626667073579"/>
        <rFont val="Arial Narrow"/>
        <family val="2"/>
      </rPr>
      <t>1</t>
    </r>
    <r>
      <rPr>
        <sz val="9"/>
        <color theme="0" tint="-0.34998626667073579"/>
        <rFont val="Arial Narrow"/>
        <family val="2"/>
      </rPr>
      <t>. Se deberán incluir los Ingresos Contables No Presupuestarios que no se regularizaron presupuestariamente durante el ejercicio</t>
    </r>
  </si>
  <si>
    <r>
      <rPr>
        <b/>
        <sz val="9"/>
        <color theme="0" tint="-0.34998626667073579"/>
        <rFont val="Arial Narrow"/>
        <family val="2"/>
      </rPr>
      <t>2</t>
    </r>
    <r>
      <rPr>
        <sz val="9"/>
        <color theme="0" tint="-0.34998626667073579"/>
        <rFont val="Arial Narrow"/>
        <family val="2"/>
      </rPr>
      <t>. Los Ingresos Financieros y otros ingresos se regularizarán presupuestariamente de acuerdo a la legislacion aplicable</t>
    </r>
  </si>
  <si>
    <t>Anexo A</t>
  </si>
  <si>
    <t>Anexo B</t>
  </si>
  <si>
    <t xml:space="preserve">Desglose de saldo en Bancos e Inversiones </t>
  </si>
  <si>
    <t>Gasto de acuerdo a la Estructura Programática (LAYOUT EXCEL)</t>
  </si>
  <si>
    <t>Anexo C</t>
  </si>
  <si>
    <t xml:space="preserve">          </t>
  </si>
  <si>
    <t xml:space="preserve">                                                                                                                     </t>
  </si>
  <si>
    <r>
      <t xml:space="preserve">        NOTAS A LOS ESTADOS FINANCIEROS       </t>
    </r>
    <r>
      <rPr>
        <b/>
        <sz val="14"/>
        <color theme="1"/>
        <rFont val="Arial Narrow"/>
        <family val="2"/>
      </rPr>
      <t xml:space="preserve">                                                                                                                         Ver Guía de Elaboración             </t>
    </r>
  </si>
  <si>
    <t xml:space="preserve">                                                                                                                                                     </t>
  </si>
  <si>
    <t xml:space="preserve">                                                                                                                                </t>
  </si>
  <si>
    <t xml:space="preserve">                                                                                                                                                         </t>
  </si>
  <si>
    <t xml:space="preserve">                                                                                                                                     </t>
  </si>
  <si>
    <t xml:space="preserve">                                                                                                                                      </t>
  </si>
  <si>
    <t xml:space="preserve">                               </t>
  </si>
  <si>
    <t xml:space="preserve">                                                                                          </t>
  </si>
  <si>
    <t xml:space="preserve">                 </t>
  </si>
  <si>
    <t xml:space="preserve">Clasificación Económica de los Ingresos , de los Gastos y del Financiamiento  </t>
  </si>
  <si>
    <r>
      <t>X</t>
    </r>
    <r>
      <rPr>
        <vertAlign val="superscript"/>
        <sz val="9"/>
        <color theme="1"/>
        <rFont val="Arial"/>
        <family val="2"/>
      </rPr>
      <t>†</t>
    </r>
    <r>
      <rPr>
        <sz val="12"/>
        <color theme="1"/>
        <rFont val="Times New Roman"/>
        <family val="1"/>
      </rPr>
      <t xml:space="preserve"> </t>
    </r>
    <r>
      <rPr>
        <sz val="7"/>
        <color theme="1"/>
        <rFont val="Arial"/>
        <family val="2"/>
      </rPr>
      <t>Refiere a la desagregación que obtuvieron las unidades administrativas o instancias competentes en materia de Contabilidad Gubernamental y de Ingresos, de cada orden de gobierno, del Clasificador por Rubros de Ingresos, armonizado a 2 dígitos, de acuerdo a sus necesidades en tercer y cuarto dígito, Clase y Concepto respectivamente.</t>
    </r>
  </si>
  <si>
    <r>
      <t>X</t>
    </r>
    <r>
      <rPr>
        <vertAlign val="superscript"/>
        <sz val="10"/>
        <color theme="1"/>
        <rFont val="Symbol"/>
        <family val="1"/>
        <charset val="2"/>
      </rPr>
      <t>*</t>
    </r>
    <r>
      <rPr>
        <sz val="10"/>
        <color theme="1"/>
        <rFont val="Verdana"/>
        <family val="2"/>
      </rPr>
      <t xml:space="preserve"> </t>
    </r>
    <r>
      <rPr>
        <sz val="7"/>
        <color theme="1"/>
        <rFont val="Arial"/>
        <family val="2"/>
      </rPr>
      <t>Refiere a la desagregación que obtuvieron las unidades administrativas o instancias competentes en materia de Contabilidad Gubernamental y de Ingresos, de cada orden de gobierno, del Clasificador por Rubros de Ingresos, armonizado a 2 dígitos, de acuerdo a sus necesidades en tercer y cuarto dígito, Clase y Concepto respectivamente.</t>
    </r>
  </si>
  <si>
    <t>TOTAL APLICACIONES FINANCIERAS</t>
  </si>
  <si>
    <t>Disminución de Patrimonio</t>
  </si>
  <si>
    <t>3.2.3</t>
  </si>
  <si>
    <t>3.2.2.2.4.3</t>
  </si>
  <si>
    <t>Fondos y Bienes de Terceros en Garantía y/o Administración</t>
  </si>
  <si>
    <t>3.2.2.2.4.2</t>
  </si>
  <si>
    <t>Pasivos Diferidos</t>
  </si>
  <si>
    <t>3.2.2.2.4.1</t>
  </si>
  <si>
    <t xml:space="preserve">Disminución de Otros Pasivos de Largo Plazo </t>
  </si>
  <si>
    <t>3.2.2.2.4</t>
  </si>
  <si>
    <t xml:space="preserve">Porción a Corto Plazo de Préstamos de la Deuda Pública Externa </t>
  </si>
  <si>
    <t>3.2.2.2.3.2.2</t>
  </si>
  <si>
    <t xml:space="preserve">Porción a Corto Plazo de Préstamos de la Deuda Pública Interna </t>
  </si>
  <si>
    <t>3.2.2.2.3.2.1</t>
  </si>
  <si>
    <t>Conversión de Préstamos de Largo Plazo en Corto Plazo</t>
  </si>
  <si>
    <t>3.2.2.2.3.2</t>
  </si>
  <si>
    <t>Porción de Corto Plazo de Títulos y Valores de la Deuda Pública Externa</t>
  </si>
  <si>
    <t>3.2.2.2.3.1.2</t>
  </si>
  <si>
    <t>Porción de Corto Plazo de Títulos y Valores de la Deuda Pública Interna</t>
  </si>
  <si>
    <t>3.2.2.2.3.1.1</t>
  </si>
  <si>
    <t xml:space="preserve">Conversión de Títulos y Valores de Largo Plazo en Corto Plazo </t>
  </si>
  <si>
    <t>3.2.2.2.3.1</t>
  </si>
  <si>
    <t>Conversión de Deuda Pública de Largo Plazo en Porción Circulante</t>
  </si>
  <si>
    <t>3.2.2.2.3</t>
  </si>
  <si>
    <t>Otros Documentos por Pagar</t>
  </si>
  <si>
    <t>3.2.2.2.2.3</t>
  </si>
  <si>
    <t>Documentos con Contratistas por Obras Públicas por Pagar</t>
  </si>
  <si>
    <t>3.2.2.2.2.2</t>
  </si>
  <si>
    <t>Documentos Comerciales por Pagar</t>
  </si>
  <si>
    <t>3.2.2.2.2.1</t>
  </si>
  <si>
    <t>Disminución de Documentos por Pagar a  Largo Plazo</t>
  </si>
  <si>
    <t>3.2.2.2.2</t>
  </si>
  <si>
    <t>Contratistas por Obras Públicas por Pagar</t>
  </si>
  <si>
    <t>3.2.2.2.1.2</t>
  </si>
  <si>
    <t>Proveedores por Pagar</t>
  </si>
  <si>
    <t>3.2.2.2.1.1</t>
  </si>
  <si>
    <t>Disminución de Cuentas por Pagar a Largo Plazo</t>
  </si>
  <si>
    <t xml:space="preserve">3.2.2.2.1 </t>
  </si>
  <si>
    <t>Disminución de Pasivos No Corrientes</t>
  </si>
  <si>
    <t>3.2.2.2</t>
  </si>
  <si>
    <t>3.2.2.1.4.3</t>
  </si>
  <si>
    <t>3.2.2.1.4.2</t>
  </si>
  <si>
    <t>3.2.2.1.4.1</t>
  </si>
  <si>
    <t xml:space="preserve">Disminución de Otros Pasivos de Corto Plazo </t>
  </si>
  <si>
    <t>3.2.2.1.4</t>
  </si>
  <si>
    <t xml:space="preserve">Amortización de la Porción Circulante de la Deuda Pública Externa de L.P. en Préstamos </t>
  </si>
  <si>
    <t>3.2.2.1.3.2.2</t>
  </si>
  <si>
    <t xml:space="preserve">Amortización de la Porción Circulante de la Deuda Pública Interna de L.P en Préstamos </t>
  </si>
  <si>
    <t>3.2.2.1.3.2.1</t>
  </si>
  <si>
    <t xml:space="preserve">Amortización de la Porción Circulante de la Deuda Pública de L.P. en Préstamos </t>
  </si>
  <si>
    <t>3.2.2.1.3.2</t>
  </si>
  <si>
    <t>Amortización de la Porción de la Deuda Pública Externa de L.P. En Títulos y Valores</t>
  </si>
  <si>
    <t>3.2.2.1.3.1.2</t>
  </si>
  <si>
    <t>Amortización de la Porción Circulante de la Deuda Pública Interna de L.P. en Títulos y Valores</t>
  </si>
  <si>
    <t>3.2.2.1.3.1.1</t>
  </si>
  <si>
    <t>Amortización de la Porción Circulante de la Deuda Pública de L.P. en Títulos y Valores</t>
  </si>
  <si>
    <t>3.2.2.1.3.1</t>
  </si>
  <si>
    <t>Amortización de la Porción Circulante de la Deuda Pública de Largo Plazo</t>
  </si>
  <si>
    <t>3.2.2.1.3</t>
  </si>
  <si>
    <t>Títulos y Valores de la Deuda Pública Externa</t>
  </si>
  <si>
    <t>3.2.2.1.2.5</t>
  </si>
  <si>
    <t>Títulos y Valores de la Deuda Pública Interna</t>
  </si>
  <si>
    <t>3.2.2.1.2.4</t>
  </si>
  <si>
    <t>3.2.2.1.2.3</t>
  </si>
  <si>
    <t>3.2.2.1.2.2</t>
  </si>
  <si>
    <t>3.2.2.1.2.1</t>
  </si>
  <si>
    <t>Disminución de Documentos por Pagar</t>
  </si>
  <si>
    <t>3.2.2.1.2</t>
  </si>
  <si>
    <t>Otras Cuentas por Pagar</t>
  </si>
  <si>
    <t>3.2.2.1.1.9</t>
  </si>
  <si>
    <t>Devoluciones de la Ley de Ingresos por Pagar</t>
  </si>
  <si>
    <t>3.2.2.1.1.8</t>
  </si>
  <si>
    <t>Retenciones y Contribuciones por Pagar</t>
  </si>
  <si>
    <t>3.2.2.1.1.7</t>
  </si>
  <si>
    <t>Intereses y Comisiones y otros gastos de la Deuda Pública por Pagar</t>
  </si>
  <si>
    <t>3.2.2.1.1.6</t>
  </si>
  <si>
    <t>Transferencias Otorgadas por Pagar</t>
  </si>
  <si>
    <t>3.2.2.1.1.5</t>
  </si>
  <si>
    <t>Participaciones y Aportaciones por Pagar</t>
  </si>
  <si>
    <t>3.2.2.1.1.4</t>
  </si>
  <si>
    <t>3.2.2.1.1.3</t>
  </si>
  <si>
    <t>3.2.2.1.1.2</t>
  </si>
  <si>
    <t>Servicios Personales por Pagar</t>
  </si>
  <si>
    <t>3.2.2.1.1.1</t>
  </si>
  <si>
    <t>Disminución de Cuentas por Pagar</t>
  </si>
  <si>
    <t>3.2.2.1.1</t>
  </si>
  <si>
    <t>Disminución de Pasivos Corrientes</t>
  </si>
  <si>
    <t>3.2.2.1</t>
  </si>
  <si>
    <t>Disminución de Pasivos</t>
  </si>
  <si>
    <t>3.2.2</t>
  </si>
  <si>
    <t>Otros Activos</t>
  </si>
  <si>
    <t>3.2.1.2.2.5</t>
  </si>
  <si>
    <t>3.2.1.2.2.4</t>
  </si>
  <si>
    <t>Otros Derechos a Recibir Efectivo y Equivalentes</t>
  </si>
  <si>
    <t>3.2.1.2.2.3</t>
  </si>
  <si>
    <t>Deudores Diversos</t>
  </si>
  <si>
    <t>3.2.1.2.2.2</t>
  </si>
  <si>
    <t>Documentos por Cobrar</t>
  </si>
  <si>
    <t>3.2.1.2.2.1</t>
  </si>
  <si>
    <t>Incremento de Otros Activos Financieros No Corrientes</t>
  </si>
  <si>
    <t>3.2.1.2.2</t>
  </si>
  <si>
    <t>Externos</t>
  </si>
  <si>
    <t xml:space="preserve">3.2.1.2.1.4.2 </t>
  </si>
  <si>
    <t>Internos</t>
  </si>
  <si>
    <t xml:space="preserve">3.2.1.2.1.4.1 </t>
  </si>
  <si>
    <t>3.2.1.2.1.4</t>
  </si>
  <si>
    <t>Compra de Obligaciones negociables</t>
  </si>
  <si>
    <t>3.2.1.2.1.3</t>
  </si>
  <si>
    <t>Compra de Títulos y Valores Representativos de la Deuda</t>
  </si>
  <si>
    <t>3.2.1.2.1.2</t>
  </si>
  <si>
    <t>3.2.1.2.1.1.2</t>
  </si>
  <si>
    <t>3.2.1.2.1.1.1</t>
  </si>
  <si>
    <t>Compra de Acciones y Participaciones de Capital</t>
  </si>
  <si>
    <t>3.2.1.2.1.1</t>
  </si>
  <si>
    <t>Inversiones Financieras a Largo Plazo con Fines de Liquidez</t>
  </si>
  <si>
    <t>3.2.1.2.1</t>
  </si>
  <si>
    <t>Incremento de Activos Financieros No Corrientes</t>
  </si>
  <si>
    <t>3.2.1.2</t>
  </si>
  <si>
    <t>3.2.1.1.6.6</t>
  </si>
  <si>
    <t>Otros Derechos a Recibir Bienes y Servicios</t>
  </si>
  <si>
    <t>3.2.1.1.6.5</t>
  </si>
  <si>
    <t>Anticipo a Contratistas por Obras Públicas</t>
  </si>
  <si>
    <t>3.2.1.1.6.4</t>
  </si>
  <si>
    <t>Anticipo a Proveedores por Adquisición de Bienes Intangibles</t>
  </si>
  <si>
    <t>3.2.1.1.6.3</t>
  </si>
  <si>
    <t>Anticipo a Proveedores por Adquisición de Bienes Inmuebles y Muebles</t>
  </si>
  <si>
    <t>3.2.1.1.6.2</t>
  </si>
  <si>
    <t>Anticipo a Proveedores por Adquisición de Bienes y Prestación de Servicios</t>
  </si>
  <si>
    <t>3.2.1.1.6.1</t>
  </si>
  <si>
    <t>Incremento de Otros Activos Financieros Corrientes</t>
  </si>
  <si>
    <t>3.2.1.1.6</t>
  </si>
  <si>
    <t>Préstamos Otorgados de Corto Plazo</t>
  </si>
  <si>
    <t>3.2.1.1.5</t>
  </si>
  <si>
    <t>Otros Derechos a Recibir Efectivo o Equivalentes</t>
  </si>
  <si>
    <t>3.2.1.1.4.1</t>
  </si>
  <si>
    <t>Incremento de Documentos por Cobrar</t>
  </si>
  <si>
    <t>3.2.1.1.4</t>
  </si>
  <si>
    <t>Deudores por Anticipos de Tesorería</t>
  </si>
  <si>
    <t>3.2.1.1.3.4</t>
  </si>
  <si>
    <t>Ingresos por Recuperar</t>
  </si>
  <si>
    <t>3.2.1.1.3.3</t>
  </si>
  <si>
    <t>Deudores Diversos por Cobrar</t>
  </si>
  <si>
    <t>3.2.1.1.3.2</t>
  </si>
  <si>
    <t>Cuentas por Cobrar</t>
  </si>
  <si>
    <t>3.2.1.1.3.1</t>
  </si>
  <si>
    <t>Incremento de Cuentas por Cobrar</t>
  </si>
  <si>
    <t>3.2.1.1.3</t>
  </si>
  <si>
    <t>3.2.1.1.2.3</t>
  </si>
  <si>
    <t>3.2.1.1.2.2</t>
  </si>
  <si>
    <t>3.2.1.1.2.1</t>
  </si>
  <si>
    <t>Incremento de Inversiones Financieras de Corto Plazo (Derechos a recibir Efectivo o Equivalentes)</t>
  </si>
  <si>
    <t>3.2.1.1.2</t>
  </si>
  <si>
    <t>Otro Efectivo y Equivalentes</t>
  </si>
  <si>
    <t>3.2.1.1.1.7</t>
  </si>
  <si>
    <t>Depósitos de Fondo de Terceros en Garantía y/o Administración</t>
  </si>
  <si>
    <t>3.2.1.1.1.6</t>
  </si>
  <si>
    <t>Fondos con Afectación Específica</t>
  </si>
  <si>
    <t>3.2.1.1.1.5</t>
  </si>
  <si>
    <t>Inversiones Temporales ( Hasta 3 Meses)</t>
  </si>
  <si>
    <t>3.2.1.1.1.4</t>
  </si>
  <si>
    <t>Bancos / Dependencias y Otros</t>
  </si>
  <si>
    <t>3.2.1.1.1.3</t>
  </si>
  <si>
    <t>Bancos / Tesorería</t>
  </si>
  <si>
    <t>3.2.1.1.1.2</t>
  </si>
  <si>
    <t>Efectivo</t>
  </si>
  <si>
    <t>3.2.1.1.1.1</t>
  </si>
  <si>
    <t>Incremento de Caja y Bancos (Efectivo y Equivalentes)</t>
  </si>
  <si>
    <t>3.2.1.1.1</t>
  </si>
  <si>
    <t>Incremento de Activos Financieros Corrientes  (Circulantes)</t>
  </si>
  <si>
    <t>3.2.1.1</t>
  </si>
  <si>
    <t>Incremento de Activos Financieros</t>
  </si>
  <si>
    <t>3.2.1</t>
  </si>
  <si>
    <t>APLICACIONES FINANCIERAS    (Usos)</t>
  </si>
  <si>
    <t>TOTAL DE FUENTES FINANCIERAS</t>
  </si>
  <si>
    <t>Incremento de Patrimonio</t>
  </si>
  <si>
    <t>3.1.3</t>
  </si>
  <si>
    <t>3.1.2.2.5.3</t>
  </si>
  <si>
    <t>Fondos y Bienes de Terceros</t>
  </si>
  <si>
    <t>3.1.2.2.5.2</t>
  </si>
  <si>
    <t>3.1.2.2.5.1</t>
  </si>
  <si>
    <t>Incremento de Otros Pasivos a Largo Plazo</t>
  </si>
  <si>
    <t>3.1.2.2.5</t>
  </si>
  <si>
    <t>Obtención de Préstamos Externos</t>
  </si>
  <si>
    <t>3.1.2.2.4.2</t>
  </si>
  <si>
    <t>Obtención de Préstamos Internos</t>
  </si>
  <si>
    <t>3.1.2.2.4.1</t>
  </si>
  <si>
    <t>Obtención de Préstamos de la Deuda Pública a Largo Plazo</t>
  </si>
  <si>
    <t>3.1.2.2.4</t>
  </si>
  <si>
    <t>Colocación de Títulos y Valores de la Deuda Pública Externa</t>
  </si>
  <si>
    <t>3.1.2.2.3.2</t>
  </si>
  <si>
    <t>Colocación de Títulos y Valores de la Deuda Pública Interna</t>
  </si>
  <si>
    <t>3.1.2.2.3.1</t>
  </si>
  <si>
    <t>Colocación de Títulos y Valores a Largo Plazo</t>
  </si>
  <si>
    <t>3.1.2.2.3</t>
  </si>
  <si>
    <t>Otros documentos por Pagar</t>
  </si>
  <si>
    <t>3.1.2.2.2.3</t>
  </si>
  <si>
    <t>3.1.2.2.2.2</t>
  </si>
  <si>
    <t>3.1.2.2.2.1</t>
  </si>
  <si>
    <t>Incremento de Documentos por Pagar a Largo Plazo</t>
  </si>
  <si>
    <t>3.1.2.2.2</t>
  </si>
  <si>
    <t>3.1.2.2.1.2</t>
  </si>
  <si>
    <t xml:space="preserve">Proveedores por Pagar </t>
  </si>
  <si>
    <t>3.1.2.2.1.1</t>
  </si>
  <si>
    <t xml:space="preserve">Incremento de Cuentas por Pagar a Largo Plazo </t>
  </si>
  <si>
    <t>3.1.2.2.1</t>
  </si>
  <si>
    <t xml:space="preserve">Incremento de Pasivo No Corrientes </t>
  </si>
  <si>
    <t>3.1.2.2</t>
  </si>
  <si>
    <t>3.1.2.1.4.3</t>
  </si>
  <si>
    <t xml:space="preserve">3.1.2.1.4.2 </t>
  </si>
  <si>
    <t>3.1.2.1.4.1</t>
  </si>
  <si>
    <t>Incremento de Otros Pasivos de Corto Plazo</t>
  </si>
  <si>
    <t>3.1.2.1.4</t>
  </si>
  <si>
    <t>Porción a Corto Plazo de Préstamos de la Deuda Pública Externa de L.P.</t>
  </si>
  <si>
    <t>3.1.2.1.3.2.2</t>
  </si>
  <si>
    <t>Porción a Corto Plazo de Préstamos de la Deuda Pública Interna de L.P.</t>
  </si>
  <si>
    <t>3.1.2.1.3.2.1</t>
  </si>
  <si>
    <t>3.1.2.1.3.2</t>
  </si>
  <si>
    <t>Porción de Corto Plazo de Títulos y Valores de la Deuda Pública Externa de L.P.</t>
  </si>
  <si>
    <t>3.1.2.1.3.1.2</t>
  </si>
  <si>
    <t>Porción de Corto Plazo de Títulos y Valores de la Deuda Pública Interna de L.P.</t>
  </si>
  <si>
    <t>3.1.2.1.3.1.1</t>
  </si>
  <si>
    <t>Conversión de Títulos y Valores de Largo Plazo en Corto Plazo</t>
  </si>
  <si>
    <t>3.1.2.1.3.1</t>
  </si>
  <si>
    <t>Conversión de Deuda Pública a Largo Plazo en Porción Circulante</t>
  </si>
  <si>
    <t>3.1.2.1.3</t>
  </si>
  <si>
    <t>3.1.2.1.2.5</t>
  </si>
  <si>
    <t>3.1.2.1.2.4</t>
  </si>
  <si>
    <t>3.1.2.1.2.3</t>
  </si>
  <si>
    <t>3.1.2.1.2.2</t>
  </si>
  <si>
    <t>3.1.2.1.2.1</t>
  </si>
  <si>
    <t>Incremento de Documentos por Pagar</t>
  </si>
  <si>
    <t>3.1.2.1.2</t>
  </si>
  <si>
    <t>3.1.2.1.1.9</t>
  </si>
  <si>
    <t>Devoluciones de Contribuciones por Pagar</t>
  </si>
  <si>
    <t>3.1.2.1.1.8</t>
  </si>
  <si>
    <t>3.1.2.1.1.7</t>
  </si>
  <si>
    <t>Intereses y Comisiones por Pagar</t>
  </si>
  <si>
    <t>3.1.2.1.1.6</t>
  </si>
  <si>
    <t>3.1.2.1.1.5</t>
  </si>
  <si>
    <t>3.1.2.1.1.4</t>
  </si>
  <si>
    <t>3.1.2.1.1.3</t>
  </si>
  <si>
    <t>3.1.2.1.1.2</t>
  </si>
  <si>
    <t>3.1.2.1.1.1</t>
  </si>
  <si>
    <t>Incremento de Cuentas por Pagar</t>
  </si>
  <si>
    <t>3.1.2.1.1</t>
  </si>
  <si>
    <t>Incremento de Pasivos Corrientes</t>
  </si>
  <si>
    <t>3.1.2.1</t>
  </si>
  <si>
    <t>Incremento de Pasivos</t>
  </si>
  <si>
    <t xml:space="preserve">3.1.2 </t>
  </si>
  <si>
    <t>3.1.1.2.2.5</t>
  </si>
  <si>
    <t>3.1.1.2.2.4</t>
  </si>
  <si>
    <t>3.1.1.2.2.3</t>
  </si>
  <si>
    <t>3.1.1.2.2.2</t>
  </si>
  <si>
    <t>3.1.1.2.2.1</t>
  </si>
  <si>
    <t>Disminución de Otros Activos Financieros No Corrientes</t>
  </si>
  <si>
    <t>3.1.1.2.2</t>
  </si>
  <si>
    <t>3.1.1.2.1.4.2</t>
  </si>
  <si>
    <t>3.1.1.2.1.4.1</t>
  </si>
  <si>
    <t>Recuperación de Préstamos</t>
  </si>
  <si>
    <t>3.1.1.2.1.4</t>
  </si>
  <si>
    <t xml:space="preserve">Venta de Obligaciones Negociables </t>
  </si>
  <si>
    <t>3.1.1.2.1.3</t>
  </si>
  <si>
    <t>Venta de Títulos y Valores Representativos de la Deuda</t>
  </si>
  <si>
    <t>3.1.1.2.1.2</t>
  </si>
  <si>
    <t>3.1.1.2.1.1.2</t>
  </si>
  <si>
    <t>3.1.1.2.1.1.1</t>
  </si>
  <si>
    <t>Venta de Acciones y Participaciones de Capital</t>
  </si>
  <si>
    <t>3.1.1.2.1.1</t>
  </si>
  <si>
    <t xml:space="preserve">Recuperación de Inversiones Financieras a Largo Plazo con Fines de Liquidez </t>
  </si>
  <si>
    <t>3.1.1.2.1</t>
  </si>
  <si>
    <t>Disminución de Activos Financieros No Corrientes</t>
  </si>
  <si>
    <t>3.1.1.2</t>
  </si>
  <si>
    <t>Disminución de Otros Activos Circulantes</t>
  </si>
  <si>
    <t>3.1.1.1.6.6</t>
  </si>
  <si>
    <t>Otros Derechos a Recibir Bienes o Servicios</t>
  </si>
  <si>
    <t>3.1.1.1.6.5</t>
  </si>
  <si>
    <t>3.1.1.1.6.4</t>
  </si>
  <si>
    <t>3.1.1.1.6.3</t>
  </si>
  <si>
    <t>3.1.1.1.6.2</t>
  </si>
  <si>
    <t>3.1.1.1.6.1</t>
  </si>
  <si>
    <t xml:space="preserve">Disminución de Otros Activos Financieros Corrientes </t>
  </si>
  <si>
    <t>3.1.1.1.6</t>
  </si>
  <si>
    <t>Recuperación de Préstamos Otorgados de Corto Plazo</t>
  </si>
  <si>
    <t>3.1.1.1.5</t>
  </si>
  <si>
    <t>3.1.1.1.4.1</t>
  </si>
  <si>
    <t xml:space="preserve">Disminución de Documentos por Cobrar </t>
  </si>
  <si>
    <t>3.1.1.1.4</t>
  </si>
  <si>
    <t>Deudores por Anticipos de la Tesorería</t>
  </si>
  <si>
    <t>3.1.1.1.3.4</t>
  </si>
  <si>
    <t>3.1.1.1.3.3</t>
  </si>
  <si>
    <t>3.1.1.1.3.2</t>
  </si>
  <si>
    <t>3.1.1.1.3.1</t>
  </si>
  <si>
    <t>Disminución de Cuentas por Cobrar</t>
  </si>
  <si>
    <t>3.1.1.1.3</t>
  </si>
  <si>
    <t>3.1.1.1.2.3</t>
  </si>
  <si>
    <t xml:space="preserve">Acciones y Participaciones de Capital </t>
  </si>
  <si>
    <t>3.1.1.1.2.2</t>
  </si>
  <si>
    <t>3.1.1.1.2.1</t>
  </si>
  <si>
    <t>Disminución de Inversiones Financieras de Corto Plazo (Derechos a Recibir Efectivo o Equivalentes)</t>
  </si>
  <si>
    <t>3.1.1.1.2</t>
  </si>
  <si>
    <t>3.1.1.1.1.7</t>
  </si>
  <si>
    <t>Depósitos de Fondos de Terceros en garantía y Administración</t>
  </si>
  <si>
    <t>3.1.1.1.1.6</t>
  </si>
  <si>
    <t>3.1.1.1.1.5</t>
  </si>
  <si>
    <t>Inversiones Temporales (Hasta 3 meses)</t>
  </si>
  <si>
    <t>3.1.1.1.1.4</t>
  </si>
  <si>
    <t>3.1.1.1.1.3</t>
  </si>
  <si>
    <t>3.1.1.1.1.2</t>
  </si>
  <si>
    <t>3.1.1.1.1.1</t>
  </si>
  <si>
    <t>Disminución de Caja y Bancos (Efectivo y Equivalentes)</t>
  </si>
  <si>
    <t>3.1.1.1.1</t>
  </si>
  <si>
    <t>Disminución de Activos Financieros Corrientes (Circulantes)</t>
  </si>
  <si>
    <t>3.1.1.1</t>
  </si>
  <si>
    <t>Disminución de Activos Financieros</t>
  </si>
  <si>
    <t>3.1.1</t>
  </si>
  <si>
    <t>FUENTES FINANCIERAS</t>
  </si>
  <si>
    <t>FINANCIAMIENTO</t>
  </si>
  <si>
    <t>TOTAL DEL GASTO</t>
  </si>
  <si>
    <t>Externa</t>
  </si>
  <si>
    <t>2.2.7.4.2</t>
  </si>
  <si>
    <t>Sector Privado</t>
  </si>
  <si>
    <t>2.2.7.4.1.2</t>
  </si>
  <si>
    <t>Sector Público</t>
  </si>
  <si>
    <t>2.2.7.4.1.1</t>
  </si>
  <si>
    <t>Interna</t>
  </si>
  <si>
    <t>2.2.7.4.1</t>
  </si>
  <si>
    <t xml:space="preserve">2.2.7.4 </t>
  </si>
  <si>
    <t>Obligaciones Negociables Adquiridas con Fines de Política Económica</t>
  </si>
  <si>
    <t>2.2.7.3</t>
  </si>
  <si>
    <t>Valores Representativos de Deuda Adquiridos con Fines de Política Económica</t>
  </si>
  <si>
    <t>2.2.7.2</t>
  </si>
  <si>
    <t>2.2.7.1.2</t>
  </si>
  <si>
    <t>2.2.7.1.1.2</t>
  </si>
  <si>
    <t>2.2.7.1.1.1</t>
  </si>
  <si>
    <t>2.2.7.1.1</t>
  </si>
  <si>
    <t>2.2.7.1</t>
  </si>
  <si>
    <t>Inversión Financiera con Fines de Política Económica</t>
  </si>
  <si>
    <t>2.2.7</t>
  </si>
  <si>
    <t>Al Sector Privado Externo</t>
  </si>
  <si>
    <t>2.2.6.3.3</t>
  </si>
  <si>
    <t>A Organismos Internacionales</t>
  </si>
  <si>
    <t>2.2.6.3.2</t>
  </si>
  <si>
    <t>A Gobiernos Extranjeros</t>
  </si>
  <si>
    <t>2.2.6.3.1</t>
  </si>
  <si>
    <t>Al Sector Externo</t>
  </si>
  <si>
    <t>2.2.6.3</t>
  </si>
  <si>
    <t>A Municipios</t>
  </si>
  <si>
    <t>2.2.6.2.3</t>
  </si>
  <si>
    <t>A Entidades Federativas</t>
  </si>
  <si>
    <t>2.2.6.2.2</t>
  </si>
  <si>
    <t>Transferencias de Fideicomisos, Mandatos y Contratos análogos</t>
  </si>
  <si>
    <t>2.1.6.2.1.3</t>
  </si>
  <si>
    <t>Transferencias al resto del sector público</t>
  </si>
  <si>
    <t>2.1.6.2.1.2</t>
  </si>
  <si>
    <t xml:space="preserve">Transferencias Internas y Asignaciones </t>
  </si>
  <si>
    <t>2.1.6.2.1.1</t>
  </si>
  <si>
    <t>A la Federación</t>
  </si>
  <si>
    <t>2.2.6.2.1</t>
  </si>
  <si>
    <t>Al Sector Público</t>
  </si>
  <si>
    <t>2.2.6.2</t>
  </si>
  <si>
    <t>2.2.6.1.4</t>
  </si>
  <si>
    <t>Instituciones de Interés Público</t>
  </si>
  <si>
    <t>2.2.6.1.3</t>
  </si>
  <si>
    <t>Ayuda a Instituciones</t>
  </si>
  <si>
    <t>2.2.6.1.2</t>
  </si>
  <si>
    <t>Ayuda a Personas</t>
  </si>
  <si>
    <t>2.2.6.1.1</t>
  </si>
  <si>
    <t>Al Sector Privado</t>
  </si>
  <si>
    <t>2.2.6.1</t>
  </si>
  <si>
    <t>Transferencias y Asignaciones y Donativos de Capital Otorgados</t>
  </si>
  <si>
    <t>2.2.6</t>
  </si>
  <si>
    <t>Otros Activos Intangibles No Producidos</t>
  </si>
  <si>
    <t>2.2.5.2.4</t>
  </si>
  <si>
    <t>Fondos de Comercio Adquiridos</t>
  </si>
  <si>
    <t>2.2.5.2.3</t>
  </si>
  <si>
    <t>Arrendamientos Operativos Comerciales</t>
  </si>
  <si>
    <t>2.2.5.2.2</t>
  </si>
  <si>
    <t>Derechos Patentados</t>
  </si>
  <si>
    <t>2.2.5.2.1</t>
  </si>
  <si>
    <t>Activos Intangibles No Producidos  (MEFP 7.78)</t>
  </si>
  <si>
    <t>2.2.5.2</t>
  </si>
  <si>
    <t>Otros Activos de Origen Natural</t>
  </si>
  <si>
    <t>2.2.5.1.5</t>
  </si>
  <si>
    <t>Recursos Hídricos</t>
  </si>
  <si>
    <t>2.2.5.1.4</t>
  </si>
  <si>
    <t>Recursos Biológicos No Cultivados</t>
  </si>
  <si>
    <t>2.2.5.1.3</t>
  </si>
  <si>
    <t>Recursos Minerales y Energéticos</t>
  </si>
  <si>
    <t>2.2.5.1.2</t>
  </si>
  <si>
    <t>Tierras y Terrenos  (MEFP 7.70)</t>
  </si>
  <si>
    <t>2.2.5.1.1</t>
  </si>
  <si>
    <t>Activos Intangibles No Producidos de Origen Natural</t>
  </si>
  <si>
    <t>2.2.5.1</t>
  </si>
  <si>
    <t>Activos No Producidos</t>
  </si>
  <si>
    <t>2.2.5</t>
  </si>
  <si>
    <t>Otros Objetos de Valor</t>
  </si>
  <si>
    <t>2.2.4.3</t>
  </si>
  <si>
    <t>Antigüedades y Otros Objetos de Arte</t>
  </si>
  <si>
    <t>2.2.4.2</t>
  </si>
  <si>
    <t>Metales y Piedras Preciosas</t>
  </si>
  <si>
    <t>2.2.4.1</t>
  </si>
  <si>
    <t>Objetos de Valor</t>
  </si>
  <si>
    <t>2.2.4</t>
  </si>
  <si>
    <t xml:space="preserve">Existencias de Materiales de Seguridad y Defensa </t>
  </si>
  <si>
    <t>2.2.3.7</t>
  </si>
  <si>
    <t>Bienes en Tránsito</t>
  </si>
  <si>
    <t>2.2.3.6</t>
  </si>
  <si>
    <t>Bienes de Venta</t>
  </si>
  <si>
    <t>2.2.3.5</t>
  </si>
  <si>
    <t>Bienes Terminados</t>
  </si>
  <si>
    <t>2.2.3.4</t>
  </si>
  <si>
    <t>Trabajos en Curso</t>
  </si>
  <si>
    <t>2.2.3.3</t>
  </si>
  <si>
    <t>Materias Primas</t>
  </si>
  <si>
    <t>2.2.3.2</t>
  </si>
  <si>
    <t>2.2.3.1</t>
  </si>
  <si>
    <t>Incremento de Existencias</t>
  </si>
  <si>
    <t>2.2.3</t>
  </si>
  <si>
    <t>Otros Activos Fijos Intangibles</t>
  </si>
  <si>
    <t>2.2.2.5.5</t>
  </si>
  <si>
    <t>Originales para Esparcimiento, Literarios o Artísticos</t>
  </si>
  <si>
    <t>2.2.2.5.4</t>
  </si>
  <si>
    <t>Programas de Informática y Base de Datos</t>
  </si>
  <si>
    <t>2.2.2.5.3</t>
  </si>
  <si>
    <t>Exploración y Evaluación Minera</t>
  </si>
  <si>
    <t>2.2.2.5.2</t>
  </si>
  <si>
    <t>Investigación y Desarrollo</t>
  </si>
  <si>
    <t>2.2.2.5.1</t>
  </si>
  <si>
    <t>Activos Fijos Intangibles</t>
  </si>
  <si>
    <t>2.2.2.5</t>
  </si>
  <si>
    <t>Árboles, Cultivos y Otras Plantaciones que dan Productos Recurrentes</t>
  </si>
  <si>
    <t>2.2.2.4.2</t>
  </si>
  <si>
    <t>Ganado para Cría, Leche, Tiro, etc., que dan Productos Recurrentes</t>
  </si>
  <si>
    <t>2.2.2.4.1</t>
  </si>
  <si>
    <t>Activos Biológicos Cultivados</t>
  </si>
  <si>
    <t>2.2.2.4</t>
  </si>
  <si>
    <t xml:space="preserve">Equipo de Defensa y Seguridad </t>
  </si>
  <si>
    <t xml:space="preserve">2.2.2.3 </t>
  </si>
  <si>
    <t xml:space="preserve">Otra Maquinaria y Equipo </t>
  </si>
  <si>
    <t>2.2.2.2.3</t>
  </si>
  <si>
    <t xml:space="preserve">Equipo de Tecnología de la Información y Comunicaciones </t>
  </si>
  <si>
    <t>2.2.2.2.2</t>
  </si>
  <si>
    <t>Equipo de Transporte</t>
  </si>
  <si>
    <t>2.2.2.2.1</t>
  </si>
  <si>
    <t>Maquinaria y Equipo</t>
  </si>
  <si>
    <t>2.2.2.2</t>
  </si>
  <si>
    <t>Otras Estructuras</t>
  </si>
  <si>
    <t>2.2.2.1.3</t>
  </si>
  <si>
    <t>Edificios No Residenciales</t>
  </si>
  <si>
    <t>2.2.2.1.2</t>
  </si>
  <si>
    <t>Viviendas</t>
  </si>
  <si>
    <t>2.2.2.1.1</t>
  </si>
  <si>
    <t>Viviendas, Edificios y Estructuras</t>
  </si>
  <si>
    <t>2.2.2.1</t>
  </si>
  <si>
    <t>Activos Fijos (Formación Bruta de Capital Fijo)</t>
  </si>
  <si>
    <t>2.2.2</t>
  </si>
  <si>
    <t>Construcciones en Proceso</t>
  </si>
  <si>
    <t>2.2.1</t>
  </si>
  <si>
    <t>GASTOS DE CAPITAL</t>
  </si>
  <si>
    <t>Estimaciones por Pérdida o Deterioro a Largo Plazo</t>
  </si>
  <si>
    <t>2.1.8.4</t>
  </si>
  <si>
    <t>Estimaciones por Pérdida o Deterioro a Corto Plazo</t>
  </si>
  <si>
    <t>2.1.8.3</t>
  </si>
  <si>
    <t>2.1.8.2</t>
  </si>
  <si>
    <t>2.1.8.1</t>
  </si>
  <si>
    <t>Provisiones y Otras Estimaciones</t>
  </si>
  <si>
    <t>2.1.8</t>
  </si>
  <si>
    <t>2.1.7</t>
  </si>
  <si>
    <t xml:space="preserve">Impuesto sobre los Ingresos, la Riqueza y Otros a las Entidades Empresariales Públicas </t>
  </si>
  <si>
    <t>2.1.6</t>
  </si>
  <si>
    <t>2.1.5.3.3</t>
  </si>
  <si>
    <t>2.1.5.3.2</t>
  </si>
  <si>
    <t>2.1.5.3.1</t>
  </si>
  <si>
    <t>2.1.5.3</t>
  </si>
  <si>
    <t>2.1.5.2.3</t>
  </si>
  <si>
    <t>2.1.5.2.2</t>
  </si>
  <si>
    <t>Transferencias de Fideicomisos, Mandatos y Contratos Análogos</t>
  </si>
  <si>
    <t>2.1.5.2.1.4</t>
  </si>
  <si>
    <t>Organismos de la Seguridad Social</t>
  </si>
  <si>
    <t>2.1.5.2.1.3</t>
  </si>
  <si>
    <t>Transferencias del Resto del Sector Público</t>
  </si>
  <si>
    <t>2.1.5.2.1.2</t>
  </si>
  <si>
    <t>2.1.5.2.1.1</t>
  </si>
  <si>
    <t>2.1.5.2.1</t>
  </si>
  <si>
    <t>2.1.5.2</t>
  </si>
  <si>
    <t>Otras</t>
  </si>
  <si>
    <t>2.1.5.1.7</t>
  </si>
  <si>
    <t>Fideicomisos, Mandatos y Contratos Análogos</t>
  </si>
  <si>
    <t>2.1.5.1.6</t>
  </si>
  <si>
    <t>2.1.5.1.5</t>
  </si>
  <si>
    <t xml:space="preserve">2.1.5.1.4 </t>
  </si>
  <si>
    <t>2.1.5.1.3</t>
  </si>
  <si>
    <t>Becas</t>
  </si>
  <si>
    <t>2.1.5.1.2</t>
  </si>
  <si>
    <t>2.1.5.1.1</t>
  </si>
  <si>
    <t xml:space="preserve">2.1.5.1 </t>
  </si>
  <si>
    <t xml:space="preserve">Transferencias, Asignaciones y Donativos Corrientes Otorgados </t>
  </si>
  <si>
    <t>2.1.5</t>
  </si>
  <si>
    <t>A Entidades Empresariales Financieras</t>
  </si>
  <si>
    <t>2.1.4.2.2</t>
  </si>
  <si>
    <t>A Entidades Empresariales No Financieras</t>
  </si>
  <si>
    <t>2.1.4.2.1</t>
  </si>
  <si>
    <t>A Entidades Empresariales del Sector Público</t>
  </si>
  <si>
    <t>2.1.4.2</t>
  </si>
  <si>
    <t>2.1.4.1.2</t>
  </si>
  <si>
    <t>A Entidades Empresariales no Financieras</t>
  </si>
  <si>
    <t>2.1.4.1.1</t>
  </si>
  <si>
    <t xml:space="preserve">A Entidades Empresariales del Sector Privado </t>
  </si>
  <si>
    <t>2.1.4.1</t>
  </si>
  <si>
    <t>Subsidios y Subvenciones a Empresas (MEFP 6.61)</t>
  </si>
  <si>
    <t>2.1.4</t>
  </si>
  <si>
    <t>Arrendamientos de Tierras y Terrenos  (MEFP 6.81)</t>
  </si>
  <si>
    <t>2.1.3.2.2</t>
  </si>
  <si>
    <t>Dividendos y Retiros de las Cuasisociedades</t>
  </si>
  <si>
    <t>2.1.3.2.1</t>
  </si>
  <si>
    <t>Gastos de la Propiedad Distintos de Intereses</t>
  </si>
  <si>
    <t>2.1.3.2</t>
  </si>
  <si>
    <t>Intereses de la Deuda Externa</t>
  </si>
  <si>
    <t>2.1.3.1.2</t>
  </si>
  <si>
    <t>Intereses de la Deuda Interna</t>
  </si>
  <si>
    <t>2.1.3.1.1</t>
  </si>
  <si>
    <t>Intereses</t>
  </si>
  <si>
    <t>2.1.3.1</t>
  </si>
  <si>
    <t>Gasto de la Propiedad</t>
  </si>
  <si>
    <t>2.1.3</t>
  </si>
  <si>
    <t>Prestaciones de la Seguridad Social  (MEFP 6.69)</t>
  </si>
  <si>
    <t>2.1.2</t>
  </si>
  <si>
    <t>Impuestos sobre los Productos, la Producción y las Importaciones de las Entidades Empresariales</t>
  </si>
  <si>
    <t>2.1.1.6</t>
  </si>
  <si>
    <t>Estimaciones por Deterioro de Inventarios</t>
  </si>
  <si>
    <t>2.1.1.5</t>
  </si>
  <si>
    <t>Depreciación y Amortización</t>
  </si>
  <si>
    <t>2.1.1.4</t>
  </si>
  <si>
    <t>Variación de Existencias (Disminución (+) Incremento (-))</t>
  </si>
  <si>
    <t>2.1.1.3</t>
  </si>
  <si>
    <t>Compra de Bienes y Servicios</t>
  </si>
  <si>
    <t>2.1.1.2</t>
  </si>
  <si>
    <t>Impuestos sobre Nóminas</t>
  </si>
  <si>
    <t xml:space="preserve">2.1.1.1.3 </t>
  </si>
  <si>
    <t>Contribuciones Sociales</t>
  </si>
  <si>
    <t>2.1.1.1.2</t>
  </si>
  <si>
    <t>Sueldos y Salarios</t>
  </si>
  <si>
    <t>2.1.1.1.1</t>
  </si>
  <si>
    <t>Remuneraciones</t>
  </si>
  <si>
    <t>2.1.1.1</t>
  </si>
  <si>
    <t>Gastos de Consumo de los Entes del Gobierno General/ Gastos de Explotación de las Entidades Empresariales</t>
  </si>
  <si>
    <t>2.1.1</t>
  </si>
  <si>
    <t>GASTOS CORRIENTES</t>
  </si>
  <si>
    <t>GASTOS</t>
  </si>
  <si>
    <t>TOTAL DE INGRESOS</t>
  </si>
  <si>
    <t>Recuperación de Préstamos Realizados con Fines de Política</t>
  </si>
  <si>
    <t>1.2.5.4</t>
  </si>
  <si>
    <t>Venta de Obligaciones Negociables Adquiridas con Fines de Política</t>
  </si>
  <si>
    <t>1.2.5.3</t>
  </si>
  <si>
    <t>Valores Representativos de Deuda Adquiridos con Fines de Política</t>
  </si>
  <si>
    <t>1.2.5.2</t>
  </si>
  <si>
    <t>Venta de Acciones y Participaciones de Capital Adquiridas con Fines de Política</t>
  </si>
  <si>
    <t>1.2.5.1</t>
  </si>
  <si>
    <t>Recuperación de Inversiones Financieras Realizadas con Fines de Política</t>
  </si>
  <si>
    <t>1.2.5</t>
  </si>
  <si>
    <t>Del Sector Privado Externo</t>
  </si>
  <si>
    <t>1.2.4.3.3</t>
  </si>
  <si>
    <t>De Organismos Internacionales</t>
  </si>
  <si>
    <t>1.2.4.3.2</t>
  </si>
  <si>
    <t>De Gobiernos Extranjeros</t>
  </si>
  <si>
    <t>1.2.4.3.1</t>
  </si>
  <si>
    <t>Del Sector Externo</t>
  </si>
  <si>
    <t>1.2.4.3</t>
  </si>
  <si>
    <t>De Municipios</t>
  </si>
  <si>
    <t>1.2.4.2.3</t>
  </si>
  <si>
    <t>De Entidades Federativas</t>
  </si>
  <si>
    <t xml:space="preserve">1.2.4.2.2 </t>
  </si>
  <si>
    <t>1.2.4.2.1.4</t>
  </si>
  <si>
    <t>1.2.4.2.1.3</t>
  </si>
  <si>
    <t>1.2.4.2.1.2</t>
  </si>
  <si>
    <t>1.2.4.2.1.1</t>
  </si>
  <si>
    <t xml:space="preserve">De la Federación </t>
  </si>
  <si>
    <t>1.2.4.2.1</t>
  </si>
  <si>
    <t>Del Sector Público</t>
  </si>
  <si>
    <t>1.2.4.2</t>
  </si>
  <si>
    <t>Del Sector Privado</t>
  </si>
  <si>
    <t xml:space="preserve">1.2.4.1 </t>
  </si>
  <si>
    <t>Transferencias, Asignaciones y Donativos de Capital Recibidas</t>
  </si>
  <si>
    <t>1.2.4</t>
  </si>
  <si>
    <t>1.2.3.4</t>
  </si>
  <si>
    <t>Otras Estimaciones por pérdida o deterioro</t>
  </si>
  <si>
    <t>1.2.3.3</t>
  </si>
  <si>
    <t>1.2.3.2</t>
  </si>
  <si>
    <t>1.2.3.1</t>
  </si>
  <si>
    <t>Incremento de la Depreciación, Amortización, Estimaciones y Provisiones Acumuladas</t>
  </si>
  <si>
    <t>1.2.3</t>
  </si>
  <si>
    <t>Existencias de Material de Seguridad y Defensa</t>
  </si>
  <si>
    <t>1.2.2.7</t>
  </si>
  <si>
    <t>Bienes en tránsito</t>
  </si>
  <si>
    <t>1.2.2.6</t>
  </si>
  <si>
    <t>Bienes para venta</t>
  </si>
  <si>
    <t>1.2.2.5</t>
  </si>
  <si>
    <t>1.2.2.4</t>
  </si>
  <si>
    <t>1.2.2.3</t>
  </si>
  <si>
    <t>1.2.2.2</t>
  </si>
  <si>
    <t>1.2.2.1</t>
  </si>
  <si>
    <t>Disminución de Existencias</t>
  </si>
  <si>
    <t>1.2.2</t>
  </si>
  <si>
    <t>Venta de Activos No Producidos</t>
  </si>
  <si>
    <t>1.2.1.3</t>
  </si>
  <si>
    <t>Venta de Objetos de Valor</t>
  </si>
  <si>
    <t>1.2.1.2</t>
  </si>
  <si>
    <t>Venta de Activos Fijos</t>
  </si>
  <si>
    <t>1.2.1.1</t>
  </si>
  <si>
    <t>Venta (Disposición) de Activos</t>
  </si>
  <si>
    <t>1.2.1</t>
  </si>
  <si>
    <t>INGRESOS DE CAPITAL</t>
  </si>
  <si>
    <t>1.1.9</t>
  </si>
  <si>
    <t>1.1.8.3.3</t>
  </si>
  <si>
    <t>1.1.8.3.2</t>
  </si>
  <si>
    <t>1.1.8.3.1</t>
  </si>
  <si>
    <t>1.1.8.3</t>
  </si>
  <si>
    <t>1.1.8.2.3</t>
  </si>
  <si>
    <t>1.1.8.2.2</t>
  </si>
  <si>
    <t>1.1.8.2.1.4</t>
  </si>
  <si>
    <t>1.1.8.2.1.3</t>
  </si>
  <si>
    <t>1.1.8.2.1.2</t>
  </si>
  <si>
    <t>1.1.8.2.1.1</t>
  </si>
  <si>
    <t>De la Federación</t>
  </si>
  <si>
    <t>1.1.8.2.1</t>
  </si>
  <si>
    <t>1.1.8.2</t>
  </si>
  <si>
    <t>1.1.8.1</t>
  </si>
  <si>
    <t>Transferencias, Asignaciones y Donativos Corrientes Recibidos</t>
  </si>
  <si>
    <t xml:space="preserve">1.1.8 </t>
  </si>
  <si>
    <t>Subsidios y Subvenciones Recibidos por Entidades Empresariales Públicas Financieras</t>
  </si>
  <si>
    <t>1.1.7.2</t>
  </si>
  <si>
    <t>Subsidios y Subvenciones Recibidos por Entidades Empresariales Públicas No Financieras</t>
  </si>
  <si>
    <t>1.1.7.1</t>
  </si>
  <si>
    <t>Subsidios y Subvenciones Recibidos por Entidades Empresariales Públicas</t>
  </si>
  <si>
    <t>1.1.7</t>
  </si>
  <si>
    <t>Derechos Administrativos</t>
  </si>
  <si>
    <t>1.1.6.3</t>
  </si>
  <si>
    <t>Venta de Establecimientos de Mercado</t>
  </si>
  <si>
    <t>1.1.6.2</t>
  </si>
  <si>
    <t>Venta de Establecimientos No de Mercado</t>
  </si>
  <si>
    <t>1.1.6.1</t>
  </si>
  <si>
    <t>Venta de Bienes y Servicios de Entidades del Gobierno General / Ingresos de Explotación de Entidades Empresariales</t>
  </si>
  <si>
    <t xml:space="preserve">1.1.6 </t>
  </si>
  <si>
    <t>Otros</t>
  </si>
  <si>
    <t>1.1.5.4</t>
  </si>
  <si>
    <t>Arrendamiento de Tierras y Terrenos</t>
  </si>
  <si>
    <t>1.1.5.3</t>
  </si>
  <si>
    <t>1.1.5.2</t>
  </si>
  <si>
    <t>1.1.5.1.2</t>
  </si>
  <si>
    <t>1.1.5.1.1</t>
  </si>
  <si>
    <t>1.1.5.1</t>
  </si>
  <si>
    <t>Rentas de la Propiedad</t>
  </si>
  <si>
    <t>1.1.5</t>
  </si>
  <si>
    <t>Aprovechamientos Corrientes No Incluidos en Otros Conceptos</t>
  </si>
  <si>
    <t>1.1.4.3</t>
  </si>
  <si>
    <t>Productos Corrientes No Incluidos en Otros Conceptos</t>
  </si>
  <si>
    <t>1.1.4.2</t>
  </si>
  <si>
    <t>Derechos No Incluidos en Otros Conceptos</t>
  </si>
  <si>
    <t>1.1.4.1</t>
  </si>
  <si>
    <t>Derechos, Productos y Aprovechamientos Corrientes</t>
  </si>
  <si>
    <t>1.1.4</t>
  </si>
  <si>
    <t>1.1.3</t>
  </si>
  <si>
    <t>Contribuciones no Clasificables</t>
  </si>
  <si>
    <t xml:space="preserve">1.1.2.4 </t>
  </si>
  <si>
    <t>Contribuciones de los Trabajadores Por Cuenta Propia o No Empleados</t>
  </si>
  <si>
    <t xml:space="preserve">1.1.2.3 </t>
  </si>
  <si>
    <t>Contribuciones de los Empleadores</t>
  </si>
  <si>
    <t>1.1.2.2</t>
  </si>
  <si>
    <t>Contribuciones de los Empleados</t>
  </si>
  <si>
    <t>1.1.2.1</t>
  </si>
  <si>
    <t xml:space="preserve">Contribuciones a la Seguridad Social  </t>
  </si>
  <si>
    <t>1.1.2</t>
  </si>
  <si>
    <t>Accesorios</t>
  </si>
  <si>
    <t>1.1.1.9</t>
  </si>
  <si>
    <t>Otros Impuestos</t>
  </si>
  <si>
    <t xml:space="preserve">1.1.1.8 </t>
  </si>
  <si>
    <t>Impuesto a los Rendimientos Petroleros</t>
  </si>
  <si>
    <t>1.1.1.7</t>
  </si>
  <si>
    <t>Impuestos Ecológicos</t>
  </si>
  <si>
    <t>1.1.1.6</t>
  </si>
  <si>
    <t>Impuesto a la Exportación</t>
  </si>
  <si>
    <t>1.1.1.5.2</t>
  </si>
  <si>
    <t xml:space="preserve">Impuesto a la Importación </t>
  </si>
  <si>
    <t>1.1.1.5.1</t>
  </si>
  <si>
    <t>Impuesto sobre el Comercio y las Transacciones Internacionales / Comercio Exterior</t>
  </si>
  <si>
    <t>1.1.1.5</t>
  </si>
  <si>
    <t>Otros Impuestos Sobre Bienes y Servicios</t>
  </si>
  <si>
    <t xml:space="preserve">1.1.1.4.1.3 </t>
  </si>
  <si>
    <t>Impuesto especial sobre Producción y Servicios</t>
  </si>
  <si>
    <t>1.1.1.4.1.2</t>
  </si>
  <si>
    <t>Impuesto al Valor Agregado</t>
  </si>
  <si>
    <t>1.1.1.4.1.1</t>
  </si>
  <si>
    <t>Impuesto sobre la Producción, el Consumo y las Transacciones</t>
  </si>
  <si>
    <t>1.1.1.4.1</t>
  </si>
  <si>
    <t>Impuesto sobre los Bienes y Servicios</t>
  </si>
  <si>
    <t>1.1.1.4</t>
  </si>
  <si>
    <t>Impuesto sobre la Propiedad</t>
  </si>
  <si>
    <t>1.1.1.3</t>
  </si>
  <si>
    <t>Impuesto sobre Nómina y Asimilables</t>
  </si>
  <si>
    <t>1.1.1.2.1</t>
  </si>
  <si>
    <t xml:space="preserve">Impuesto sobre Nómina y la Fuerza de Trabajo  </t>
  </si>
  <si>
    <t>1.1.1.2</t>
  </si>
  <si>
    <t>No Clasificables</t>
  </si>
  <si>
    <t>1.1.1.1.3</t>
  </si>
  <si>
    <t>Impuesto sobre los Ingresos</t>
  </si>
  <si>
    <t>1.1.1.1.2.1</t>
  </si>
  <si>
    <t>De Empresas y Otras Corporaciones (Personas Morales)</t>
  </si>
  <si>
    <t>1.1.1.1.2</t>
  </si>
  <si>
    <t>1.1.1.1.1.1</t>
  </si>
  <si>
    <t>De Personas Físicas</t>
  </si>
  <si>
    <t>1.1.1.1.1</t>
  </si>
  <si>
    <t xml:space="preserve">Impuesto sobre el Ingreso, las Utilidades y las Ganancias de Capital  </t>
  </si>
  <si>
    <t>1.1.1.1</t>
  </si>
  <si>
    <t>1.1.1</t>
  </si>
  <si>
    <t>INGRESOS CORRIENTES</t>
  </si>
  <si>
    <t>INGRESOS</t>
  </si>
  <si>
    <t xml:space="preserve">CLASIFICACION ECONOMICA DE LOS INGRESOS, DE LOS GASTOS Y DEL FINANCIAMIENTO </t>
  </si>
  <si>
    <t>(Cifras en Pesos)</t>
  </si>
  <si>
    <t xml:space="preserve">                                   (Cifras en Pesos)                                 </t>
  </si>
  <si>
    <t>Bajo protesta de decir verdad declaramos que los Estados Financieros y sus notas, son razonablemente correctos y son responsabilidad del emisor</t>
  </si>
  <si>
    <t>Estimado/Aprobado</t>
  </si>
  <si>
    <t>Recaudado/Pagado</t>
  </si>
  <si>
    <t>1. Ingresos Gobierno de la Entidad Federativa</t>
  </si>
  <si>
    <t xml:space="preserve">2. Ingresos Sector Paraestatal  </t>
  </si>
  <si>
    <t xml:space="preserve">3. Egresos del Gobierno de la Entidad Federativa </t>
  </si>
  <si>
    <t xml:space="preserve">4. Egresos  del Sector Paraestatal  </t>
  </si>
  <si>
    <t xml:space="preserve">I. Ingresos Presupuestarios </t>
  </si>
  <si>
    <t xml:space="preserve">C. Financiamiento Neto   </t>
  </si>
  <si>
    <t>Hacienda Pública / Patrimonio Neto Final de 2022</t>
  </si>
  <si>
    <t>31 de diciembre de 2022</t>
  </si>
  <si>
    <t xml:space="preserve">Participaciones, Aportaciones, Convenios, Incentivos Derivados de la Colaboración Fiscal, Fondos Distintos de Aportaciones, Transferencias, Asignaciones, Subsidios y Subvenciones, y Pensiones y Jubilaciones </t>
  </si>
  <si>
    <t>Inversion Pública no Capitalizable</t>
  </si>
  <si>
    <t>V. Balance Primario (superávit o Déficit)   (V= III+IV)</t>
  </si>
  <si>
    <t>Hacienda Pública / Patrimonio Contribuido Neto de 2022</t>
  </si>
  <si>
    <t>Hacienda Pública / Patrimonio Generado Neto de 2022</t>
  </si>
  <si>
    <t>Exceso o Insuficiencia en la Actualización de la Hacienda Pública / Patrimonio Neto de 2022</t>
  </si>
  <si>
    <t>Cambios en la Hacienda Pública / Patrimonio Contribuido Neto de 2023</t>
  </si>
  <si>
    <t>Variaciones de la Hacienda Pública / Patrimonio Generado Neto de 2023</t>
  </si>
  <si>
    <t>Cambios en el Exceso o Insuficiencia en la Actualización de la Hacienda Pública / Patrimonio Neto de 2023</t>
  </si>
  <si>
    <t>Hacienda Pública / Patrimonio Neto Final de 2023</t>
  </si>
  <si>
    <t>al 31 de diciembre de 2022(d)</t>
  </si>
  <si>
    <t>Estado de Situación Financiera  Detallado - LDF</t>
  </si>
  <si>
    <t xml:space="preserve">Saldo
Inicial
</t>
  </si>
  <si>
    <t xml:space="preserve">Cargos del Periodo
</t>
  </si>
  <si>
    <t xml:space="preserve">Abonos del Periodo
</t>
  </si>
  <si>
    <t xml:space="preserve">Saldo
Final
</t>
  </si>
  <si>
    <t xml:space="preserve">Variación del Periodo
</t>
  </si>
  <si>
    <t xml:space="preserve">Denominación de las Deudas </t>
  </si>
  <si>
    <t>Subtotal de Deuda Pública a  Lago Plazo</t>
  </si>
  <si>
    <t>Total de Otros Pasivos</t>
  </si>
  <si>
    <t>Total de Deuda Pública y Otros Pasivos</t>
  </si>
  <si>
    <t>A) NOTAS DE GESTION ADMINISTRATIVA:</t>
  </si>
  <si>
    <t>B) NOTAS DE DESGLOSE</t>
  </si>
  <si>
    <t>C) NOTAS DE MEMORIA: Cuentas de Orden</t>
  </si>
  <si>
    <t>Incluir los 16 puntos señalados</t>
  </si>
  <si>
    <t>Responsabilidad Sobre la Presentación Razonable de la Información Contable</t>
  </si>
  <si>
    <t xml:space="preserve">                                                                                             (Cifras en Pesos)                                          </t>
  </si>
  <si>
    <t>2.1 Ingresos Finanacieros</t>
  </si>
  <si>
    <t>2.2 Incremento por Variación de Inventarios</t>
  </si>
  <si>
    <t>2.3 Disminución del Exceso de Estimaciones por Pérdida o Deterioro u Obsolescencia</t>
  </si>
  <si>
    <t>2.4 Disminución del Exceso de Provisiones</t>
  </si>
  <si>
    <t>2.5 Otros Ingresos y Beneficios Varios</t>
  </si>
  <si>
    <t>2.6 Otros Ingresos Contables No Presupuestarios</t>
  </si>
  <si>
    <t xml:space="preserve">3.1 Aprovechamientos Patrimoniales </t>
  </si>
  <si>
    <t>3.2 Ingresos Derivados de Financiamientos</t>
  </si>
  <si>
    <t>3.3 Otros Ingresos Presupuestarios No Contables</t>
  </si>
  <si>
    <t>4. Total de Ingresos Contables</t>
  </si>
  <si>
    <t>2.Mas Ingresos Contables No Presupuestarios</t>
  </si>
  <si>
    <t xml:space="preserve"> Aprobado   </t>
  </si>
  <si>
    <t xml:space="preserve"> Pagado </t>
  </si>
  <si>
    <t>3=(1+2)</t>
  </si>
  <si>
    <t xml:space="preserve"> 6 = (3 - 4 )</t>
  </si>
  <si>
    <t xml:space="preserve"> 6 = ( 3 - 4 )</t>
  </si>
  <si>
    <t>3=( 1+2 )</t>
  </si>
  <si>
    <t>1</t>
  </si>
  <si>
    <t>2</t>
  </si>
  <si>
    <t>4</t>
  </si>
  <si>
    <t>5</t>
  </si>
  <si>
    <t>6 =( 3 - 4 )</t>
  </si>
  <si>
    <t xml:space="preserve">     Total del Gasto</t>
  </si>
  <si>
    <t xml:space="preserve"> Modificado  </t>
  </si>
  <si>
    <t xml:space="preserve"> Pagado   </t>
  </si>
  <si>
    <t xml:space="preserve">  Egresos</t>
  </si>
  <si>
    <t xml:space="preserve">Aprobado  </t>
  </si>
  <si>
    <t xml:space="preserve"> Modificado </t>
  </si>
  <si>
    <t xml:space="preserve"> Devengado </t>
  </si>
  <si>
    <t xml:space="preserve">Egresos     </t>
  </si>
  <si>
    <t xml:space="preserve"> Aprobado </t>
  </si>
  <si>
    <t xml:space="preserve"> Pagado</t>
  </si>
  <si>
    <t xml:space="preserve"> 6 =( 3 - 4 )</t>
  </si>
  <si>
    <t xml:space="preserve">Clasificación Administrativa </t>
  </si>
  <si>
    <t xml:space="preserve"> Aprobado  </t>
  </si>
  <si>
    <t>6 = ( 3 - 4 )</t>
  </si>
  <si>
    <t>3= (1+2)</t>
  </si>
  <si>
    <t xml:space="preserve">Egresos </t>
  </si>
  <si>
    <t xml:space="preserve">Ampliaciones y Reducciones           </t>
  </si>
  <si>
    <t xml:space="preserve">Ampliaciones y Reducciones     </t>
  </si>
  <si>
    <t xml:space="preserve">                                               </t>
  </si>
  <si>
    <t xml:space="preserve">                              (Cifras en Pesos)                                  </t>
  </si>
  <si>
    <t>II. Egresos Presupuestarios</t>
  </si>
  <si>
    <t xml:space="preserve">                                        (Cifras en Pesos)</t>
  </si>
  <si>
    <t xml:space="preserve">                              (Cifras en pesos)</t>
  </si>
  <si>
    <t>Listado de Formatos CPCA "Cuenta Pública Contabilidad Armonizada"</t>
  </si>
  <si>
    <t>CPCA-I-01</t>
  </si>
  <si>
    <t>CPCA-I-02</t>
  </si>
  <si>
    <t>CPCA-I-03</t>
  </si>
  <si>
    <t>CPCA-I-04</t>
  </si>
  <si>
    <t>CPCA-I-05</t>
  </si>
  <si>
    <t>CPCA-I-06</t>
  </si>
  <si>
    <t>CPCA-I-07</t>
  </si>
  <si>
    <t>CPCA-I-08</t>
  </si>
  <si>
    <t>CPCA-I-09</t>
  </si>
  <si>
    <t>CPCA-I-10</t>
  </si>
  <si>
    <t>CPCA-I-11</t>
  </si>
  <si>
    <t>CPCA-I-12</t>
  </si>
  <si>
    <t>CPCA-II-01</t>
  </si>
  <si>
    <t>CPCA-II-02</t>
  </si>
  <si>
    <t>CPCA-II-03</t>
  </si>
  <si>
    <t>CPCA-II-04</t>
  </si>
  <si>
    <t>CPCA-II-05</t>
  </si>
  <si>
    <t>CPCA-II-06</t>
  </si>
  <si>
    <t>CPCA-II-07</t>
  </si>
  <si>
    <t>CPCA-II-08</t>
  </si>
  <si>
    <t>CPCA-II-09</t>
  </si>
  <si>
    <t>CPCA-II-10</t>
  </si>
  <si>
    <t>CPCA-II-11</t>
  </si>
  <si>
    <t>CPCA-II-12</t>
  </si>
  <si>
    <t>CPCA-II-13</t>
  </si>
  <si>
    <t>CPCA-II-14</t>
  </si>
  <si>
    <t>CPCA-II-15</t>
  </si>
  <si>
    <t>CPCA-II-16</t>
  </si>
  <si>
    <t>CPCA-II-17</t>
  </si>
  <si>
    <t>CPCA-III-01</t>
  </si>
  <si>
    <t>CPCA-III-02</t>
  </si>
  <si>
    <t>CPCA-III-03</t>
  </si>
  <si>
    <t>CPCA-III-04</t>
  </si>
  <si>
    <t>CPCA-III-05</t>
  </si>
  <si>
    <t>CPCA-IV-01</t>
  </si>
  <si>
    <t>CPCA-IV-02</t>
  </si>
  <si>
    <t>CPCA-IV-03</t>
  </si>
  <si>
    <t>CPCA-IV-04</t>
  </si>
  <si>
    <t>CPCA-IV-06</t>
  </si>
  <si>
    <t>Anexo Guía</t>
  </si>
  <si>
    <t>Guía de Cumplimiento de la Ley de Disciplina Financiera de las Entidades Federativas y Municipios</t>
  </si>
  <si>
    <t xml:space="preserve">Moneda de Contratación </t>
  </si>
  <si>
    <t>Institución o País Acreedor</t>
  </si>
  <si>
    <t>Saldo Inicial del Periodo</t>
  </si>
  <si>
    <t>Saldo Final del Periodo</t>
  </si>
  <si>
    <t>Subtotal  de Deuda Pública a Corto Plazo</t>
  </si>
  <si>
    <t xml:space="preserve">Ingresos excedentes </t>
  </si>
  <si>
    <t xml:space="preserve"> Relación de esquemas bursátiles y de coberturas financieras</t>
  </si>
  <si>
    <t xml:space="preserve">          (pesos)</t>
  </si>
  <si>
    <t>Identificacion del  Instrumento</t>
  </si>
  <si>
    <t>Colocación</t>
  </si>
  <si>
    <t>Interés Ganados</t>
  </si>
  <si>
    <t>Valor Actual</t>
  </si>
  <si>
    <t>C=A+B</t>
  </si>
  <si>
    <t xml:space="preserve">Total </t>
  </si>
  <si>
    <t>Otros Instrumentos de Bursatilización</t>
  </si>
  <si>
    <t xml:space="preserve">Total Otros Instrumentos </t>
  </si>
  <si>
    <t>NOTA: se deberán incluir METALES PRECIOSOS en su caso.</t>
  </si>
  <si>
    <t>CPCA-IV-05</t>
  </si>
  <si>
    <t>Relación de esquemas bursátiles y de coberturas financieras</t>
  </si>
  <si>
    <t>ANEXO 3</t>
  </si>
  <si>
    <t>“GUÍA DE CUMPLIMIENTO DE LA LEY DE DISCIPLINA FINANCIERA DE LAS ENTIDADES FEDERATIVAS Y LOS MUNICIPIOS”</t>
  </si>
  <si>
    <t>Indicadores de Observancia (c)</t>
  </si>
  <si>
    <t>Implementación</t>
  </si>
  <si>
    <t>Resultado</t>
  </si>
  <si>
    <t>Fundamento (h)</t>
  </si>
  <si>
    <t>Comentarios (i)</t>
  </si>
  <si>
    <t>SI</t>
  </si>
  <si>
    <t>NO</t>
  </si>
  <si>
    <t>Mecanismo de Verificación (d)</t>
  </si>
  <si>
    <t xml:space="preserve">Fecha estimada de cumplimiento (e) </t>
  </si>
  <si>
    <t>Monto o valor (f)</t>
  </si>
  <si>
    <t>Unidad (pesos/porcentaje) (g)</t>
  </si>
  <si>
    <t>INDICADORES PRESUPUESTARIOS</t>
  </si>
  <si>
    <t>A. INDICADORES CUANTITATIVOS</t>
  </si>
  <si>
    <t>Balance Presupuestario Sostenible (j)</t>
  </si>
  <si>
    <t>a.</t>
  </si>
  <si>
    <t>Propuesto</t>
  </si>
  <si>
    <t>Iniciativa de Ley de Ingresos y Proyecto de Presupuesto de Egresos</t>
  </si>
  <si>
    <t>pesos</t>
  </si>
  <si>
    <t>Art. 6 y 19 de la LDF</t>
  </si>
  <si>
    <t>b.</t>
  </si>
  <si>
    <t>Estimada/Aprobado</t>
  </si>
  <si>
    <t>Ley de Ingresos y Presupuesto de Egresos</t>
  </si>
  <si>
    <t>c.</t>
  </si>
  <si>
    <t>Cuenta Pública / Formato 4 LDF</t>
  </si>
  <si>
    <t>Balance Presupuestario de Recursos Disponibles Sostenible (k)</t>
  </si>
  <si>
    <t>Financiamiento Neto dentro del Techo de Financiamiento Neto (l)</t>
  </si>
  <si>
    <t xml:space="preserve">Iniciativa de Ley de Ingresos </t>
  </si>
  <si>
    <t>Art. 6, 19 y 46 de la LDF</t>
  </si>
  <si>
    <t>Estimada</t>
  </si>
  <si>
    <t xml:space="preserve">Ley de Ingresos </t>
  </si>
  <si>
    <t>Recursos destinados a la atención de desastres naturales</t>
  </si>
  <si>
    <t>Asignación al fideicomiso para desastres naturales (m)</t>
  </si>
  <si>
    <t>a.1 Aprobado</t>
  </si>
  <si>
    <t>Reporte Trim. Formato 6 a)</t>
  </si>
  <si>
    <t>Art. 9 de la LDF</t>
  </si>
  <si>
    <t>a.2 Pagado</t>
  </si>
  <si>
    <t>Cuenta Pública / Formato 6 a)</t>
  </si>
  <si>
    <t>Aportación promedio realizada por la Entidad Federativa durante los 5 ejercicios previos, para infraestructura dañada por desastres naturales (n)</t>
  </si>
  <si>
    <t>Autorizaciones de recursos aprobados por el FONDEN</t>
  </si>
  <si>
    <t>Saldo del fideicomiso para desastres naturales (o)</t>
  </si>
  <si>
    <t>Cuenta Pública / Auxiliar de Cuentas</t>
  </si>
  <si>
    <t>d.</t>
  </si>
  <si>
    <t>Costo promedio de los últimos 5 ejercicios de la reconstrucción de infraestructura dañada por desastres naturales (p)</t>
  </si>
  <si>
    <t>Techo para servicios personales (q)</t>
  </si>
  <si>
    <t xml:space="preserve">a. </t>
  </si>
  <si>
    <t>Asignación en el Presupuesto de Egresos</t>
  </si>
  <si>
    <t>Reporte Trim. Formato 6 d)</t>
  </si>
  <si>
    <t>Art. 10 y 21 de la LDF</t>
  </si>
  <si>
    <t xml:space="preserve">b. </t>
  </si>
  <si>
    <t>Art. 13 fracc. V y 21 de la LDF</t>
  </si>
  <si>
    <t xml:space="preserve">Previsiones de gasto para compromisos de pago derivados de APPs (r) </t>
  </si>
  <si>
    <t>Presupuesto de Egresos</t>
  </si>
  <si>
    <t>Art. 11 y 21 de la LDF</t>
  </si>
  <si>
    <t>Techo de ADEFAS para el ejercicio fiscal (s)</t>
  </si>
  <si>
    <t>Proyecto de Presupuesto de Egresos</t>
  </si>
  <si>
    <t>Art. 12 y 20 de la LDF</t>
  </si>
  <si>
    <t>B. INDICADORES CUALITATIVOS</t>
  </si>
  <si>
    <t>Objetivos anuales, estrategias y metas para el ejercicio fiscal (t)</t>
  </si>
  <si>
    <t>Art. 5 y 18 de la LDF</t>
  </si>
  <si>
    <t>Proyecciones de ejercicios posteriores (u)</t>
  </si>
  <si>
    <t>Iniciativa de Ley de Ingresos y Proyecto de Presupuesto de Egresos / Formatos 7 a) y b)</t>
  </si>
  <si>
    <t>Descripción de riesgos relevantes y propuestas de acción para enfrentarlos (v)</t>
  </si>
  <si>
    <t>Resultados de ejercicios fiscales anteriores y el ejercicio fiscal en cuestión (w)</t>
  </si>
  <si>
    <t>Iniciativa de Ley de Ingresos y Proyecto de Presupuesto de Egresos / Formatos 7 c) y d)</t>
  </si>
  <si>
    <t>e.</t>
  </si>
  <si>
    <t>Estudio actuarial de las pensiones de sus trabajadores (x)</t>
  </si>
  <si>
    <t>Proyecto de Presupuesto de Egresos / Formato 8</t>
  </si>
  <si>
    <t>Balance Presupuestario de Recursos Disponibles, en caso de ser negativo</t>
  </si>
  <si>
    <t>Razones excepcionales que justifican el Balance Presupuestario de Recursos Disponibles negativo (y)</t>
  </si>
  <si>
    <t>Iniciativa de Ley de Ingresos o Proyecto de Presupuesto de Egresos</t>
  </si>
  <si>
    <t>Fuente de recursos para cubrir el Balance Presupuestario de Recursos Disponibles negativo (z)</t>
  </si>
  <si>
    <t>Número de ejercicios fiscales y acciones necesarias para cubrir el Balance Presupuestario de Recursos Disponibles negativo (aa)</t>
  </si>
  <si>
    <t>Informes Trimestrales sobre el avance de las acciones para recuperar el Balance Presupuestario de Recursos Disponibles (bb)</t>
  </si>
  <si>
    <t>Reporte Trim. y Cuenta Pública</t>
  </si>
  <si>
    <t>Remuneraciones de los servidores públicos (cc)</t>
  </si>
  <si>
    <t>Proyecto de Presupuesto</t>
  </si>
  <si>
    <t>Previsiones salariales y económicas para cubrir incrementos salariales, creación de plazas y otros (dd)</t>
  </si>
  <si>
    <t>INDICADORES DEL EJERCICIO PRESUPUESTARIO</t>
  </si>
  <si>
    <t>Ingresos Excedentes derivados de Ingresos de Libre Disposición</t>
  </si>
  <si>
    <t>Monto de Ingresos Excedentes derivados de ILD (ee)</t>
  </si>
  <si>
    <t xml:space="preserve">Cuenta Pública / Formato 5 </t>
  </si>
  <si>
    <t>Art. 14 y 21 de la LDF</t>
  </si>
  <si>
    <t>Monto de Ingresos Excedentes derivados de ILD destinados al fin del A.14, fracción I de la LDF (ff)</t>
  </si>
  <si>
    <t>Cuenta Pública</t>
  </si>
  <si>
    <t>Monto de Ingresos Excedentes derivados de ILD destinados al fin del A.14, fracción II, a) de la LDF (gg)</t>
  </si>
  <si>
    <t>Monto de Ingresos Excedentes derivados de ILD destinados al fin del A.14, fracción II, b) de la LDF (hh)</t>
  </si>
  <si>
    <t>Monto de Ingresos Excedentes derivados de ILD destinados al fin del artículo noveno transitorio de la LDF (ii)</t>
  </si>
  <si>
    <t>Art. Noveno Transitorio de la LDF</t>
  </si>
  <si>
    <t xml:space="preserve">f. </t>
  </si>
  <si>
    <r>
      <t>Monto de Ingresos Excedentes derivados de ILD destinados al fin señalado por el Artículo 14, párrafo segundo y en el artículo 21 y Noveno Transitorio de la LDF</t>
    </r>
    <r>
      <rPr>
        <sz val="12"/>
        <color theme="1"/>
        <rFont val="Times New Roman"/>
        <family val="1"/>
      </rPr>
      <t xml:space="preserve"> </t>
    </r>
    <r>
      <rPr>
        <i/>
        <sz val="6"/>
        <color theme="1"/>
        <rFont val="Arial"/>
        <family val="2"/>
      </rPr>
      <t>(jj)</t>
    </r>
  </si>
  <si>
    <t>g.</t>
  </si>
  <si>
    <t>Monto de Ingresos Excedentes derivados de ILD en un nivel de endeudamiento sostenible de acuerdo al Sistema de Alertas hasta por el 5% de los recursos para cubrir el Gasto Corriente (kk)</t>
  </si>
  <si>
    <t>Análisis Costo-Beneficio para programas o proyectos de inversión mayores a 10 millones de UDIS (ll)</t>
  </si>
  <si>
    <t>Página de internet de la Secretaría de Finanzas o Tesorería Municipal</t>
  </si>
  <si>
    <t>Art. 13 frac. III y 21 de la LDF</t>
  </si>
  <si>
    <t>Análisis de conveniencia y análisis de transferencia de riesgos de los proyectos APPs (mm)</t>
  </si>
  <si>
    <t>Identificación de población objetivo, destino y temporalidad de subsidios (nn)</t>
  </si>
  <si>
    <t>Art. 13 frac. VII y 21 de la LDF</t>
  </si>
  <si>
    <t>INDICADORES DE DEUDA PÚBLICA</t>
  </si>
  <si>
    <t>Obligaciones a Corto Plazo</t>
  </si>
  <si>
    <t>Límite de Obligaciones a Corto Plazo (oo)</t>
  </si>
  <si>
    <t>Art. 30 frac. I de la LDF</t>
  </si>
  <si>
    <t>Obligaciones a Corto Plazo (pp)</t>
  </si>
  <si>
    <t>Guía reformada DOF 28-07-2021</t>
  </si>
  <si>
    <t>Al 31 de Diciembre del 2023</t>
  </si>
  <si>
    <t xml:space="preserve">Comision Estatal del Agua </t>
  </si>
  <si>
    <t>Al 31 de Diciembre de 2022 y al 31 de Diciembre de 2023 (b)</t>
  </si>
  <si>
    <t xml:space="preserve">Del  01 de Enero de 2023 al 31 de Diciembre de 2023 </t>
  </si>
  <si>
    <t>Pesos</t>
  </si>
  <si>
    <t>Banco Bajio</t>
  </si>
  <si>
    <t>Varios</t>
  </si>
  <si>
    <t>Monto pagado de la inversión al 31 de Diciembre de 2023 (k)</t>
  </si>
  <si>
    <t>Monto pagado de la inversión actualizado al 31 de Diciembre de 2023 (l)</t>
  </si>
  <si>
    <t>1.- Se tiene un pasivo contingente derivado de las obligaciones laborales y civiles a que se encuentra sujeta esta Comisión, de acuerdo con las disposiciones contenidas en la Ley Federal del Trabajo y la Ley 40 de Servicio Civil para el Estado de Sonora. A la fecha se tiene registrada una provision por un monto $ 184,857,597.69</t>
  </si>
  <si>
    <t xml:space="preserve">2.- Existe un pasivo contingente derivado de las pensiones y jubilaciones a que tiene derecho el personal de la Comisión, conforme a lo dispuesto en el artículo 116 de la Ley del Instituto de Seguridad  y Servicios Sociales de los Trabajadores del Estado de Sonora (ley del ISSSTESON). Respecto a este pasivo contingente no es posible determinar un importe por estos conceptos, debido a que la entidad solo entera las aportaciones de acuerdo a los porcentajes establecidos por la Ley correspondiente. </t>
  </si>
  <si>
    <t>3.-Se tiene un pasivo contingente derivado de los juicios de amparo promovidos por 4 asociaciones civiles de producción agrícola, que pertenecen al distrito de Riego 041 del Rio Yaqui, en contra del Fondo de Operación de Obras Sonora SI (FOOSSI) y la Comisión Estatal del Agua  (CEA), reclamando el proceso de licitación mediante el cual, se licito el proyecto y construcción del acueducto denominado “independencia” y en contra  de las asignaciones de agua que entregó la Comisión Nacional del Agua  a CEA. A la fecha  del presente informe, aun no se concluyen los juicios antes mencionados, por lo que el resultado final de los litigios actualmente no puede ser determinado; sin embargo, los abogados  a cargo de estos asuntos, consideran que el resultado final de los juicios será favorable para CEA Y FOOSSI. En lo que respecta a este juicio de amparo, no se puede cuantificar la contingencia debido a que no existe una reparacion economica dentro del juicio, ya que este tipo se refiere solo a un acto de autoridad.</t>
  </si>
  <si>
    <t>BANCO BAJIO</t>
  </si>
  <si>
    <t xml:space="preserve">C-0152/168 CEA-EDIHUSRO-22-59 C-00152/0168 PROYECTO EJECUTIVO PARA LA  MODERNIZACION DEL SISTEMA  DE TRATAMIENTO  "LA SALADA" ATRAVES DE UNA PLANTA DE TRATAMIENTO DE AGUAS   RESIDUALES "PTAR SUR" EN LOC. DE GUAYMAS,  MPIO. DE GUAYMAS,  SON.; AXIOMA </t>
  </si>
  <si>
    <t>ESTATAL</t>
  </si>
  <si>
    <t>C-0154/031 CEA-EDIHSRO-22-62 PROYECTO EJECUTIVO PARA LA MODERNIZACION Y CONDUCCION DE AGUA AGRICOLA, EN LA UNIDAD PUNTA DE AGUA, MPIO. GUAYMAS, SON. CONS Y C NORTE</t>
  </si>
  <si>
    <t xml:space="preserve">C-0154/032  CEA-EDIHSRO-22-60 PROYECTO EJECUTIVO PARA LA  PRESA DERIVADORA  EN LA UNIDAD DE RIEGO MOVAS, UBICADA EN EL MUNICIPIO DE ROSARIO DE TESOPACO,  SON. OF. SH-ED-22-154, LC PROYECTOS </t>
  </si>
  <si>
    <t xml:space="preserve">C-0154/030 CEA-EDIHSRO-22-61 PROYECTO EJECUTIVO PARA LA MODERNIZACION Y CONDUCCION DE AGUA AGRICOLA, EN LA UNIDAD DE RIEGO BANAMICHI, Y ESTUDIO DE EFICIENCIA ELECTROMECANICA DE LOS SEIS POZOS AGRICOLAS DE AUXILIO EXISTENTE, MPIO DE BANAMICHI, SON. OF. SH-ED-22-154   DEL 17/AGTO/22. JH ROMERO </t>
  </si>
  <si>
    <t>C-00134/0267 CEA-EDIHOB22-85EQUIPAMIENTO, ELECTRIFICACION, LINEA DE CONDUCCION E INTERCONEXION DE POZO DE AGUA POTABLE, EN LA LOCALIDAD DE VILLA PESQUEIRA,  MUNICIPIO DE VILLA PESQUEIRA, SON. S/OF. SH-ED-22-224 DEL 11/NOV/22. BOMBAS</t>
  </si>
  <si>
    <t>C134/278 CEA-IH-OB-23-42 DESASOLVE DEL CAUCE, LIMPIEZA Y DESAZOLVE DE UN TRAMO DEL CAUCE DEL RÍO MÁTAPE, AGUAS ABAJO DEL BORDO ORTIZ, CONSIDERANDO UN VOLUMEN DE OBRA APROXIMADO DE 45,000 M3 DE MOVIMIENTO DE TIERRAS. SUPROYCO ADENA, S.A. DE C.V.</t>
  </si>
  <si>
    <t xml:space="preserve">C-00134/0245 CEA-IHUOB22-025 REUBICACIÓN Y EQUIPAMIENTO DE POZO MIGUEL ALEMÁN 2, MPIO. HERMOSILLO, SON.    DR51 CONSTRUCCIONES </t>
  </si>
  <si>
    <t>NORMAL CONVENIDO</t>
  </si>
  <si>
    <t xml:space="preserve">C-00152/0165  CEA-IHUOB22-38 REHABILITACIÓN DE RED DE ALCANTARILLADO CON UN SUBCOLECTOR DE 10" Y UNA RED DE ATARJEA EN EL BULEVAR LAS VILLAS DEL BULEVAR BENITO JUÁREZ AL BULEVAR GARCÍA LÓPEZ.   S/OF. SH-ED-22-091 DEL 11/JUL/22.  JFK </t>
  </si>
  <si>
    <t xml:space="preserve">C-00134/0244 DESARR  CEA-PRODDERIHUOB22-24 REUBICACIÓN Y EQUIPAMIENTO DE POZO MIGUEL ALEMÁN, MPIO. HERMOSILLO, SON. EKUAR </t>
  </si>
  <si>
    <t>C134-242 SOYOPA CONST PLANTA FLOTANTE NOVILLO 2DA ETAPA, CEA-AIHSAEYEIHOB22-17, RT CONDUC</t>
  </si>
  <si>
    <t xml:space="preserve">C154/18 SUP  CONST PLANTA FLOTANTE NOVILLO 2DA ETAPA CEA-AIHSAEYE IHSRO22-20 C154/18, JH ROMERO </t>
  </si>
  <si>
    <t>C154/019 CEA-AIHSAEYE-IH-SRO-22-26 ESTUDIO DE FACTIBILIDAD, ANALISIS COSTO BENEFICIO  Y MANIFIESTO DE IMPACTO AMBIENTAL PARA LA AMPLIACION DE LA ZONA DE RIEGO  DEL DISTRITO DE RIEGO 018 DEL PUEBLO YAQUI; EN LOC. VARIAS, MPIO. VARIOS, SON. , INFRAESTRUCTURA HIDRAULICA</t>
  </si>
  <si>
    <t>C154/020 CEA-AIHSAEYE-IH-OB-22-34 PROYECTOS EJECUTIVOS AMPLIACION DE LA ZONA DE RIEGO  DEL DIST. RIEGO 018 DEL PUEBLO YAQUI Y LA CONSTRUCCION DEL CANAL PRINCIPAL DE LA AMPLIACION DE LA ZONA DE RIEGO  DEL DIST. RIEGO 018 DEL PUEBLO YAQUI;, INBAS</t>
  </si>
  <si>
    <t xml:space="preserve">C154/022 CEA-AIHSAEYE-IH-OB-22-35 CONSTRUCCION DE CANAL PRINCIPAL  FUERTE MAYO EN DR-076, TESIA </t>
  </si>
  <si>
    <t>C154/021 CEA-AIHSAEYE-IH-SR-022-49 SUPERVISION EXTERNA AMPLIACION DISTRITO DE RIEGO 018, DSREGESP</t>
  </si>
  <si>
    <t>C154/021 CEA-AIHSAEYE-IH-SRO-022-46 SUPERVISION EXTERNA CONSTRUCCION DECANAL PPAL FUERTE MAYO</t>
  </si>
  <si>
    <t>C154/034 F7887 P2 FED CEA-CONV-02-2022 LOC VARIAS ESTUDIO GEOHIDROLOGICO Y DELIMITACIÓN DEL ACUIFERO BACATETE, UNISON</t>
  </si>
  <si>
    <t xml:space="preserve">C-154/035  CEA-AIHSAEYEIHSRO22-82 SUPERVISIÓN EXTERNA PARA LA CONTINUACIÓN DE LA CONSTRUCCIÓN DEL CANAL PRINCIPAL DE LA AMPLIACIÓN DEL DISTRITO DE RIEGO 018 DEL PUEBLO YAQUI, EN EL ESTADO DE SON.  S/OF. SH-NC-22-058  18/OCT/22; , DEL PROGRAMA DE “PAIH” 2022. GUSTAVO OBREGON   </t>
  </si>
  <si>
    <t xml:space="preserve">C-154/033  CEA-AIHSAEYEIHOB22-79  CONTINUACIÓN DE LA CONSTRUCCIÓN DEL CANAL PRINCIPAL DEL PUEBLO YAQUI DEL KM 8+000 AL KM 25, EN EL ESTADO DE SON.  S/OF. SH-NC-22-058  18/OCT/22; , DEL PROGRAMA DE “PAIH” 2022.   GRUPO MESIS </t>
  </si>
  <si>
    <t>C-154/033  CEA-AIHSAEYEIHOB22-80   CONTINUACIÓN DE LA CONSTRUCCIÓN DEL CANAL PRINCIPAL DEL PUEBLO YAQUI DEL KM 8+000 AL KM 25, EN EL ESTADO DE SON.  S/OF. SH-NC-22-058  18/OCT/22; , DEL PROGRAMA DE “PAIH” 2022.   CONT CONST</t>
  </si>
  <si>
    <t xml:space="preserve">C-154/033  CEA-AIHSAEYEIHOB22-81   CONTINUACIÓN DE LA CONSTRUCCIÓN DEL CANAL PRINCIPAL DEL PUEBLO YAQUI DEL KM 8+000 AL KM 25, EN EL ESTADO DE SON.  S/OF. SH-NC-22-058  18/OCT/22; , DEL PROGRAMA DE “PAIH” 2022.   PROM EST PAC </t>
  </si>
  <si>
    <t xml:space="preserve"> C154/39 (TRAMO 7) AIHSAEYEIHOB23-07 C-0154/039 (7 Y 8) AMPLIACON  DE LA CONSTRUCCION DEL CANAL PRINCIPAL DEL D.R-018 PUEBLO YAQUI DEL KM 27+496 AL 38+700 Y ESTRUCTURAS; EN LOC. VARIAS, MPIO. VARIOS, SON. S/OF. SH-NC-23-209 DEL 09/MAY/23, DEL PROGRAMA DE “PAIH” 2023, LC PROY</t>
  </si>
  <si>
    <t>C154/39 (TRAMO 8) AIHSAEYEIHOB23-08, C-0154/039 (7 Y 8) AMPLIACON  DE LA CONSTRUCCION DEL CANAL PRINCIPAL DEL D.R-018 PUEBLO YAQUI DEL KM 27+496 AL 38+700 Y ESTRUCTURAS; EN LOC. VARIAS, MPIO. VARIOS, SON. S/OF. SH-NC-23-209 DEL 09/MAY/23, DEL PROGRAMA DE “PAIH” 2023, SIT COM</t>
  </si>
  <si>
    <t>C154/38 (TRAMO 6) AIHSAEYEIHOB23-04, C-0154/038 AMPLIACON  DE LA CONSTRUCCION DEL CANAL PRINCIPAL DEL D.R-018 PUEBLO YAQUI DEL KM 22+920 AL 27+180 Y ESTRUCTURAS DE SIFON DE CRUCE CON EL CPCY EN EL KM 41+52015/05/2023; EN LOC. VARIAS, MPIO. VARIOS, SON. S/OF. SH-NC-23-209 DEL 09/MAY/23, DEL PROGRAMA DE “PAIH” 2023, BABASAC</t>
  </si>
  <si>
    <t xml:space="preserve">C154/42 IHOB23-06 CONST SIFON, C-0154/042 CONSTRUCCION DE SIFON DEL CRUCE DE RIO YAQUI  EN EL KM 27+180 DEL CANAL DE AMPLIACION Y ESTRUCTURAS; EN LOC. VARIAS, MPIO. VARIOS, SON. S/OF. SH-NC-23-209 DEL 09/MAY/23, DEL PROGRAMA DE “PAIH” 2023, DIS Y CONST COBRE.  </t>
  </si>
  <si>
    <t xml:space="preserve">C154/43 IHSRO23-11 SUP AMP CANAL, SUPERVISION Y CONTROL DE CALIDAD DE LA CONSTRUCCION DEL CANAL PRINCIPAL DEL DISTRITO DE RIEGO 018 PUEBLO YAQUI; EN LOC. VARIAS, MPIO. VARIOS, SON. S/OF. SH-NC-23-209 DEL 09/MAY/23, DEL PROGRAMA DE “PAIH” 2023 , DAESA INGENIERIA  </t>
  </si>
  <si>
    <t xml:space="preserve">C154/43 IHSRO23-10 SUP CONS SIFON, C-0154/043 SUPERVISION Y CONTROL DE CALIDAD DE LA CONSTRUCCION DEL CANAL PRINCIPAL DEL DISTRITO DE RIEGO 018 PUEBLO YAQUI; EN LOC. VARIAS, MPIO. VARIOS, SON. S/OF. SH-NC-23-209 DEL 09/MAY/23, DEL PROGRAMA DE “PAIH” 2023, DAESA INGENIERIA </t>
  </si>
  <si>
    <t>C154/44 CEA-IHOB23-19 REH CN PPAL YAQUIS, C-0154/044 REHABILITACION DEL CANAL PRINCIPAL COLONIAS YAQUIS (BORDOS, CAMINOS DE OPERACION, SOBRE ELEVACION, REPOSICION DE LOSAS Y 08 ESTRUCTURAS EN TRAMOS DIVERSOS), DEL DISTRITO DE RIEGO No. 018, PUEBLOS YAQUIS, MPIO. GUAYMAS, SON.  S/OF. SH-NC-23-210  15/MAY/22; , DEL PROGRAMA DE “PAIH” 2023, DR51 CONST</t>
  </si>
  <si>
    <t xml:space="preserve">C154/40 IHON23-13 CN PPAL PBO Y, C-0154/040 AMPLIACON  DE LA CONSTRUCCION DEL CANAL PRINCIPAL DEL D.R-018 PUEBLO YAQUI DEL KM 38+700 AL 55+931 Y ESTRUCTURAS; EN LOC. VARIAS, MPIO. VARIOS, SON. S/OF. SH-NC-23-209 DEL 09/MAY/23, DEL PROGRAMA DE “PAIH” 2023. PROY Y CONST VIRGO </t>
  </si>
  <si>
    <t xml:space="preserve">C154/40 CEA-IHOB23-15 CONST CN PPALAMP DR P YQ, C-0154/040 AMPLIACON  DE LA CONSTRUCCION DEL CANAL PRINCIPAL DEL D.R-018 PUEBLO YAQUI DEL KM 38+700 AL 55+931 Y ESTRUCTURAS; EN LOC. VARIAS, MPIO. VARIOS, SON. S/OF. SH-NC-23-209 DEL 09/MAY/23, DEL PROGRAMA DE “PAIH” 2023. TALWIWI </t>
  </si>
  <si>
    <t xml:space="preserve">C154/44 IHOB23-20 REHAB CN PPAL YQ, C-0154/044 REHABILITACION DEL CANAL PRINCIPAL COLONIAS YAQUIS (BORDOS, CAMINOS DE OPERACION, SOBRE ELEVACION, REPOSICION DE LOSAS Y 08 ESTRUCTURAS EN TRAMOS DIVERSOS), DEL DISTRITO DE RIEGO No. 018, PUEBLOS YAQUIS, MPIO. GUAYMAS, SON.  S/OF. SH-NC-23-210  15/MAY/22; , DEL PROGRAMA DE “PAIH” 2023, DR51 CONST </t>
  </si>
  <si>
    <t xml:space="preserve">C154/47 IHOB23-27 DRENAJE PARCELARIO, C-0154/047 RECUPERACION SUPERFICIE DE 804.90 HAS. IDENTIFICADAS COMO SALINAS MEDIANTE LA INSTALACION  DE DRENAJE PARCELARIO SUBTERRANEO, DEL DISTRITO DE RIEGO No. 018, PUEBLOS YAQUIS, MPIO. GUAYMAS, SON.  S/OF. SH-NC-23-210  15/MAY/22; , DEL PROGRAMA DE “PAIH” 2023, IRRIDREN    </t>
  </si>
  <si>
    <t xml:space="preserve">C154/47 IHOB23-26 DRENAJE PARCELARIO, C-0154/047 RECUPERACION SUPERFICIE DE 804.90 HAS. IDENTIFICADAS COMO SALINAS MEDIANTE LA INSTALACION  DE DRENAJE PARCELARIO SUBTERRANEO, DEL DISTRITO DE RIEGO No. 018, PUEBLOS YAQUIS, MPIO. GUAYMAS, SON.  S/OF. SH-NC-23-210  15/MAY/22; , DEL PROGRAMA DE “PAIH” 2023, AGRI DRAIN    </t>
  </si>
  <si>
    <t xml:space="preserve">C154/43 CEA-IHSRO23-09 SUP CONST CN PPAL YQ, C-0154/043 SUPERVISION Y CONTROL DE CALIDAD DE LA CONSTRUCCION DEL CANAL PRINCIPAL DEL DISTRITO DE RIEGO 018 PUEBLO YAQUI; EN LOC. VARIAS, MPIO. VARIOS, SON. S/OF. SH-NC-23-209 DEL 09/MAY/23, DEL PROGRAMA DE “PAIH” 2023, ARGNAS </t>
  </si>
  <si>
    <t xml:space="preserve">ALEJANDRO ALC IHSRO23-30 C154/49 SUP EXT REH DR18, C-0154/049 SERVICIO DE SUPERVISION  (DE LAS ACCIONES POR EJECUTAR PARA LA REHABILITACION DE LAS CONDICIONES HIDROAGRICOLAS DE LA ZONA DE RIEGO DEL D.R-018 DEL PUEBLO YAQUI).  S/OF. SH-NC-23-210  15/MAY/22; , DEL PROGRAMA DE “PAIH” 2023   </t>
  </si>
  <si>
    <t xml:space="preserve">DEPROYCO IHOB23-14 C154/37 CONST CN AM DR PY, C-0154/037   AMPLIACON  DE LA CONSTRUCCION DEL CANAL PRINCIPAL DEL DISTRITO DE RIEGO 018 PUEBLO YAQUI DEL KM 18+570 AL 22+920 Y ESTRUCTURAS; EN LOC. VARIAS, MPIO. VARIOS, SON. S/OF. SH-NC-23-209 DEL 09/MAY/23, DEL PROGRAMA DE “PAIH” 2023 </t>
  </si>
  <si>
    <t xml:space="preserve">ROBLE LEASING IHOB23-17 C154/44 REHA CN PPAL YQ, C-0154/044 REHABILITACION DEL CANAL PRINCIPAL COLONIAS YAQUIS (BORDOS, CAMINOS DE OPERACION, SOBRE ELEVACION, REPOSICION DE LOSAS Y 08 ESTRUCTURAS EN TRAMOS DIVERSOS), DEL DISTRITO DE RIEGO No. 018, PUEBLOS YAQUIS, MPIO. GUAYMAS, SON.  S/OF. SH-NC-23-210  15/MAY/22; , DEL PROGRAMA DE “PAIH” 2023   </t>
  </si>
  <si>
    <t xml:space="preserve">JUAN MENDOZA IHOB23-28 C154/46 CONS RED CANALES; C-0154/046 CONSERVACION NORMAL DE LA RED DE CANALES, DRENES Y CAMINOS, DEL DISTRITO DE RIEGO No. 018, PUEBLOS YAQUIS, MPIO. GUAYMAS, SON.  S/OF. SH-NC-23-210  15/MAY/22; , DEL PROGRAMA DE “PAIH” 2023   </t>
  </si>
  <si>
    <t xml:space="preserve">DIS CONST COBRE IHOB23-05 C154/41CONST SIFON, C-0154/041 CONSTRUCCION DE SIFON DEL CRUCE  VIAS  DE COMUNICACION EN EL KM 18+570 DEL CANAL DE AMPLIACION Y ESTRUCTURAS; EN LOC. VARIAS, MPIO. VARIOS, SON. S/OF. SH-NC-23-011 DEL 09/MAY/23, DEL PROGRAMA DE “PAIH” 2023   </t>
  </si>
  <si>
    <t xml:space="preserve">SOL ING Y CONST IGHA IHSRO23-12 C154/43 SUP CN PPA; C-0154/043 SUPERVISION Y CONTROL DE CALIDAD DE LA CONSTRUCCION DEL CANAL PRINCIPAL DEL DISTRITO DE RIEGO 018 PUEBLO YAQUI; EN LOC. VARIAS, MPIO. VARIOS, SON. S/OF. SH-NC-23-209 DEL 09/MAY/23, DEL PROGRAMA DE “PAIH” 2023   </t>
  </si>
  <si>
    <t xml:space="preserve">TESIA IHOB23-16 C154/44 REH CN PPAL YQ, C-0154/044 REHABILITACION DEL CANAL PRINCIPAL COLONIAS YAQUIS (BORDOS, CAMINOS DE OPERACION, SOBRE ELEVACION, REPOSICION DE LOSAS Y 08 ESTRUCTURAS EN TRAMOS DIVERSOS), DEL DISTRITO DE RIEGO No. 018, PUEBLOS YAQUIS, MPIO. GUAYMAS, SON.  S/OF. SH-NC-23-210  15/MAY/22; , DEL PROGRAMA DE “PAIH” 2023   </t>
  </si>
  <si>
    <t xml:space="preserve">CW METAL IHOB23-50 C154/44 REHAB CNL PPAL COL YQ, C-0154/044 REHABILITACION DEL CANAL PRINCIPAL COLONIAS YAQUIS (BORDOS, CAMINOS DE OPERACION, SOBRE ELEVACION, REPOSICION DE LOSAS Y 08 ESTRUCTURAS EN TRAMOS DIVERSOS), DEL DISTRITO DE RIEGO No. 018, PUEBLOS YAQUIS, MPIO. GUAYMAS, SON.  S/OF. SH-NC-23-210  15/MAY/22; , DEL PROGRAMA DE “PAIH” 2023   </t>
  </si>
  <si>
    <t xml:space="preserve">VYYDAAYAC IHOB23-49 C154/45 REHAB EFIDICIO; C-0154/045 REHABILITACION DE EDIFICIO CON OFICINAS PARA LA ADMINISTRACION  Y OPERACION DE LA INFRAESTRUCTURA HIDROAGRICOLA, DEL DISTRITO DE RIEGO No. 018, PUEBLOS YAQUIS, MPIO. GUAYMAS, SON.  S/OF. SH-NC-23-210  15/MAY/22; , DEL PROGRAMA DE “PAIH” 2023   </t>
  </si>
  <si>
    <t xml:space="preserve">ARQ Y DIS IHOB23-44 C154/37 CONST CNL PPAL AM DR; C-0154/037   AMPLIACON  DE LA CONSTRUCCION DEL CANAL PRINCIPAL DEL DISTRITO DE RIEGO 018 PUEBLO YAQUI DEL KM 18+570 AL 22+920 Y ESTRUCTURAS; EN LOC. VARIAS, MPIO. VARIOS, SON. S/OF. SH-NC-23-209 DEL 09/MAY/23, DEL PROGRAMA DE “PAIH” 2023 </t>
  </si>
  <si>
    <t xml:space="preserve">AGRI DRAIN AIHSAEYEIHOB23-47 C154/48 9 MEDIDORES, C-0154/048 ADQUISICION E INSTALACION DE NUEVE MEDIDORES, DEL DISTRITO DE RIEGO No. 018, PUEBLOS YAQUIS, MPIO. GUAYMAS, SON.  S/OF. SH-NC-23-210  15/MAY/22; , DEL PROGRAMA DE “PAIH” 2023   </t>
  </si>
  <si>
    <t xml:space="preserve">ALEJANDRO ALC IHSRO23-55 C154/49 SUP EXT CONS C-0154/049 SERVICIO DE SUPERVISION  (DE LAS ACCIONES POR EJECUTAR PARA LA REHABILITACION DE LAS CONDICIONES HIDROAGRICOLAS DE LA ZONA DE RIEGO DEL D.R-018 DEL PUEBLO YAQUI).  S/OF. SH-NC-23-210  15/MAY/22; , DEL PROGRAMA DE “PAIH” 2023   </t>
  </si>
  <si>
    <t xml:space="preserve">CLAMI IHSRO23-54 C154/49 SUP EXT REHAB C PPAL, C-0154/049 SERVICIO DE SUPERVISION  (DE LAS ACCIONES POR EJECUTAR PARA LA REHABILITACION DE LAS CONDICIONES HIDROAGRICOLAS DE LA ZONA DE RIEGO DEL D.R-018 DEL PUEBLO YAQUI).  S/OF. SH-NC-23-210  15/MAY/22; , DEL PROGRAMA DE “PAIH” 2023   </t>
  </si>
  <si>
    <t xml:space="preserve">MO OBRAS IHSRO23-45 C154/49 SUP EXT REHAB C PPAL, C-0154/049 SERVICIO DE SUPERVISION  (DE LAS ACCIONES POR EJECUTAR PARA LA REHABILITACION DE LAS CONDICIONES HIDROAGRICOLAS DE LA ZONA DE RIEGO DEL D.R-018 DEL PUEBLO YAQUI).  S/OF. SH-NC-23-210  15/MAY/22; , DEL PROGRAMA DE “PAIH” 2023   </t>
  </si>
  <si>
    <t xml:space="preserve">SUP Y CONT LEYZA IHSRO23-56 C154/49 SUP EXT, C-0154/049 SERVICIO DE SUPERVISION  (DE LAS ACCIONES POR EJECUTAR PARA LA REHABILITACION DE LAS CONDICIONES HIDROAGRICOLAS DE LA ZONA DE RIEGO DEL D.R-018 DEL PUEBLO YAQUI).  S/OF. SH-NC-23-210  15/MAY/22; , DEL PROGRAMA DE “PAIH” 2023   </t>
  </si>
  <si>
    <t xml:space="preserve">JH ROMERO IHSRO23-53 C154/49 SUP EXT REH PY, C-0154/049 SERVICIO DE SUPERVISION  (DE LAS ACCIONES POR EJECUTAR PARA LA REHABILITACION DE LAS CONDICIONES HIDROAGRICOLAS DE LA ZONA DE RIEGO DEL D.R-018 DEL PUEBLO YAQUI).  S/OF. SH-NC-23-210  15/MAY/22; , DEL PROGRAMA DE “PAIH” 2023   </t>
  </si>
  <si>
    <t>C135/313 CEA-PROAGUA-IHU-OB-22-11  REPOSICIÓN DE 3,705 ML  DE 8" DE DIÁMETRO DE RED DE DRENAJE SANITARIO Y 460 DESCARGAS DOMICILIARIAS EN COL. VILLAS DE MIRAMAR, LOC. DE H. GUAYMAS, MPIO. DE GUAYMAS, SON., CONSTRUDISEÑOS DE SONORA.</t>
  </si>
  <si>
    <t>C135/303 CEA-PROAGUA-IHU-OB-22-16 CONSTRUCCIÓN DE PLANTA DE TRATAMIENTOS DE AGUAS RESIDUALES, SISTEMA DE LAGUNA DE ESTABILIZACIÓN DE 2.96 L/S  EN LA LOC. DE VÍCAM PUEBLO, GUAYMAS, SON., EDIF BOZA</t>
  </si>
  <si>
    <t xml:space="preserve">C135/306 CEA-PROAGUA-IHU-OB-22-16 CONSTRUCCIÓN DE PLANTA DE TRATAMIENTOS DE AGUAS RESIDUALES, SISTEMA DE LAGUNA DE ESTABILIZACIÓN DE 1.61 L/S  EN LA LOC. DE TETABIATE, SAN IGNACIO RÍO MUERTO, SON.. EDIF BOZA </t>
  </si>
  <si>
    <t xml:space="preserve">C135/323 CEA-PROAGUAIHUOB22-43 EN LOC. PUNTA CHECA PERFORACION Y EQ. DE POZO COSTERO, EKUAR  </t>
  </si>
  <si>
    <t xml:space="preserve">C135/322 PROAGUAIHUOB22-44 CONSTRUCCION DE PLANTA DE TRAT. DE AGUAS RESIDUALES EN LA LOCALIDAD DE BAHÍA DE LOBOS, SAN IGNACIO RÍO MUERTO, SONORA, WACOVE </t>
  </si>
  <si>
    <t xml:space="preserve">C135/305 CEA-PROAGUAIHUOB22-74  CHUMAMPACO CONSTRUCCION DE PLANTA DE TRAT AGS RESIDUALES20/01/2023,  ARQ Y DISEÑO COMP </t>
  </si>
  <si>
    <t xml:space="preserve">C135/319 CEA-PROAGUAIHUOB22-74 COMPUERTAS CONSTRUCCION DE PLANTA DE TRAT AGS RESIDUALES, ARQ Y DISEÑO COMP </t>
  </si>
  <si>
    <t>C135/324 CEA-PROAGUAIHUOB22-74 TORIM CONSTRUCCION DE PLANTA DE TRAT AGS RESIDUALES</t>
  </si>
  <si>
    <t>C135/337 CEA-PROAGUAIHUSRO22-72 ELABORACION DE DIAGNOSTICO PARA LA PLANTACION DE LOS SIST. DE POTAB. GPO ING IND PAC</t>
  </si>
  <si>
    <t>C135/338  CEA-PROAGUAIHUSRO22-78 NAVOJOA DIAGNOSTICO Y PROYECTO EJE PARA MEJORA SERVICIO DE AGUA POTBLE,  EN LA  ETNIA MAYO, HEGON</t>
  </si>
  <si>
    <t>C152/172 CEA-PRODDERIHUOB22-51  BAHIA DE  KINO CONSTRUCCION DE  MAMPARAS, SALHEC</t>
  </si>
  <si>
    <t>C134/253 CEAP-RODDER-IHUSRO22-53 NACOZARI ESTUDIO DE OPERACION DE LA INFRAESTRUCTURA Y SECTORIZACION DE ORGANISMO OERADORDE NACOZARI, ALEJANDRO ALCARAZ</t>
  </si>
  <si>
    <t>C134/246 PRODDERDFIOB22-47 EMPALME SUMINISTRO E INSTALACION DE MICROMEDIDORES, VISA</t>
  </si>
  <si>
    <t>C134/247 CEA-PRODDERDFIOB22-47 GUAYMAS SUMINISTRO E INST DE MICROPROCESADORES EN LA LOCALIDAD DE GUAYMAS, VISA</t>
  </si>
  <si>
    <t>C134/250 CEA-PRODDERIHUOB22-48 REHAB DE RED DE AGUA POTABLE DESEMBOQUE DE LOS SERIS, CETYA</t>
  </si>
  <si>
    <t>C134/251 CEA-PRODDERIHUOB22-54 HILLO INSTALACION DE SISTEMAS DE PANELES SOLARES (500 MODULOS SOLARES), TIVATEC</t>
  </si>
  <si>
    <t>C135/255 CEA-PRODDERIHUOB22-67 C135/255 SAN JAVIER CONSTRUCCION LINEA DE CONDUCCION , SANTA ROSA</t>
  </si>
  <si>
    <t xml:space="preserve">C134/254 CEA-PRODDERIHUOB22-64 ARIZPE SUMINISTRO E INSTALACION DE PANELES SOLARES, PARA FUENTES DE ABA,  BOMBAS Y ELE </t>
  </si>
  <si>
    <t>CEA-PRODDERDFIADQ22-56 R/88 ADQ. DE SOFTWARE Y EQUIPO SISTEMA COMERCIAL ORG OPERADORES, AGUAS SOL</t>
  </si>
  <si>
    <t>CONS OB ES C134/248 PRODDERIHUADQ22-76</t>
  </si>
  <si>
    <t>C134/252  CEA-PRODDERIHUOB22-63 GYMS SUM E INTALACION DE TELEMETRIA PARA EL CONTROL SUPERVISORIO DE, CONS ING SOL</t>
  </si>
  <si>
    <t xml:space="preserve">C152/186 CEA-PRODDERIHUSRO22-75 C152/186 GYMS DIAGNOSTICO INT. DE PLANEACION PARA SOST ALCANTARILLADO, DANIEL ACEVEDO </t>
  </si>
  <si>
    <t>C152/191 CEA-PRODDERIHUOB23-02 SAN CARLOS  REHABILITACION PLANTA DE TRATAMIENTO DE AGUAS RESIDUALES  EN LOCALIDAD DE (SAN CARLOS NUEVO GUAYMAS), MUNICIPIO DE GUAYMAS,SON. S/OFICIOS  SH-ED-23-034 DEL 13/MZO/23,, CASME</t>
  </si>
  <si>
    <t>GIBHER IHUOB23-32 C152/197 REHAB COLECTOR, C-00152/0197 MIN.MAY/23, REHABILITACION DE 223 MTS. LINEALES DE COLECTOR SANITARIO EN RAMON CORONA Y MATAMOROS EN LA COL. CONSTITUCION,   EN LA LOC. Y MPIO. DE NAVOJOA, SON.</t>
  </si>
  <si>
    <t>HEAVY WORKS IHUOB23-46 C152/214 REA RED INF HID DR;  C-00152/0214 REHABILITACION DE RED DE INFRAESTRUCTURA HIDRÁULICA Y DRENAJE SANITARIO, EN LOC. H.GUAYMAS EN EL MPIO. DE GUAYMAS, SON.  SEGÚN OFICIOS  SH-ED-23-115 DEL 30/MAY/23</t>
  </si>
  <si>
    <t>EBSA IHUOB23-57 C134/293 CONST DE SIST PROT; C-00134/0293 CONSTRUCCION DE SISTEMA DE  PROTECCION ATMOSFERICAS  EN PLANTA POTABILIZADORA SUR, EN LOC. Y MPIO. DE HEMOSILLO, SON.  SEGÚN OFICIOS  SH-ED-23-145 DEL 21/JUN23,</t>
  </si>
  <si>
    <t>WACOVE IHUOB23-60 C134/279 OBRA CON RED DIST;  C-0134/0279 OBRA DE CONEXIÓN A RED DE DISTRIBUCION Y TANQUE DE ALMACENAMINETO EN LA CIUDAD DE ALAMOS, EN LOC. Y MPIO. DE ALAMOS, SON.  SEGÚN OFICIOS  SH-ED-23-091 DEL 04/MAY/23,</t>
  </si>
  <si>
    <t>MINAR IHOB23-59  ESTRADOS AMP RED AG POT, C-00134/0285 MIN.JUN/23, CONSTRUCCIÓN DE DIQUE Y LÍNEA DE CONDUCCIÓN PARA AGUA POTABLE, EN LA LOC. LOS ESTRADOS, EN EL MPIO. DE ALAMOS, SON.  SEGÚN OFICIOS  SH-ED-23-114 DEL 26/MAY/23,</t>
  </si>
  <si>
    <t>MINAR IHOB23-59  BAJIOS AMP RED AG POT; C-00134/0284 MIN.JUN/23, AMPLIACION DE RED DE AGUA POTABLE, EN LA LOC. LOS BAJIO (EJIDO LOS CONEJOS) EN EL MPIO. DE QUIRIEGO, SON.  SEGÚN OFICIOS  SH-ED-23-114 DEL 26/MAY/23,</t>
  </si>
  <si>
    <t>MINAR IHOB23-59 GUAJARAY AMP RED AG POT; C-00134/0287 MIN.JUN/23, CONSTRUCCION DE POZO, EQUIPAMIENTO SOLAR, PILA DE CONCRETO, LINEA DE CONDUCCION Y DISTRIBUCION DE AGUA POTABLE, EN LA LOC. GUAJARAY, EN EL MPIO. DE ALAMOS, SON.  SEGÚN OFICIOS  SH-ED-23-114 DEL 26/MAY/23,</t>
  </si>
  <si>
    <t>MINAR IHOB23-59 C152/213 MOCHIBAMPO AMP RED AG POT; C-00152/0213 MIN.JUN/23, REPOSICION DE BIODIGESTOR DE 7,000 LITROS Y LINEA DE DESCARGA EN 150 METROS , EN LA LOC. MOCHIBAMPO, EN EL MPIO. DE ALAMOS, SON.  SEGÚN OFICIOS  SH-ED-23-114 DEL 26/MAY/23,</t>
  </si>
  <si>
    <t>HIGTH TENSILE IHUOB23-62 C134/292 REHAB LIN AG POT; C-00134/0292  REHABILITACION DE LINEA DE AGUA POTABLE DE 6 PULGADAS EN CALLE VICENTE GUERRERO  (TRAMO DESDE CALLE BAJA CALIFORNIA A CALLE RAMON CORONA),  EN LOC. Y MPIO. DE TRINCHERAS, SON.  SEGÚN OFICIOS  SH-ED-23-134 DEL 13/JUN23,</t>
  </si>
  <si>
    <t xml:space="preserve">HEAVY WORKS C134/294 IHUOB23-64 BAVISPSIST AG POT; C-00134/0294  REHABILITACION DE SISTEMA DE AGUA POTABLE  EN LA LOCALIDAD Y  MPIO. DE BAVISPE,  SON.  SEGÚN OF.  SH-ED-23-157  </t>
  </si>
  <si>
    <t>CONS OB EST C134/277 IHUSRO23-43 PROY EJ AC IND; C-0134/0277 PROYECTO EJECUTIVO PARA DETERMINAR LA INTEGRIDAD DEL RECUBRIMIENTO Y SISTEMA DE PROTECCION CATODICA PARA ACUEDUCTO INDEPENDENCIA, EN LA LOC. DE HERMOSILLO, MPIO. DE HERMOSILLO, SON.  S/OF.  SH-ED-23-081</t>
  </si>
  <si>
    <t xml:space="preserve">C-00176/01 CEA-FONDOMINERO-IHOB21-33  CONSTRUCCION ACUEDUCTO MACOYAHUI-ALAMOS DE 24,553.82 M LONG PARA AGUA POTABLE, EL ROBLE PROMAYCO </t>
  </si>
  <si>
    <t>CULTURA DEL AGUA 2023 SE-05-06-2053/2023, FORMACION COMPETENCIAS, FORT A ESPACIOS DE CULT AGUA, INSTALACION DE ESPACION, ELAB DE MATERIAL DIDACTICO</t>
  </si>
  <si>
    <t>CONST 54 IHUOB23-37 C152/209 CONST RED ALC ORTIZ; C-00152/0209   CONSTRUCCIÓN DE RED DE ALCANTARILLADO SANITARIO (15,204 ML TUBERÍA PVC 8", 502 ML TUBERÍA DE PVC DE 6" DE EMISOR A PRESIÓN, CÁRCAMO DE BOMBEO, 139 POZOS DE VISITA Y 380 DESCARGAS DOMICILIARIAS) EN LA LOC. DE ORTIZ, MPIO. DE GUAYMAS, SONORA.</t>
  </si>
  <si>
    <t>VYYDAAYAC IHOB23-41 C152/210 REP COLECTOR; C-00152/0210   REPOSICIÓN DE 1,488.42 M DE COLECTOR DE AGUAS RESIDUALES DE 18" DE DIÁMETRO Y 98 DESCARGAS DOMICILIARIAS, EN CALLE 9 ENTRE AVE. 20 A 35, LOC. DE AGUA PRIETA, MPIO. DE AGUA PRIETA, SON.</t>
  </si>
  <si>
    <t>LB PROCESOS IHUOB23-38 C134/282 CONST RED AG POT; C-00134/0282 CONSTRUCCIÓN DE 12,482 M DE RED DE AGUA POTABLE CON TUBERÍA DE PVC DE 3” DE DIÁMETRO Y 589 M CON TUBERÍA DE PVC DE 4” DE DIÁMETRO, CONSTRUCCIÓN DE TANQUE ELEVADO DE 60 M3, Y 296 TOMAS DOMICILIARIAS, LOC. DE ORTIZ, MPIO. DE GUAYMAS,  SONORA. (SEGUNDA ETAPA) SH-NC-23-214</t>
  </si>
  <si>
    <t>CASME IHUOB23-39 C152/211 CONST COL AGS RES; C-00152/0211 REPOSICIÓN DE 241.55 M DE COLECTOR CON TUBERÍA DE 24" DE DIÁMETRO DE AGUAS RESIDUALES POR TRAMOS EN CALLES 16, 17 y 18 SECTOR CENTRO, LOCALIDAD HEROICA GUAYMAS, MUNICIPIO DE GUAYMAS, SONORA.</t>
  </si>
  <si>
    <t>IMG PROY HID IHUOB23-40 C152/212 CONT EMISOR, C-00152/0212  CONSTRUCCIÓN DE 1,000 M DE EMISOR A PRESIÓN DE AGUAS RESIDUALES DE PVC HIDRÁULICO DE 8" DE DIÁMETRO, DESDE CÁRCAMO SAHUARIPA A CAJA ROMPEDORA, LOCALIDAD DE HEROICA GUAYMAS,  MPIO. DE GUAYMAS, SON.</t>
  </si>
  <si>
    <t>ICATSON CONV 05-2023 FORTALECIMIENTO DE CAPACIDADE; C-00134/0280 FORTALECIMIENTO DE CAPACIDADES, LOCALIDAD VARIAS,  MUNICIPIO VARIOS, SONORA</t>
  </si>
  <si>
    <t>C-00134/0288 ACCIONES DE DESINFECCION DEL AGUA, ESTADO DE SONORA, LOCALIDAD VARIAS,  MUNICIPIO VARIOS, SONORA.ACCIONES DE DESINFECCION DEL  AGUA 2023 SH-NC-23-227</t>
  </si>
  <si>
    <t>C-135/327 CEA-PROAGUAIHUOB22-83 REHABILITACIÓN, PUESTA EN MARCHA Y OPERACIÓN TRANSITORIA DE PLANTA POTABILIZADORA, EN LA LOCALIDAD DE BACANUCHI, MUNICIPIO DE ARIZPE, AFECTADA POR EL DERRAME DEL RÍO SONORA. SH-NC-22-050 DEL 26/SEPT/2022. CONST DE SON</t>
  </si>
  <si>
    <t>C-135/328 CEA-PROAGUAIHUOB22-83  REHABILITACIÓN, PUESTA EN MARCHA Y OPERACIÓN TRANSITORIA DE PLANTA POTABILIZADORA, EN LA LOC. BANÁMICHI, MPIO. DE BANÁMICHI, AFECTADA POR EL DERRAME DEL RÍO SONORA. SH-NC-22-050 DEL 26/SEPT/2022. CONST DE SON</t>
  </si>
  <si>
    <t>C-135/329   CEA-PROAGUAIHUOB22-83 REHABILITACIÓN, PUESTA EN MARCHA Y OPERACIÓN TRANSITORIA DE PLANTA POTABILIZADORA, EN LA LOCALIDAD DE SAN FELIPE DE JESÚS, MPIO. DE SAN FELIPE DE JESÚS, AFECTADA POR EL DERRAME DEL RÍO SONORA. SH-NC-22-050 DEL 26/SEPT/2022. CONST DE SON</t>
  </si>
  <si>
    <t>C-135/330  CEA-PROAGUAIHUOB22-84 REHABILITACIÓN, PUESTA EN MARCHA Y OPERACIÓN TRANSITORIA DE PLANTA POTABILIZADORA, EN LA LOCALIDAD DE MAZOCAHUI, MUNICIPIO DE BAVIÁCORA, AFECTADA POR EL DERRAME DEL RÍO SONORA. SH-NC-22-050 DEL 26/SEPT/2022. INGES PRODENTER</t>
  </si>
  <si>
    <t>C-135/331 CEA-PROAGUAIHUOB22-84  REHABILITACIÓN, PUESTA EN MARCHA Y OPERACIÓN TRANSITORIA DE PLANTA POTABILIZADORA, EN LA LOCALIDAD DE LA CAPILLA, MUNICIPIO DE BAVIÁCORA, AFECTADA POR EL DERRAME DEL RÍO SONORA.SH-NC-22-050 DEL 26/SEPT/2022. INGES PRODENTER</t>
  </si>
  <si>
    <t xml:space="preserve"> C135/332 CEA-CONV-02-2022 REHABILITACIÓN, PUESTA EN MARCHA Y OPERACIÓN TRANSITORIA DE PLANTA POTABILIZADORA, EN LA LOCALIDAD DE SAN RAFAEL, MUNICIPIO DE URES, SON.  IMTA</t>
  </si>
  <si>
    <t>CEA-APPOB17-036 DESALADORA GYMAS-EMPALME SERV. RECUPERACION DE ACTIVO</t>
  </si>
  <si>
    <t>CONS EN INN 2632/2023 IHSERV23-63 PLAN HIDRICO</t>
  </si>
  <si>
    <t xml:space="preserve">C-00140/0020 OBRAS DE PROTECCION CONTRA INUNDACIONES EN LA COLONIA BICENTENARIO EN LA LOC. DE SAHUARIPA, MPIO. SAHUARIPA, SON.. S/OF. SH-ED-23-207  SANTA ROSA  EDIHOB23-66 </t>
  </si>
  <si>
    <t>SE-05.06-2631/2023  DEL 05 JULIO   DEL 2023 (RADICACION RECURSO)  Y OF. SE-05.06-2815/2023 26/JUL/23 LILIANA GUZMAN EDIHUADQ23-68 DOSIFICADORES POLI</t>
  </si>
  <si>
    <t>SE-05.06-2631/2023  DEL 05 JULIO   DEL 2023 (RADICACION RECURSO)  Y OF. SE-05.06-2815/2023 26/JUL/23 ROBERTO RIVERA EDIHUADQ23-74 CARROS COLECTORES</t>
  </si>
  <si>
    <t xml:space="preserve">C-00134/0289 ACCIONES DE MANTENIMIENTO NECESARIO PARA EQUIPO DE BOMBEO INSTALADO EN OBRA DE TOMA DEL ACUEDUCTO INDEPENDENCIA,  EN LA LOC. Y MPIO. HERMOSILLO, SON.  SEGÚN OFICIOS  SH-ED-23-127 C134/289 SERV MILLENIALS EDIHUSERV23-58 </t>
  </si>
  <si>
    <t xml:space="preserve">C134/275  IHUOB23-34 REPOSICION DE PAVIMENTO ASFALTICO, CONCRETO Y EMPEDRADO EN LINEA DE CONDUCCION AL TANQUE ALGODONES  PARA, EN LA LOC. DE SAN CARLOS (SAN CARLOS NUEVO GUAYMAS), MPIO. DE GUAYMAS, SON.  SEGÚN OFICIOS  SH-ED-23-05, GM </t>
  </si>
  <si>
    <t xml:space="preserve">C134/296 IHUOB23-71 REHABILITACIÓN, EQUIPAMIENTO, PUESTA EN MARCHA Y OPERACIÓN TRANSITORIA DE PLANTA POTABILIZADORA, EN LA LOC. LA CAPILLA, MPIO. DE BAVIÁCORA, AFECTADA POR EL DERRAME DEL RÍO SON. (SEGUNDA ETAPA); PROBILL </t>
  </si>
  <si>
    <t xml:space="preserve">C134/299 IHUOB23-71 MAZOCAHUI  REHABILITACIÓN, EQUIPAMIENTO, PUESTA EN MARCHA Y OPERACIÓN TRANSITORIA DE PLANTA POTABILIZADORA, EN LA LOC. MAZOCAHUI, MPIO. DE BAVIÁCORA, AFECTADA POR EL DERRAME DEL RÍO SON.  (SEGUNDA ETAPA); PROBILL </t>
  </si>
  <si>
    <t xml:space="preserve">C-00152/0217 HINCADO DE TUBERIA DE ACERO DE 52 PULGADAS DE DIAMETRO PARA COLECTOR SANITARIO EN RAMON CORONA Y MATAMOROS, EN LA COL. CONSTITUCION, EN LA  LOCALIDAD Y MUNICIPIO DE NAVOJOA, SON.. S/OF. SH-ED-23-252   DEL 14/SEPT/23; AP PERF C152/217 IHUOB23-73 </t>
  </si>
  <si>
    <t xml:space="preserve">C-00152/0216 REHABILITACION DE COLECTOR SANITARIO EN CALLE MATAMOROS, EN LA COL. CONSTITUCION,  EN LA LOC. Y MPIO. DE NAVOJOA, SON.  S/OF.  SH-ED-23-T-001 DEL 16/AGT/23,  GF ING Y CONST CEA-IHUOB23-72 </t>
  </si>
  <si>
    <t xml:space="preserve">C-134/297   REHABILITACIÓN, EQUIPAMIENTO, PUESTA EN MARCHA Y OPERACIÓN TRANSITORIA DE PLANTA POTABILIZADORA, EN LA LOC. DE BACANUCHI, MPIO. DE ARIZPE, AFECTADA POR EL DERRAME DEL RÍO SON. (SEGUNDA ETAPA)SH-ED-23-243  CONS DE SON IHUOB23-70 </t>
  </si>
  <si>
    <t xml:space="preserve">C-134/298  REHABILITACIÓN, EQUIPAMIENTO,  PUESTA EN MARCHA Y OPERACIÓN TRANSITORIA DE PLANTA POTABILIZADORA, EN LA LOC. DE BANÁMICHI, MPIO. DE BANÁMICHI, AFECTADA POR EL DERRAME DEL RÍO SON. (SEGUNDA ETAPA) CONS DE SON IHUOB23-70 </t>
  </si>
  <si>
    <t xml:space="preserve">C-134/295  REHABILITACIÓN, EQUIPAMIENTO, PUESTA EN MARCHA Y OPERACIÓN TRANSITORIA DE PLANTA POTABILIZADORA, EN LA LOC. SAN FELIPE DE JESÚS, MPIO. DE SAN FELIPE DE JESÚS, AFECTADA POR EL DERRAME DEL RÍO SON. (SEGUNDA ETAPA), SH-ED-23-243 CONS DE SON IHUOB23-70 </t>
  </si>
  <si>
    <t xml:space="preserve">C-00140/0021 R/136 MIN/NOV/23, ESTUDIO HIDROLOGICO Y ANALISIS DE ALTERNATIVAS PARA EL MANEJO INTEGRAL DE SISTEMA DE PRESAS DEL RIO SONORA PARA EL ABASTECIMIENTO DE AUA POTABLE DE LA CUIDAD DE HERMOSILLO (AMPLIACION VASO DEL RIO AGUA ARRIBA DE LA PRESA ABELARDO L. RODRIGUEZ) , EN LOC. Y MPIO. VARIOS , SON.  SEGÚN OFICIOS  SH-ED-23-145  ING Y GEST HID </t>
  </si>
  <si>
    <t xml:space="preserve">C-00134/0301 PERFORACION, EQUIPAMIENTO Y CONEXION DE POZO PARA AGUA POTABLE,  EN LOCALIDAD Y MUNICIPIO DE SAN IGNACIO RIO MUERTO, SON.  SEGÚN OFICIOS  SH-ED-23-274  DES EKUAR IHUOB23-82 </t>
  </si>
  <si>
    <t>C-00134/0302  PERFORACION A 100 METROS PARA RECUPERACION DE CAUDAL,  EN LA LOCALIDAD DE LA CAPILLA EN EL  MUNICIPIO DE BAVIACORA, SON.  SEGÚN OFICIOS  SH-ED-23-275  CONS Y PROT IND IHUOB23-80</t>
  </si>
  <si>
    <t xml:space="preserve">C-00134/0300  2da ETAPA CONSTRUCCION DE SISTEMA DE  PROTECCION DE EMERGENCIAEN MANEJO DE GAS CLORO EN PLANTA POTABILIZADORA SUR , EN LOC. Y MPIO. DE HEMOSILLO, SON.  SEGÚN OFICIOS  SH-ED-23-145 CONS OB EST IHUOB23-81 </t>
  </si>
  <si>
    <t>ALEJANDRO ARCARAZ EDIHSRO22-04 SUP CONST. ACU MACO</t>
  </si>
  <si>
    <t>PROGRAMA CULTURA DEL AGUA 2023 VARIAS ACCIONES PARA ACCIONES RELATIVAS AL PROGRAMA "CAPACITACION  AMBIENTAL Y DESARROLLO SUSTENTABLE" EN MATERIA DE CULTURA DEL AGUA 2023, EN LA LOCALIDADES VARIAS, MPIO. VARIOS, SON. SEGÚN OFICIOS  SE-05.06-2353/23</t>
  </si>
  <si>
    <t xml:space="preserve">C135/310 IHUOB22-40 HILLO SUM E INST EQ; SANTA ROSA </t>
  </si>
  <si>
    <t xml:space="preserve">CONTRALORIA SOCIAL OBRAS PROAGUA 2023 APORTACION ESTATAL Y FEERAL EN  VARIAS LOCALIDADES, MPIOS. VARIOS </t>
  </si>
  <si>
    <t xml:space="preserve">SUPERVISION TECNICA PROGRAMA PROAGUA 2023 APORTACION ESTATAL Y FEDERAL EN VARIAS LOCALIDADES DE MPIOS. VARUIOS </t>
  </si>
  <si>
    <t xml:space="preserve">C134/288 ACCIONES DE  DESINFECCION PROAGUA 2023. EQ Y PROD QUIM IHUADQ23-51 </t>
  </si>
  <si>
    <t xml:space="preserve">C135/396 CONSTRUCCION DE PLANTA POTABILIZADORA PARA LA COMUNIDAD DE LA ETNIA SERI EN EL DESEMBOQUE, MPO.PITIQUITO, SON. S/OF.  SH-NC-23-231, GPO ING IND PAC IHOB23-65  </t>
  </si>
  <si>
    <t>C135/400 IHUOB23-76 BAH LOB CONST LAGUNA, CONSTRUCCION  DE LAGUNA DE MADURACION No. 2, 75M. DE EMISOR DE DESCARGA CON TUBERIA DE PVC SANITARIO DE 8" DE DIAMETRO, 1 POZOS DE VISITA Y CERCO DE PROTECCION, EN PTAR  PARA INCORPORAR 6.21 L/S, EN  LA LOC. DE BAHIA DE LOBOS, MPIO DE SAN IGNACIO RIO MUERTO,  (SEGUNDA ETAPA) EN EL ESTADO DE SON;  WACOVE  S/OF. SH-NC-23-286</t>
  </si>
  <si>
    <t>C135/407 IHUOB23-83 VICAM CONSTRUCCION  DE 931 M DE EMISOR A PRESION CON TUBERIA DE PVC DE 87" DE DIAMETRO, REVESTIMIENTO DE CORONA Y PROTECCION DE BORDOS CON GAVIONES; Y CERCO DE PROTECCION, EN PTAR   2.96 L/S, EN LA LOC. DE VICAM PUEBLO, (SEGUNDA ETAPA) MPIO DE GUAYMAS, EN EL ESTADO DE SON;  S/OF. SH-NC-23-286, CONS Y SUP VISA</t>
  </si>
  <si>
    <t xml:space="preserve">C-0135/0401 HUIRIBI   CONSTRUCCION  DE 745 M DE EMISOR A PRESION CON TUBERIA DE PVC DE 6" DE DIAMETRO Y CERCO DE PROTECCION,  EN PTAR  DE 1.63 L/S,  EN LA LOC. DE HURIBIS, EN EL  MPIO DE GUAYMAS, EN EL ESTADO DE SON. (SEGUNDA ETAPA);  S/OF. SH-NC-23-291,  DEL 06/NOV/23  CONS Y SUP VISA IHUOB23-83 </t>
  </si>
  <si>
    <t xml:space="preserve">C-0135/0405  CONSTRUCCION  DE 509 M DE EMISOR A PRESION CON TUBERIA DE PVC DE 3" DE DIAMETRO Y CERCO DE PROTECCION,  EN PTAR DE 0.72 L/S,  EN LA LOC. DE COMPUERTAS, EN EL  MPIO DE GUAYMAS, EN EL ESTADO DE SON. (SEGUNDA ETAPA);  S/OF. SH-NC-23-291 CONS Y SUP VISA  IHUOB23-83 COMPUER </t>
  </si>
  <si>
    <t xml:space="preserve">NORMAL CONVENIDO </t>
  </si>
  <si>
    <t>C-0135/0402 CONSTRUCCION  DE 366 M DE EMISOR DE DESCARGA CON TUBERIA DE PVC SANITARIO DE 6" DE DIAMETRO Y CERCO DE PROTECCION,  EN PTAR  DE 3.97 L/S,  EN LA LOC. DE ESTACION CORRAL, EN EL  MPIO DE CAJEME, EN EL ESTADO DE SON. (SEGUNDA ETAPA);  S/OF. SH-NC-23-291  CASME IHUOB23-84  CONST EMISOR</t>
  </si>
  <si>
    <t xml:space="preserve">C-00135/0403  CONSTRUCCION  DE 960 M DE EMISOR A PRESION CON TUBERIA DE PVC DE 6" DE DIAMETRO, IMPERMEABILIZACION EN SISTEMA LAGUNAR CON MALLA GEOTEXTIL; Y CERCO DE PROTECCION  EN PTAR    DE 1.61 L/S, EN LA LOC. DE TETABIATE, (SEGUNDA ETAPA) MPIO DE SAN IGNACIO RIO MUERTO, EN EL ESTADO DE SON;  S/OF. SH-NC-23-291,  DEL 06/NOV/23 CASME IHUOB23-84 </t>
  </si>
  <si>
    <t>C-00135/0404 CONSTRUCCION  DE 1,178 M DE EMISOR A PRESIÓN CON TUBERIA DE PVC DE 6" DE DIAMETRO IMPERMEABILIZACION EN SISTEMA LAGUNAR CON MEMBRANA DE POLIETILENO DE ALTA DENSIDAD Y MALLA GEOTEXTIL; Y CERCO DE PROTECCION  EN PTAR  DE 2.74 L/S, EN  LA LOC. DE TORIM, MPIO DE GUAYMAS,  (SEGUNDA ETAPA);  S/OF. SH-NC-23-291CASME CEA-IHUOB23-84 CONST EMISOR</t>
  </si>
  <si>
    <t xml:space="preserve">C-00135/0406 CONSTRUCCION  DE 1,410 M DE EMISOR A PRESION CON TUBERIA DE PVC DE 3" DE DIAMETRO, Y CERCO DE PROTECCION, EN PTAR DE 0.35 L/S,  EN LA LOC. DE (CHUMAMPACO), MPIO DE GUAYMAS, EN EL ESTADO DE SON. (SEGUNDA ETAPA);  S/OF. SH-NC-23-291 CASME IHUOB23-84  </t>
  </si>
  <si>
    <t xml:space="preserve">C-00135/0398  CONSTRUCCION  DE 860 M DE EMISOR A PRESION CON TUBERIA DE PVC DE 6" DE DIAMETRO, 752 M DE EMISOR DE DESCARGA CON TUBERIA DE PVC SANITARIO DE 8" DE DIAMETRO, 6 POZOS DE VISITA Y CERCO DE PROTECCION, EN PTAR  EN LA LOC. DE PITAHAYA (DE BELEM), MPIO DE GUAYMAS, EN EL ESTADO DE SON. (SEGUNDA ETAPA);  S/OF. SH-NC-23-286 CINCO IHUOB23-77 </t>
  </si>
  <si>
    <t xml:space="preserve">C-0154/044 ADQUISICION DE MAQUINARIA Y EQUIPO  PARA  EL DISTRITO DE RIEGO No. 018, PUEBLOS YAQUIS, SON.  S/OF. SH-NC-23-210 MATCO 1816/2023 IHAD23-31 (A B) EXCA TRAC MOTO </t>
  </si>
  <si>
    <t xml:space="preserve">C-0154/044 ADQUISICION DE MAQUINARIA Y EQUIPO  PARA  EL DISTRITO DE RIEGO No. 018, PUEBLOS YAQUIS, SON.  S/OF. SH-NC-23-210 EQ E INOV 1816/2023 IHAD23-31 (C) TRACTOR AGR </t>
  </si>
  <si>
    <t>C-0154/044 ADQUISICION DE MAQUINARIA Y EQUIPO  PARA  EL DISTRITO DE RIEGO No. 018, PUEBLOS YAQUIS, SON.  S/OF. SH-NC-23-210 IMTA CONV-01-2023 SUP INT EQS DE MEDICION DR-18</t>
  </si>
  <si>
    <t>DR-018 AMPLIACION  INF-HIDR 2022 (PAIH)</t>
  </si>
  <si>
    <t>BBVA BANCOMER</t>
  </si>
  <si>
    <t>0118627436</t>
  </si>
  <si>
    <t>CONSTRUCCION BALSA PRESA NOVILLO 2da. PAIH 2022</t>
  </si>
  <si>
    <t>0118731802</t>
  </si>
  <si>
    <t xml:space="preserve"> FDO MINERO FED ACUEDUCTO MAOYAHUI</t>
  </si>
  <si>
    <t xml:space="preserve"> 0119078509</t>
  </si>
  <si>
    <t>CANAL PPAL PUEBLO YAQUI  2022</t>
  </si>
  <si>
    <t>0119387609</t>
  </si>
  <si>
    <t xml:space="preserve"> AMP CANAL PPAL PBO YAQUI 2023</t>
  </si>
  <si>
    <t>BANORTE</t>
  </si>
  <si>
    <t>PAIH-23 CONV-26DB-02/23 REHABILITACION CANAL PPAL PBO YAQUI 2023</t>
  </si>
  <si>
    <t>PROAGUA FEDERAL 2023</t>
  </si>
  <si>
    <t xml:space="preserve"> CULTURA DEL AGUA FEDERAL 2023</t>
  </si>
  <si>
    <t>FEDERAL</t>
  </si>
  <si>
    <t>CEA/ECYT/0001</t>
  </si>
  <si>
    <t xml:space="preserve">NOTEBOOK VAIO EA35 NEGRA  </t>
  </si>
  <si>
    <t>CEA/ECYT/0003</t>
  </si>
  <si>
    <t xml:space="preserve">HP 8100 ELT CI3 550 500 GB 3 GB DVDRW 22 EN 1 WIN7  </t>
  </si>
  <si>
    <t>CEA/ECYT/0004</t>
  </si>
  <si>
    <t>SERVIDOR HP PROLIANT DL140 G3CON UN PROCESADOR INTEL XWON DUAL CORE</t>
  </si>
  <si>
    <t>CEA/ECYT/0005</t>
  </si>
  <si>
    <t>SERVIDOR DE CORREO HP PROLIANT  DL380 G4 PROC. INTEL XEON DP A 3.6 GH</t>
  </si>
  <si>
    <t xml:space="preserve">CEA/ECYT/0006 </t>
  </si>
  <si>
    <t>SERVIDOR HP</t>
  </si>
  <si>
    <t>CEA/ECYT/0007</t>
  </si>
  <si>
    <t>CEA/ECYT/0008</t>
  </si>
  <si>
    <t>SERVIDOR DE DOMINIO HP  PROLIANT DL140 G2 PROC. INTEL XEON A 3.4GHZ</t>
  </si>
  <si>
    <t>CEA/ECYT/0009</t>
  </si>
  <si>
    <t xml:space="preserve">COMPUTADORA DE ESCRITORIO MARCA HP BUSSINES  MOD. DC5700   </t>
  </si>
  <si>
    <t>CEA/ECYT/0010</t>
  </si>
  <si>
    <t>COMPUTADORA DE ESCRITORIO PENTIUM IV</t>
  </si>
  <si>
    <t>CEA/ECYT/0011</t>
  </si>
  <si>
    <t>ANTENA DE TRANSMISIÓN CLASE MAESTRO /AP Y CLASE CLIENTE</t>
  </si>
  <si>
    <t>CEA/ECYT/0012</t>
  </si>
  <si>
    <t xml:space="preserve">SERVIDOR HP PROLIANT DL380 G5 DOS PROCESADORES INTEL XEON DUAL CORE </t>
  </si>
  <si>
    <t>CEA/ECYT/0013</t>
  </si>
  <si>
    <t xml:space="preserve">HP 8100 ELT CI3 550 500 GB 3 GB WIN 7 HP LCD 20"  </t>
  </si>
  <si>
    <t>CEA/ECYT/0014</t>
  </si>
  <si>
    <t xml:space="preserve">HP 8100 ELT CI3 550 500 GB 3 GB WIN 7 HP LCD 20" </t>
  </si>
  <si>
    <t>CEA/ECYT/0015</t>
  </si>
  <si>
    <t>CEA/ECYT/0016</t>
  </si>
  <si>
    <t>HP TSMART 310-1220LA</t>
  </si>
  <si>
    <t>CEA/ECYT/0017</t>
  </si>
  <si>
    <t xml:space="preserve">HP TSMART 310-1010LA W7 HOME PREMIUM   </t>
  </si>
  <si>
    <t>CEA/ECYT/0019</t>
  </si>
  <si>
    <t xml:space="preserve">PC HP 8200 ELITE SMALL </t>
  </si>
  <si>
    <t>CEA/ECYT/0020</t>
  </si>
  <si>
    <t xml:space="preserve">IMPRESORA LASER MONOCROMATICA MARCA HP MODELO LASERJET P4014N </t>
  </si>
  <si>
    <t>CEA/ECYT/0021</t>
  </si>
  <si>
    <t>CEA/ECYT/0022</t>
  </si>
  <si>
    <t>COMPUTADORA DE ESCRITORIO MARCA HP DC7900 CORE2DUO E8400.</t>
  </si>
  <si>
    <t>CEA/ECYT/0023</t>
  </si>
  <si>
    <t xml:space="preserve">HP MINI 110-3119LA  </t>
  </si>
  <si>
    <t>CEA/ECYT/0024</t>
  </si>
  <si>
    <t>CEA/ECYT/0025</t>
  </si>
  <si>
    <t>CEA/ECYT/0026</t>
  </si>
  <si>
    <t xml:space="preserve">COMPUTADORA PORTATIL TIPO NOTEBOOK COMPAQ NX 7400 </t>
  </si>
  <si>
    <t>CEA/ECYT/0027</t>
  </si>
  <si>
    <t xml:space="preserve">HP PAVILON SLIMLINE S5330LA DESCKTOP </t>
  </si>
  <si>
    <t>CEA/ECYT/0028</t>
  </si>
  <si>
    <t>COMPUTADORA DE ESCRITORIO MARCA HP DC7900 CORE2DUO E8400</t>
  </si>
  <si>
    <t>CEA/ECYT/0029</t>
  </si>
  <si>
    <t>CEA/ECYT/0030</t>
  </si>
  <si>
    <t>CEA/ECYT/0031</t>
  </si>
  <si>
    <t xml:space="preserve">MONITOR LCD DE 17" WXGA  MARCA HP MODELO W17E </t>
  </si>
  <si>
    <t>CEA/ECYT/0032</t>
  </si>
  <si>
    <t>CEA/ECYT/0033</t>
  </si>
  <si>
    <t>CEA/ECYT/0034</t>
  </si>
  <si>
    <t xml:space="preserve">HP 8100 ELT CI3 550 500 GB 3 GB WIN 7 HP </t>
  </si>
  <si>
    <t>CEA/ECYT/0035</t>
  </si>
  <si>
    <t xml:space="preserve">UPS EVOLUTION BATT BABINET MARCA MGE </t>
  </si>
  <si>
    <t>CEA/ECYT/0036</t>
  </si>
  <si>
    <t>PANTALLA TRIPIE DE 178 X 178</t>
  </si>
  <si>
    <t>CEA/ECYT/0037</t>
  </si>
  <si>
    <t xml:space="preserve">MONITOR DE 19 " MARCA HP LCD NO </t>
  </si>
  <si>
    <t>CEA/ECYT/0038</t>
  </si>
  <si>
    <t>CEA/ECYT/0041</t>
  </si>
  <si>
    <t xml:space="preserve">HP OFFICEJET PRO 8600 </t>
  </si>
  <si>
    <t>CEA/ECYT/0043</t>
  </si>
  <si>
    <t xml:space="preserve">IMPRESORA HP LASERJET P1606DN </t>
  </si>
  <si>
    <t>CEA/ECYT/0044</t>
  </si>
  <si>
    <t xml:space="preserve">NOBREACK SOLA BASIC MICRO SR480 C/REG                                                                          </t>
  </si>
  <si>
    <t>CEA/ECYT/0045</t>
  </si>
  <si>
    <t xml:space="preserve">HP OFFICEJET PRO 8500 A   </t>
  </si>
  <si>
    <t>CEA/ECYT/0046</t>
  </si>
  <si>
    <t>LAPTOP TOSHIBA C640-SP4019M CI3   SERIE: 9A423393Q</t>
  </si>
  <si>
    <t>CEA/ECYT/0048</t>
  </si>
  <si>
    <t xml:space="preserve">HP 8100 ELT CI3 550 500 GB 3 GB DVDRW 22 EN 1 WIN7 </t>
  </si>
  <si>
    <t>CEA/ECYT/0049</t>
  </si>
  <si>
    <t>CEA/ECYT/0050</t>
  </si>
  <si>
    <t xml:space="preserve">HP PAVILON DV6-3187LA I7 500GB/DVDSM/15.6 </t>
  </si>
  <si>
    <t>CEA/ECYT/0051</t>
  </si>
  <si>
    <t>CEA/ECYT/0052</t>
  </si>
  <si>
    <t xml:space="preserve">HP TSMART 310-1010LA W7 HOME PREMIUM </t>
  </si>
  <si>
    <t>CEA/ECYT/0053</t>
  </si>
  <si>
    <t xml:space="preserve">HP 8100 ELT CI3 550 500 GB 3 GB DVDRW 22 EN 1 WIN7 HP LCD DE 20" </t>
  </si>
  <si>
    <t>CEA/ECYT/0054</t>
  </si>
  <si>
    <t xml:space="preserve">LAPTOP TOSHIBA TECRA  </t>
  </si>
  <si>
    <t>CEA/ECYT/0055</t>
  </si>
  <si>
    <t xml:space="preserve">ESCANER HP MODELO G3010 </t>
  </si>
  <si>
    <t>MONITOR CEA/ECYT/0056,  CPU CEA/ECYT/0057</t>
  </si>
  <si>
    <t xml:space="preserve">COMPUTADORA DE ESCRITORIO MARCA HP DC7900 CORE2DUO E8400. </t>
  </si>
  <si>
    <t>CEA/ECYT/0059</t>
  </si>
  <si>
    <t>HP OFFICEJETPRO 8500</t>
  </si>
  <si>
    <t>CEA/ECYT/0060</t>
  </si>
  <si>
    <t xml:space="preserve">PROYECTOR DE VIDEO 2000 LUMENS </t>
  </si>
  <si>
    <t>CEA/ECYT/0061</t>
  </si>
  <si>
    <t>PANTALLA DE PROY. 2.44 X 2.44 DE PARED</t>
  </si>
  <si>
    <t>CEA/ECYT/0062</t>
  </si>
  <si>
    <t xml:space="preserve">SCANNER HP 7500  </t>
  </si>
  <si>
    <t>CEA/ECYT/0063</t>
  </si>
  <si>
    <t xml:space="preserve">COMPUTADORA HP DC5100 PENTIUM 4 3.2 GHZ, HT ACTIVIDAD DISCO DURO DE 80GB A 7200 RPM, 1024 MB DE MEMORIA RAM, UNIDAD OPTICA DE CDRW XP PROFESIONAL TARJETA DE RED INTEGRADO                                                           </t>
  </si>
  <si>
    <t>CEA/ECYT/0064</t>
  </si>
  <si>
    <t xml:space="preserve">OFFICEJET PRO 8000 35/34 </t>
  </si>
  <si>
    <t>CEA/ECYT/0065</t>
  </si>
  <si>
    <t xml:space="preserve">PLOTER HO DESINJET   </t>
  </si>
  <si>
    <t>CEA/ECYT/0066</t>
  </si>
  <si>
    <t xml:space="preserve">EQUIPO DE NOTEBOOK  MARCA DELL INSPIRON 5520 </t>
  </si>
  <si>
    <t>CEA/ECYT/0067</t>
  </si>
  <si>
    <t xml:space="preserve">SCANNER PORTATIL MARCA BROTHER MODELO DS700D </t>
  </si>
  <si>
    <t>CEA/ECYT/0068</t>
  </si>
  <si>
    <t xml:space="preserve">MONITOR SAMSUNG WIDE LED 1600X900 </t>
  </si>
  <si>
    <t>CEA/ECYT/0069</t>
  </si>
  <si>
    <t>CEA/ECYT/0070</t>
  </si>
  <si>
    <t>CEA/ECYT/0071</t>
  </si>
  <si>
    <t>CEA/ECYT/0072</t>
  </si>
  <si>
    <t xml:space="preserve">MONITOR WIDE LED 1600X900 SERIE </t>
  </si>
  <si>
    <t>CEA/ECYT/0073</t>
  </si>
  <si>
    <t>CEA/ECYT/0074</t>
  </si>
  <si>
    <t xml:space="preserve">MULTIFUNCIONAL HP PRO MODELO 8600 SERIE: </t>
  </si>
  <si>
    <t>CEA/ECYT/0075</t>
  </si>
  <si>
    <t>IMPRESORA MARCA HP LASERJET P1102W</t>
  </si>
  <si>
    <t>CEA/ECYT/0076</t>
  </si>
  <si>
    <t>CHECADOR : TERMINAL NS FACE  PARA CONECTAR EN RED O POR MEDIO DE VPN 200 EMPLEADOS</t>
  </si>
  <si>
    <t>CEA/ECYT/0077</t>
  </si>
  <si>
    <t>CHECADOR : TERMINAL NS FACE ADICIONAL PARA CONECTAR EN RED O POR MEDIO DE VPN</t>
  </si>
  <si>
    <t>CEA/ECYT/0078</t>
  </si>
  <si>
    <t>CEA/ECYT/0079</t>
  </si>
  <si>
    <t xml:space="preserve">NOTEBOOK DELL INSPIRON 14I14VI5 </t>
  </si>
  <si>
    <t>CEA/ECYT/0080</t>
  </si>
  <si>
    <t>CEA/ECYT/0081</t>
  </si>
  <si>
    <t xml:space="preserve">NOTEBOOK DEL INSPIRON 15I15I3 SERIE: </t>
  </si>
  <si>
    <t>CEA/ECYT/0083</t>
  </si>
  <si>
    <t xml:space="preserve">COMPUTADORA DELL INSPIRON 660S </t>
  </si>
  <si>
    <t>CEA/ECYT/0084</t>
  </si>
  <si>
    <t xml:space="preserve">ACCESS POINT HP M200 A/B/G/N/ 1 PTO , 3 ANTENAS </t>
  </si>
  <si>
    <t>CEA/ECYT/0085</t>
  </si>
  <si>
    <t>CEA/ECYT/0086</t>
  </si>
  <si>
    <t>CEA/ECYT/0087</t>
  </si>
  <si>
    <t>INTELBRAS CENTER IMPACTA 220 INCLUYE GABINETA A TARJ.BASE + TARJ. FUENTE + TARJ</t>
  </si>
  <si>
    <t>CEA/ECYT/0088</t>
  </si>
  <si>
    <t xml:space="preserve">COMPUTADORA PORTATIL DELL VOSTRO  </t>
  </si>
  <si>
    <t>CEA/ECYT/0089</t>
  </si>
  <si>
    <t xml:space="preserve">LAPTOP ACER E5-551-T1FM                    SERIE: </t>
  </si>
  <si>
    <t>CEA/ECYT/0091-M</t>
  </si>
  <si>
    <t>MONITOR HP V193B</t>
  </si>
  <si>
    <t>CEA/ECYT/0092-M</t>
  </si>
  <si>
    <t xml:space="preserve">MONITOR: </t>
  </si>
  <si>
    <t>CEA/ECYT/0097</t>
  </si>
  <si>
    <t xml:space="preserve">EQUIPO DE SEGURIDAD CHECKPOINT MODELO 2200  </t>
  </si>
  <si>
    <t>CEA/ECYT/0098</t>
  </si>
  <si>
    <t xml:space="preserve">IPAD SERIE: GB1061DCETV    -  </t>
  </si>
  <si>
    <t>CEA/ECYT/0100</t>
  </si>
  <si>
    <t xml:space="preserve">MULTIFUNCIONAL OFFCIEPROJET 8710 </t>
  </si>
  <si>
    <t>CEA/ECYT/0101</t>
  </si>
  <si>
    <t xml:space="preserve">COMPUTADORA DE ESCRITORIO HP ELITEONE 705 AIO AMDA 10                 </t>
  </si>
  <si>
    <t>CEA/ECYT/0103</t>
  </si>
  <si>
    <t>SCANNER HP PRO 3000 L2737A</t>
  </si>
  <si>
    <t>CEA/ECYT/0104</t>
  </si>
  <si>
    <t xml:space="preserve">HP MINI 110-3119LA SERIE: </t>
  </si>
  <si>
    <t>CEA/ECYT/0105</t>
  </si>
  <si>
    <t xml:space="preserve">HP MINI 110-3119LA   </t>
  </si>
  <si>
    <t>CEA/ECYT/0106</t>
  </si>
  <si>
    <t>HP MINI 110-3119LA</t>
  </si>
  <si>
    <t>CEA/ECYT/0107</t>
  </si>
  <si>
    <t>CEA/ECYT/0108</t>
  </si>
  <si>
    <t xml:space="preserve">HP MINI 110-3119LA </t>
  </si>
  <si>
    <t>CEA/ECYT/0112</t>
  </si>
  <si>
    <t xml:space="preserve">LAPTOP DELL VOSTRO 3468 </t>
  </si>
  <si>
    <t>CEA/ECYT/0113</t>
  </si>
  <si>
    <t xml:space="preserve">LAPTOP LENOVO V310-14ISK </t>
  </si>
  <si>
    <t>CEA/ECYT/0114</t>
  </si>
  <si>
    <t xml:space="preserve">NOBREAK SOLA BASIC MICRO SR480 C/REG                                                                           </t>
  </si>
  <si>
    <t>CEA/ECYT/0115</t>
  </si>
  <si>
    <t xml:space="preserve">IMPRESORA DE CODIGOS DE BARRA </t>
  </si>
  <si>
    <t>CEA/ECYT/0118</t>
  </si>
  <si>
    <t>IMPRESORA HP DESKJET 9800</t>
  </si>
  <si>
    <t>CEA/ECYT/0122</t>
  </si>
  <si>
    <t>PROCESADOR XEON DE 3.6 GHZ A 800 MHZE18:F28</t>
  </si>
  <si>
    <t>CEA/ECYT/0123</t>
  </si>
  <si>
    <t>PROCESADOR XEON DE 3.4 GHZ A 800 MHZ</t>
  </si>
  <si>
    <t>CEA/ECYT/0124</t>
  </si>
  <si>
    <t>MODULO DE MEMORIA DE 1024 MB PARA QUIPO HP PROLIANT DL 380</t>
  </si>
  <si>
    <t>CEA/ECYT/0125</t>
  </si>
  <si>
    <t>MODULO DE MEMORIA DE 1024 MB PARA QUIPO HP PROLIANT DL 140</t>
  </si>
  <si>
    <t>CEA/ECYT/0126</t>
  </si>
  <si>
    <t>CAMARA WEB CON SOPORTE PARA IP</t>
  </si>
  <si>
    <t>CEA/ECYT/0127</t>
  </si>
  <si>
    <t>SWITCH DE DATPS DE 24 PUERTOS</t>
  </si>
  <si>
    <t>CEA/ECYT/0128</t>
  </si>
  <si>
    <t xml:space="preserve">COMPUTADORA DE ESCRITORIO MARCA HP BUSSINES  MOD. DC5700                                                                                                                                                                             </t>
  </si>
  <si>
    <t>CEA/ECYT/0129</t>
  </si>
  <si>
    <t>LAPTOP DELL INSPIRON</t>
  </si>
  <si>
    <t>CEA/ECYT/0130</t>
  </si>
  <si>
    <t>LAPTOP DELL</t>
  </si>
  <si>
    <t>CEA/ECYT/0131</t>
  </si>
  <si>
    <t>MULTIFUNCIONAL MARCA EPSON</t>
  </si>
  <si>
    <t>CEA/ECYT/0133</t>
  </si>
  <si>
    <t>LAPTOP MARCA DELL INSPIRON</t>
  </si>
  <si>
    <t>CEA/ECYT/0135</t>
  </si>
  <si>
    <t>PROYECTOR EPSON POWERLITE S18+ TECNOLOGIA 3LCD</t>
  </si>
  <si>
    <t>CEA/ECYT/0136</t>
  </si>
  <si>
    <t>MULTIFUNCIONAL BROTHER MFC 7440 LASER</t>
  </si>
  <si>
    <t>CEA/ECYT/0138</t>
  </si>
  <si>
    <t>CEA/ECYT/0146</t>
  </si>
  <si>
    <t xml:space="preserve">MULTIFUNCIONAL </t>
  </si>
  <si>
    <t>CEA/ECYT/0149</t>
  </si>
  <si>
    <t xml:space="preserve">SURFACE BOOK 2 HP </t>
  </si>
  <si>
    <t>CEA/MOBI/0002</t>
  </si>
  <si>
    <t xml:space="preserve"> SILLON de visita, base de acero tubular tipo tri-neo, color negro. Marca Requiez Modelo. RE-1221    1,450.00 C/U</t>
  </si>
  <si>
    <t>CEA/MOBI/0003</t>
  </si>
  <si>
    <t>CEA/MOBI/0004</t>
  </si>
  <si>
    <t>CEA/MOBI/0006</t>
  </si>
  <si>
    <t>CEA/MOBI/0020</t>
  </si>
  <si>
    <t>Mesa radial forrada en termo plastico en prensa membrana acero gris RM canto</t>
  </si>
  <si>
    <t>CEA/MOBI/0021</t>
  </si>
  <si>
    <t>SOFA DE TRES PLAZAS EN CURPIEL COLOR NEGRO</t>
  </si>
  <si>
    <t>CEA/MOBI/0022</t>
  </si>
  <si>
    <t>SILLA DE VISITAEN TELA COLOR NEGRO CON BASE TIPO TRINEO MOD. 1103 CT MCA. SEDIX</t>
  </si>
  <si>
    <t>CEA/MOBI/0023</t>
  </si>
  <si>
    <t>CAJA FUERTE COMBINACIÓN NORMAL, COLOR GRIS OSCURO .70X.44X.40MTRS.</t>
  </si>
  <si>
    <t>CEA/MOBI/0024</t>
  </si>
  <si>
    <t>SILLA DE VISITA  CON BRAZOS DE ACERO TUBULAR TIPO TRINEO  ASIENTO Y RESPALDO CON ESPUMA DE POLIURETANO FLEXIBLE MODELO: RE-1095 MARCA REQUIEZ</t>
  </si>
  <si>
    <t>CEA/MOBI/0025</t>
  </si>
  <si>
    <t>MESA TIPO PENINSULA FABRICADO EN AGLOMERADO SOLIDO DE 28MM DE ESPESOR DE ALTA RESISTENCIA, CON MOLDURA T MOULDING EN TODOS SUS CANTOS, CREDENZA CON PEDESTAL, CON LLAVE DE TRES CAJONES, DOS PAPELEROS Y UN CAJON ARCHIVADOR. LIBRERO CON PUERTAS ABATIBLE EN ALTA PRESION. MODELO: 2012204NL   LINEA SPAZIO MARCA GEBESA</t>
  </si>
  <si>
    <t>CEA/MOBI/0027</t>
  </si>
  <si>
    <t>MINISPLIT DE 1 TON MODELO: KF35GW/A MARCA RHEEM SERIE: JAA0GBA4013321011826</t>
  </si>
  <si>
    <t>CEA/MOBI/0028</t>
  </si>
  <si>
    <t>SILLA DE OFICINA PIEZA TRUE INNOVARIONS</t>
  </si>
  <si>
    <t>CEA/MOBI/0031</t>
  </si>
  <si>
    <t>MAQUINA DE ESCRIBIR Electrica marca IBM 2000</t>
  </si>
  <si>
    <t>CEA/MOBI/0032</t>
  </si>
  <si>
    <t>ESCRITORIO TRADICIONAL DE 1.50X70  DE 75 CM DE ANCHO</t>
  </si>
  <si>
    <t>CEA/MOBI/0034</t>
  </si>
  <si>
    <t>LIBRERO DE MADERA color café claro con 3 cajones lat. Izq. Y 3 der. 1 puerta central</t>
  </si>
  <si>
    <t>CEA/MOBI/0035</t>
  </si>
  <si>
    <t xml:space="preserve">CONJUNTO DE ESCRITORIOforrada en termo plastico en prensa membrana acero gris </t>
  </si>
  <si>
    <t>CEA/MOBI/0036</t>
  </si>
  <si>
    <t>PEDESTAL METALICO c/gaveta de archivo, 2 papelera gris medida frente.40 fondo .58 y alt. .72 mod PLZ</t>
  </si>
  <si>
    <t>CEA/MOBI/0038</t>
  </si>
  <si>
    <t>SILLON de visita, base de acero tubular tipo tri-neo, color negro. Marca Requiez Modelo. RE-1221</t>
  </si>
  <si>
    <t>CEA/MOBI/0040</t>
  </si>
  <si>
    <t>ARCHIVERO 4 CAJONES OFICION COM NEGRO</t>
  </si>
  <si>
    <t>CEA/MOBI/0041</t>
  </si>
  <si>
    <t>SILLA TUBULAR 4 patas cromadas, apilable jazpeada color café</t>
  </si>
  <si>
    <t>CEA/MOBI/0042</t>
  </si>
  <si>
    <t>MESA MULTI-USOS C/rodajas, patas metalicas de .68 x .38, color café</t>
  </si>
  <si>
    <t>CEA/MOBI/0043</t>
  </si>
  <si>
    <t>ARCHIVERO 3 cajones, color café</t>
  </si>
  <si>
    <t>CEA/MOBI/0044</t>
  </si>
  <si>
    <t xml:space="preserve">PEDESTAL METALICO c/gaveta de archivo y 2 papeleras gris </t>
  </si>
  <si>
    <t>CEA/MOBI/0045</t>
  </si>
  <si>
    <t>SILLON EJECUTIVO RESPALDO MEDIO</t>
  </si>
  <si>
    <t>CEA/MOBI/0047</t>
  </si>
  <si>
    <t>ARCHIVERO De melanina, 2 cajones, patas rodantes, color gris</t>
  </si>
  <si>
    <t>CEA/MOBI/0048</t>
  </si>
  <si>
    <t>CEA/MOBI/0050</t>
  </si>
  <si>
    <t>ESCRITORIO SEMIEJECUTIVO MOD. 1920 COMPUESTO DE PENINSULA DE 190X80 CM, PUENTE DE 120X50CM, CON CAJONERA DE 2 CAJONES Y 1 GAVETA, CANTOS DE PEVC DE 2 MM.</t>
  </si>
  <si>
    <t>CEA/MOBI/0051</t>
  </si>
  <si>
    <t xml:space="preserve">PEDESTAL METALICO c/gaveta de archivo, 2 paperas gris RM de .40x.58 altura .72 serie s/n, mod PLZ </t>
  </si>
  <si>
    <t>CEA/MOBI/0052</t>
  </si>
  <si>
    <t>CONJUNTO DE ESCRITORIO Mampara final , ducto interior, 1 cara troquela, 1 cara ciega</t>
  </si>
  <si>
    <t>CEA/MOBI/0054</t>
  </si>
  <si>
    <t>CEA/MOBI/0055</t>
  </si>
  <si>
    <t>SILLA DE VISITA EN TELA COLOR NEGRO CON BASE TIPO TRINEO MOD. 1103 CT MCA. SEDIX</t>
  </si>
  <si>
    <t>CEA/MOBI/0056</t>
  </si>
  <si>
    <t>SILLA EJECUTIVA FORRADA EN TELA</t>
  </si>
  <si>
    <t>CEA/MOBI/0057</t>
  </si>
  <si>
    <t xml:space="preserve">30 ANAQUEL                                                                                                                                                         4 POSTES DE LAMINA CALIBRE 14 MIDE: 2.20                                                                           5 ENTREPAÑOS DE LAMINA CALIBRE 20                                                                                    40 JUEGOS DE TORNILLO C/ TUERCA DE 1/2" X1/4" CON AMARRE DE DOS PUNTOS COLOR GRIS                                                                                                                                MODELO: 2204 (POSTE) 4020(ENTREPAÑO) MARCA GIFSA   </t>
  </si>
  <si>
    <t>CEA/MOBI/0059</t>
  </si>
  <si>
    <t>CON JUNTO DE ESCRITORIO MODULAR Mesa radial forrada en termo plastico, en prensa membrana</t>
  </si>
  <si>
    <t>CEA/MOBI/0061</t>
  </si>
  <si>
    <t>21 ESTANTES METALICOS COMPUESTOS DE : 4 POSTES DE 2.00 MTS CAL 14 6 ENTREPAÑOS DE 90X30 CAL .20 48 TORNILLOS CON TUERCA MARCA ANAQUELES LOPEZ. $ 1490 C/U</t>
  </si>
  <si>
    <t>CEA/MOBI/0062</t>
  </si>
  <si>
    <t>PEDESTAL METALICO con gaveta de archivo y 2 papeleras gris RM .40x.58 serie S/N. MOD PLZ</t>
  </si>
  <si>
    <t>CEA/MOBI/0063</t>
  </si>
  <si>
    <t>SILLA SECRETARIAL S/NUM. SERIE</t>
  </si>
  <si>
    <t>CEA/MOBI/0064</t>
  </si>
  <si>
    <t>PEDESTAL METALICO c/gaveta de archivo 2 papeleras gris RM .40X.58X.72 serie s/n, mod PLZ</t>
  </si>
  <si>
    <t>CEA/MOBI/0065</t>
  </si>
  <si>
    <t>PEDESTAL METALICO c/gaveta de archivo, 2 papelera gris mod. PLZ</t>
  </si>
  <si>
    <t>CEA/MOBI/0066</t>
  </si>
  <si>
    <t>SILLA de trabajo en tela color negro. Marca Requiez Modelo Rs-460</t>
  </si>
  <si>
    <t>CEA/MOBI/0067</t>
  </si>
  <si>
    <t>CEA/MOBI/0068</t>
  </si>
  <si>
    <t>ARCHIVERITO E288De melanina, color gris, 2 cajones y patas rodantes</t>
  </si>
  <si>
    <t>CEA/MOBI/0069</t>
  </si>
  <si>
    <t xml:space="preserve"> PEDESTAL METALICO c/gaveta de archivo y 2 papeleras gris RM .40X.58X.72 mod. PLZ</t>
  </si>
  <si>
    <t>CEA/MOBI/0070</t>
  </si>
  <si>
    <t xml:space="preserve"> CONJUNTO DE ESCRITORIO 4 maparas gris interior ducto 1 cara troquelada, 1 cara ciega</t>
  </si>
  <si>
    <t>CEA/MOBI/0072</t>
  </si>
  <si>
    <t>CEA/MOBI/0073</t>
  </si>
  <si>
    <t>1 SILLON de visita, base de acero tubular tipo tri-neo, color negro. Marca Requiez Modelo. RE-1221    1,450.00 C/U</t>
  </si>
  <si>
    <t>CEA/MOBI/0074</t>
  </si>
  <si>
    <t>CEA/MOBI/0075</t>
  </si>
  <si>
    <t>LIBRERO S40000 5 REP CHERRY S/N SERIE</t>
  </si>
  <si>
    <t>CEA/MOBI/0077</t>
  </si>
  <si>
    <t>PEDESTAL METALICO c/gaveta de archivo y 2 papeleras gris RM .40X.58X.72 mod. PLZ</t>
  </si>
  <si>
    <t>CEA/MOBI/0078</t>
  </si>
  <si>
    <t>CEA/MOBI/0081</t>
  </si>
  <si>
    <t>CEA/MOBI/0082</t>
  </si>
  <si>
    <t>CEA/MOBI/0083</t>
  </si>
  <si>
    <t>CEA/MOBI/0084</t>
  </si>
  <si>
    <t>VENTILADOR 48                                                         S/NUM. SERIE</t>
  </si>
  <si>
    <t>CEA/MOBI/0086</t>
  </si>
  <si>
    <t>SILLON DE VISITA BASE DE ACERO TUBULR TIPO TRINEO COLOR NEGRO MODELO RE-1221 MARCA REQUIEZ</t>
  </si>
  <si>
    <t>CEA/MOBI/0087</t>
  </si>
  <si>
    <t>ARCHIVERO TRES GAVETAS DOS PAPELERAS UN ARCHIVO COLOR PLATINO</t>
  </si>
  <si>
    <t>CEA/MOBI/0090</t>
  </si>
  <si>
    <t xml:space="preserve">EQUIPO DE MINISPLIT DE 1 TONELADA MARCA IBECO SERIE: </t>
  </si>
  <si>
    <t>CEA/MOBI/0092</t>
  </si>
  <si>
    <t>ESCRITORIO semiejecutivo en panel art color platinium Marca: GEBESA Modelo: 23020</t>
  </si>
  <si>
    <t>CEA/MOBI/0093</t>
  </si>
  <si>
    <t>CEA/MOBI/0097</t>
  </si>
  <si>
    <t>CEA/MOBI/0099</t>
  </si>
  <si>
    <t>ARCHIVERO VERTICAL DE TRES GAVETAS T/O CON LLAVE, GUIAS PARA ARCHIVO, FABRICADO EN MELAMINA, MCA. JATA S/N</t>
  </si>
  <si>
    <t>CEA/MOBI/0100</t>
  </si>
  <si>
    <t>MESA TIPO PENINSULA , PEDESTAL CORTO CON TRES CAJONES , DOS CAJONES PAPELEROS Y UN CAJON ARCHIVADOR EL PEDESTAL CON LLAVE ALTA PRESION, MODELO 2014304NL, LINEA SPAZIO MARCA GEBESA</t>
  </si>
  <si>
    <t>CEA/MOBI/0101</t>
  </si>
  <si>
    <t>MESITA PARA TELEFONO Color nogal oscuro, patas rodantes, bastidores metalicos</t>
  </si>
  <si>
    <t>CEA/MOBI/0103</t>
  </si>
  <si>
    <t>CEA/MOBI/0104</t>
  </si>
  <si>
    <t>SILLA TUBULAR Cromada forrada en pliana color café</t>
  </si>
  <si>
    <t>CEA/MOBI/0105</t>
  </si>
  <si>
    <t>SILLA GIRATORIA Imitación piel color negra</t>
  </si>
  <si>
    <t>CEA/MOBI/0106</t>
  </si>
  <si>
    <t>CEA/MOBI/0108</t>
  </si>
  <si>
    <t>CEA/MOBI/0109</t>
  </si>
  <si>
    <t>SILLA GENOVA S/NUM. SERIE</t>
  </si>
  <si>
    <t>CEA/MOBI/0110</t>
  </si>
  <si>
    <t>CEA/MOBI/0111</t>
  </si>
  <si>
    <t>CEA/MOBI/0112</t>
  </si>
  <si>
    <t>FRIGOBAR ACERO INOXISABLE</t>
  </si>
  <si>
    <t>CEA/MOBI/0113</t>
  </si>
  <si>
    <t>CONJUNTO DE ESCRITORIO Mesa radial forrada en termo plastico, en prensa membrana</t>
  </si>
  <si>
    <t>CEA/MOBI/0114</t>
  </si>
  <si>
    <t>CEA/MOBI/0117</t>
  </si>
  <si>
    <t>SAMSUNG TV LCD DE 22 " SERIE: AZH93CGS8000596</t>
  </si>
  <si>
    <t>CEA/MOBI/0119</t>
  </si>
  <si>
    <t>CEA/MOBI/0120</t>
  </si>
  <si>
    <t xml:space="preserve">MESA ESQUINA c/cubierta cristal .60X.60 serie S/N </t>
  </si>
  <si>
    <t>CEA/MOBI/0122</t>
  </si>
  <si>
    <t xml:space="preserve">MESA RADIAL forrada en termo plastico en prensa membrana acero gris </t>
  </si>
  <si>
    <t>CEA/MOBI/0124</t>
  </si>
  <si>
    <t>ESCRITORIO Imitacion madera color natural, 2 cajones a lado, 1.75 x 75 x .75</t>
  </si>
  <si>
    <t>CEA/MOBI/0125</t>
  </si>
  <si>
    <t>SILLA SECRETARIAL C2008 S/NUM. SERIE</t>
  </si>
  <si>
    <t>CEA/MOBI/0126</t>
  </si>
  <si>
    <t>CONJUNTO SEMIEJECUTIVO 160X175</t>
  </si>
  <si>
    <t>CEA/MOBI/0129</t>
  </si>
  <si>
    <t>CEA/MOBI/0130</t>
  </si>
  <si>
    <t>CEA/MOBI/0132</t>
  </si>
  <si>
    <t>SILLON FIJO c/brazos tapizado  azul zarifo serie S/N</t>
  </si>
  <si>
    <t>CEA/MOBI/0133</t>
  </si>
  <si>
    <t>CEA/MOBI/0136</t>
  </si>
  <si>
    <t>CEA/MOBI/0137</t>
  </si>
  <si>
    <t>CEA/MOBI/0138</t>
  </si>
  <si>
    <t>CEA/MOBI/0139</t>
  </si>
  <si>
    <t>CEA/MOBI/0140</t>
  </si>
  <si>
    <t>ARCHIVERO COLOR GRIS OSCURO, 3 GAVETAS</t>
  </si>
  <si>
    <t>CEA/MOBI/0141</t>
  </si>
  <si>
    <t>SILLON FIJO P/VISITAS tapizado en tela azul zafiro</t>
  </si>
  <si>
    <t>CEA/MOBI/0142</t>
  </si>
  <si>
    <t>MESA REDONDA De 1.20 D c/pedestal</t>
  </si>
  <si>
    <t>CEA/MOBI/0146</t>
  </si>
  <si>
    <t>PEDESTAL METALICO c/gaveta de archivo 2 papeleras gris RM .40X.58X.72 serie s/n mod PLZ</t>
  </si>
  <si>
    <t>CEA/MOBI/0147</t>
  </si>
  <si>
    <t>TELEFONO INALAMBRICO DIGITAL DE 2.4 GHZ MOD. KX-TG2831LAB S:5HAABO33525</t>
  </si>
  <si>
    <t>CEA/MOBI/0148</t>
  </si>
  <si>
    <t xml:space="preserve"> TELEFONO MULTIMEDIA MANOS LIBRES, MODELO KX-T7730X SERIE: 4GBSC304542</t>
  </si>
  <si>
    <t>CEA/MOBI/0149</t>
  </si>
  <si>
    <t>TELEFONO Digital pantalla grande manos libre mod. KX-T7536LA S:4HCVE002129</t>
  </si>
  <si>
    <t>CEA/MOBI/0150</t>
  </si>
  <si>
    <t>CENTRAL TELEFONICA DIGITAL D12 HYBRID SYSTEM, 8 LINEAS 16 EXT. SERIE: 4KBVH055333</t>
  </si>
  <si>
    <t>CEA/MOBI/0151</t>
  </si>
  <si>
    <t>TARJETA INTERCONEXION DE SISTEMAS</t>
  </si>
  <si>
    <t>CEA/MOBI/0153</t>
  </si>
  <si>
    <t>CEA/MOBI/0154</t>
  </si>
  <si>
    <t xml:space="preserve">MUEBLE YORK CVE. S208N                                           </t>
  </si>
  <si>
    <t>CEA/MOBI/0155</t>
  </si>
  <si>
    <t>CEA/MOBI/0156</t>
  </si>
  <si>
    <t>CEA/MOBI/0157</t>
  </si>
  <si>
    <t>CEA/MOBI/0158</t>
  </si>
  <si>
    <t xml:space="preserve"> SILLA APILABLES Tubulares, forradas en pliana color negro</t>
  </si>
  <si>
    <t>CEA/MOBI/0159</t>
  </si>
  <si>
    <t>TELEFONO PANASONIC KX-T7730X   SN:  7FAKC070221</t>
  </si>
  <si>
    <t>CEA/MOBI/0161</t>
  </si>
  <si>
    <t>SILLA USO RUDO EN PIEL NEGRA</t>
  </si>
  <si>
    <t>CEA/MOBI/0162</t>
  </si>
  <si>
    <t>CEA/MOBI/0163</t>
  </si>
  <si>
    <t>CEA/MOBI/0164</t>
  </si>
  <si>
    <t xml:space="preserve">TELEFONO PANASONIC Modelo KX-TS108ME </t>
  </si>
  <si>
    <t>CEA/MOBI/0166</t>
  </si>
  <si>
    <t>CEA/MOBI/0167</t>
  </si>
  <si>
    <t>CEA/MOBI/0168</t>
  </si>
  <si>
    <t>REFRIGERADOR - CONGELADOR TURBOPLUS COLOR BLANCO NACARADO MOD. TBX88YB01 S:200D3414P002</t>
  </si>
  <si>
    <t>CEA/MOBI/0169</t>
  </si>
  <si>
    <t>SILLON FIJO tapizado azul zafiro, serie s/n, mod. RO3T</t>
  </si>
  <si>
    <t>CEA/MOBI/0170</t>
  </si>
  <si>
    <t>SILLA DE VISITA TAPIZADA EN TELA</t>
  </si>
  <si>
    <t>CEA/MOBI/0171</t>
  </si>
  <si>
    <t>CEA/MOBI/0172</t>
  </si>
  <si>
    <t>SILLON EJECUTIVO RESPALDO BAJO ASIENTO Y RESPALDO TAPIZADO EN TELA  MODELO RE-1221 MARCA REQUIEZ</t>
  </si>
  <si>
    <t>CEA/MOBI/0173</t>
  </si>
  <si>
    <t>DISPENSADOR DE AGUA DE DOS TOMAS FRIA/CALIENTE, MOD. DC.300 S:44755</t>
  </si>
  <si>
    <t>CEA/MOBI/0174</t>
  </si>
  <si>
    <t>FRIGOBAR MODELO SR-2570M POWER SUPPLY 120 VOLTS, 60 HZ. S:051148280</t>
  </si>
  <si>
    <t>CEA/MOBI/0175</t>
  </si>
  <si>
    <t>100 ESTANTES METALICOS COMPUESTOS DE : 4 POSTES DE 2.00 MTS CAL 14 6 ENTREPAÑOS DE 90X30 CAL .20 48 TORNILLOS CON TUERCA MARCA ANAQUELES LOPEZ. $ 1490 C/U</t>
  </si>
  <si>
    <t>CEA/MOBI/0177</t>
  </si>
  <si>
    <t>CEA/MOBI/0178</t>
  </si>
  <si>
    <t>CEA/MOBI/0179</t>
  </si>
  <si>
    <t>ESCRITORIO Imitacion madera color natural,</t>
  </si>
  <si>
    <t>CEA/MOBI/0180</t>
  </si>
  <si>
    <t>SILLA EJECUTIVA COLOR NEGRO MODELO 8150F</t>
  </si>
  <si>
    <t>CEA/MOBI/0181</t>
  </si>
  <si>
    <t>SUPERFICI E DE TRABAJO Mesa radial forrada en termo plastico, en prensa membrana</t>
  </si>
  <si>
    <t>CEA/MOBI/0182</t>
  </si>
  <si>
    <t xml:space="preserve">ESCRITORIO EN MADERA TERMINADO MALAMINICO ON MEDIDAS DE 1.60X.70X75 Y LATERAL IZQ. </t>
  </si>
  <si>
    <t>CEA/MOBI/0183</t>
  </si>
  <si>
    <t xml:space="preserve">AIRE ACONDICIONADO MINISPLIT MARCA CARRIER ALFA DE 1 TONELADA MODELO HPC-123CGE SERIE: 811953404710525130212 </t>
  </si>
  <si>
    <t>CEA/MOBI/0184</t>
  </si>
  <si>
    <t>ENFRIADOR DE AGUA DOS TOMAS</t>
  </si>
  <si>
    <t>CEA/MOBI/0185</t>
  </si>
  <si>
    <t>MESITA Imitacion madera, chica para telefono, color café de 50 x 50 x 60</t>
  </si>
  <si>
    <t>CEA/MOBI/0186</t>
  </si>
  <si>
    <t xml:space="preserve"> MESA RECTAGULARS COLOR OSTION PATAS TUBULARES ( 763.50 C/U) </t>
  </si>
  <si>
    <t>CEA/MOBI/0187</t>
  </si>
  <si>
    <t xml:space="preserve">MINISPLIT MARCA RHEEM DE 1 TONELADAS </t>
  </si>
  <si>
    <t>CEA/MOBI/0188</t>
  </si>
  <si>
    <t>CEA/MOBI/0189</t>
  </si>
  <si>
    <t>SOFADE UNA PLAZA EN CURPIEL COLOR NEGRO</t>
  </si>
  <si>
    <t>CEA/MOBI/0190</t>
  </si>
  <si>
    <t>BANCA DE TRABAJO RE-1033, A BASE DE METAL FORRADA EN TELA COLOR NEGRO</t>
  </si>
  <si>
    <t>CEA/MOBI/0191</t>
  </si>
  <si>
    <t>CEA/MOBI/0192</t>
  </si>
  <si>
    <t>MAMPARA UNIVERSAL PARA MODULO SECRETARIA MODELO 2O815 LINEA SPAZIO MARCA GEBESA</t>
  </si>
  <si>
    <t>CEA/MOBI/0193</t>
  </si>
  <si>
    <t>TELEFONO PANASONIC KX-T7730X   SN:  7JCKC147321</t>
  </si>
  <si>
    <t>CEA/MOBI/0194</t>
  </si>
  <si>
    <t>ARCHIVERO DE MADERA 4 gavetas color nogal oscuro, bastidores metalicos</t>
  </si>
  <si>
    <t>CEA/MOBI/0195</t>
  </si>
  <si>
    <t>MESA PARA COMPUTADORA color café oscuro</t>
  </si>
  <si>
    <t>CEA/MOBI/0196</t>
  </si>
  <si>
    <t>CEA/MOBI/0197</t>
  </si>
  <si>
    <t>ARCHIVERO DE MADERA 4 gavetas color nogal claro</t>
  </si>
  <si>
    <t>CEA/MOBI/0198</t>
  </si>
  <si>
    <t>MODULO L 290X250X75 2 ARCHIV EROS</t>
  </si>
  <si>
    <t>CEA/MOBI/0199</t>
  </si>
  <si>
    <t>CEA/MOBI/0200</t>
  </si>
  <si>
    <t>CEA/MOBI/0201</t>
  </si>
  <si>
    <t>SILLA APILABLES Tubulares, forradas en pliana color negro</t>
  </si>
  <si>
    <t>CEA/MOBI/0202</t>
  </si>
  <si>
    <t>CEA/MOBI/0203</t>
  </si>
  <si>
    <t>BANCO ACOLCHADO</t>
  </si>
  <si>
    <t>CEA/MOBI/0204</t>
  </si>
  <si>
    <t>ARCHIVERO DE MADERA 3 cajones de formaica color nogal, con bastidores metalicos</t>
  </si>
  <si>
    <t>CEA/MOBI/0205</t>
  </si>
  <si>
    <t>SUPERFICIE DE TRABAJO Cubierta forrada de tomo plastico en prensa membrana  can-</t>
  </si>
  <si>
    <t>CEA/MOBI/0206</t>
  </si>
  <si>
    <t>CAMARA DIGITAL MOD. CYBER-SHOT 4.1 MEGA PIXELS DSC-S90 S:521022</t>
  </si>
  <si>
    <t>CEA/MOBI/0207</t>
  </si>
  <si>
    <t xml:space="preserve">MINISPLIT MARCA RHEEM DE 1 TONELADAS  SERIE: </t>
  </si>
  <si>
    <t>CEA/MOBI/0208</t>
  </si>
  <si>
    <t>CEA/MOBI/0209</t>
  </si>
  <si>
    <t>PEDESTAL c/gaveta de archivo, 2 papelera gris RM .40x.58, altura .72  serie s/n mod PLZ</t>
  </si>
  <si>
    <t>CEA/MOBI/0210</t>
  </si>
  <si>
    <t>CEA/MOBI/0211</t>
  </si>
  <si>
    <t>CEA/MOBI/0212</t>
  </si>
  <si>
    <t>HORNO MICROHONDAS MOD. NN-953WM SERIE:6M53200092</t>
  </si>
  <si>
    <t>CEA/MOBI/0213</t>
  </si>
  <si>
    <t>ESCRITORIO EJECUTIVO MOD. 1921 COMPUESTO DE PENINSULA DE 190CMX80, PUENTE DE 90 X 50, CREDENZA DE 190 X 50, CAJONERA DE 2 CAJONES Y 1  GAVETA, FABRICADO DE MELAMINA DE 28 MM. DE ESPESOR CONSTANTE, CON CANTOS DE PVC DE 2 MM. CON LIBRERO S/CREDENZA CON 4 PU</t>
  </si>
  <si>
    <t>CEA/MOBI/0214</t>
  </si>
  <si>
    <t>SOFA DE DOS PLAZAS EN CURPIEL COLOR NEGRO</t>
  </si>
  <si>
    <t>CEA/MOBI/0215</t>
  </si>
  <si>
    <t>REFRIGERADOR 16" 2 puertas 16 pies cubicos, deshielo automatico. Marca: Whirpool Modelo: WRT16YADQ.BLA</t>
  </si>
  <si>
    <t>CEA/MOBI/0216</t>
  </si>
  <si>
    <t>SILLA de visita con brazos de acero tubular tipo trineo, tapizado en tela. Marca REQUIEZ Modelo RE-1095</t>
  </si>
  <si>
    <t>CEA/MOBI/0217</t>
  </si>
  <si>
    <t>TELEFONO PANASONIC KX-T7730X   SN:  7JCKC147311</t>
  </si>
  <si>
    <t>CEA/MOBI/0218</t>
  </si>
  <si>
    <t>CEA/MOBI/0219</t>
  </si>
  <si>
    <t>CEA/MOBI/0220</t>
  </si>
  <si>
    <t>CONJUNTO MOD. DE ESCRITORIO Mesa radial, forrada en termo plastico, en prensa</t>
  </si>
  <si>
    <t>CEA/MOBI/0221</t>
  </si>
  <si>
    <t xml:space="preserve">MODULO L 290X300X75 C/ ARCHIVERO </t>
  </si>
  <si>
    <t>CEA/MOBI/0222</t>
  </si>
  <si>
    <t>CEA/MOBI/0223</t>
  </si>
  <si>
    <t>CEA/MOBI/0224</t>
  </si>
  <si>
    <t>CEA/MOBI/0225</t>
  </si>
  <si>
    <t>CEA/MOBI/0226</t>
  </si>
  <si>
    <t xml:space="preserve">ARCHIVERO DE MADERA 4 cajones </t>
  </si>
  <si>
    <t>CEA/MOBI/0227</t>
  </si>
  <si>
    <t>CEA/MOBI/0228</t>
  </si>
  <si>
    <t>CEA/MOBI/0229</t>
  </si>
  <si>
    <t>CEA/MOBI/0230</t>
  </si>
  <si>
    <t>CEA/MOBI/0231</t>
  </si>
  <si>
    <t>CEA/MOBI/0232</t>
  </si>
  <si>
    <t>MESA DE CENTRO  canto piramide, moldura piramide .91X.61 serie S/N</t>
  </si>
  <si>
    <t>CEA/MOBI/0233</t>
  </si>
  <si>
    <t xml:space="preserve">MESA DE ESQUINA c/moldura piramide y canto piramide .61X.61 serie S/N </t>
  </si>
  <si>
    <t>CEA/MOBI/0234</t>
  </si>
  <si>
    <t>MESA DE CENTRO c/cubierta de cristal  serie S/N, mod. RRM20P</t>
  </si>
  <si>
    <t>CEA/MOBI/0235</t>
  </si>
  <si>
    <t>SOFA de 2 plazas con estructuras de madera, color negro, tapizados en tela Marca OFIPLAN Modelo MATISSE2</t>
  </si>
  <si>
    <t>CEA/MOBI/0236</t>
  </si>
  <si>
    <t>CEA/MOBI/0237</t>
  </si>
  <si>
    <t>ARCHIVERO lateral 2 gavetas, marca Riviera, modelo: 236FFLZ-204S306</t>
  </si>
  <si>
    <t>CEA/MOBI/0238</t>
  </si>
  <si>
    <t>CEA/MOBI/0239</t>
  </si>
  <si>
    <t>MINISPLIT DE 2 TON MARCA RHEEM</t>
  </si>
  <si>
    <t>CEA/MOBI/0240</t>
  </si>
  <si>
    <t>CAJA FUERTE MARCA FULTON CON COMBINACION</t>
  </si>
  <si>
    <t>CEA/MOBI/0241</t>
  </si>
  <si>
    <t>CEA/MOBI/0245</t>
  </si>
  <si>
    <t>SILLON FIJO VISITAS c/brazos, base trineo en pielet negro serie S/N</t>
  </si>
  <si>
    <t>CEA/MOBI/0246</t>
  </si>
  <si>
    <t>CEA/MOBI/0249</t>
  </si>
  <si>
    <t>CEA/MOBI/0250</t>
  </si>
  <si>
    <t>TELEVISION pantalla color 40", marca sony, modelo: KDL-400S2000</t>
  </si>
  <si>
    <t>CEA/MOBI/0251</t>
  </si>
  <si>
    <t>AR5CHIVERO TRES GAVETAS 103 X 91 COLOR BEIGE</t>
  </si>
  <si>
    <t>CEA/MOBI/0252</t>
  </si>
  <si>
    <t>SILLA EJECUTIVA NEGRA MARCA VENETTO</t>
  </si>
  <si>
    <t>CEA/MOBI/0253</t>
  </si>
  <si>
    <t>CEA/MOBI/0254</t>
  </si>
  <si>
    <t>GABINETE  ESMALTADO EN LAMINA ROLADA EN FRIO,  LATERALES EN MDF DE 1.60 MM ACABADO EN DOS CARAS, CON CANTO VYNIL PERIMETRAL, INCLUYE CHAPA DE SEGURIDAD. MODELO 14LCP12, LINEA OPTIMUS MARCA GEBESA</t>
  </si>
  <si>
    <t>CEA/MOBI/0255</t>
  </si>
  <si>
    <t>ARCHIVERO VERTICAL FABRICADO EN IMITACION MADERA DE DOS GAVETAS TAMAÑO OFICIO, CON CUBIERTA Y CUERPO DE PANEL ART, MOLDURAS DE PLASTICO EN TODOS LOS COSTADOS CON JALADERAS  MODELO: 2O32OONL LINEA SPAZIO MARCA GEBESA</t>
  </si>
  <si>
    <t>CEA/MOBI/0256</t>
  </si>
  <si>
    <t>CEA/MOBI/0257</t>
  </si>
  <si>
    <t>CONJUNTO DE ESCRITORIO Mampara intermedia gris ducto intermedio 2 caras troqueladas, estructura meta-</t>
  </si>
  <si>
    <t>CEA/MOBI/0259</t>
  </si>
  <si>
    <t>SUPERFICIE DE TRABAJO Cubierta forrada en termoplastico en prensa membrana canto cascada</t>
  </si>
  <si>
    <t>CEA/MOBI/0260</t>
  </si>
  <si>
    <t>CEA/MOBI/0261</t>
  </si>
  <si>
    <t>CEA/MOBI/0262</t>
  </si>
  <si>
    <t>SILLON FIJOc/brazos tapizado  azul zarifo serie S/N</t>
  </si>
  <si>
    <t>CEA/MOBI/0263</t>
  </si>
  <si>
    <t>CEA/MOBI/0264</t>
  </si>
  <si>
    <t>CONJUNTO DE ESCRITORIO Cubierta forrada en termo plastico en prensa membrana can-</t>
  </si>
  <si>
    <t>CEA/MOBI/0266</t>
  </si>
  <si>
    <t>SILLON ejecutivo de trabajo ajustable con resplado bajo color negro. Marca Requiez Modelo: RE-1201</t>
  </si>
  <si>
    <t>CEA/MOBI/0267</t>
  </si>
  <si>
    <t>CEA/MOBI/0268</t>
  </si>
  <si>
    <t>CEA/MOBI/0270</t>
  </si>
  <si>
    <t>LIBRERO con 5 repisas  a $ 1,450.44 cada uno</t>
  </si>
  <si>
    <t>CEA/MOBI/0271</t>
  </si>
  <si>
    <t xml:space="preserve">GABINETE DE MADERA 3 niveles, serie S/N, </t>
  </si>
  <si>
    <t>CEA/MOBI/0272</t>
  </si>
  <si>
    <t>CEA/MOBI/0274</t>
  </si>
  <si>
    <t xml:space="preserve">ESCRITORIO EJECUTIVO MOD. 1921 COMPUESTO DE PENINSULA DE 190CM X 80, UENTE DE 90X50, CREDENZA DE 190X50, CAJONERA 2 CAJONES Y 1 GAVETA, FABRICADO DE MELAMINA DE 29 MM DE ESPESOR CONSTANTE, CON CANTOS DE PVC DE 2 MM. MARCA IDESA CON LIBRERO S/CREDENZA CON </t>
  </si>
  <si>
    <t>CEA/MOBI/0275</t>
  </si>
  <si>
    <t>LIBRERO DE MADERA 4 ENTREPAÑOS COLOR GUINDA</t>
  </si>
  <si>
    <t>CEA/MOBI/0276</t>
  </si>
  <si>
    <t>CEA/MOBI/0278</t>
  </si>
  <si>
    <t>ARCHIVERO VERTICAL DE 4 GAVETAS TAMAÑO OFICIO CON CUBIERTA Y CUERPO EN PANEL ART MODELO: 2034004NL LINEA SPAZIO MARCA GEBESA</t>
  </si>
  <si>
    <t>CEA/MOBI/0279</t>
  </si>
  <si>
    <t>PEDESTAL METALICO c/gaveta de archivo 2 papeleras gris RM serie S/N,mod. PLZ</t>
  </si>
  <si>
    <t>CEA/MOBI/0280</t>
  </si>
  <si>
    <t>GABINETE UNIVERSAL METALICO COLOR BEIGE DE 90X40X1.80 CON ENTREPAÑO Y DOS PUERTAS C/LLAVE</t>
  </si>
  <si>
    <t>CEA/MOBI/0281</t>
  </si>
  <si>
    <t>CEA/MOBI/0283</t>
  </si>
  <si>
    <t xml:space="preserve">SUPERFICIE DE TRABAJO CUBIERTA FORRADA EN TERMO PLASTICO EN PRENSA MEMBRANA CANTO CASCADA SN MOD. MEC96M MAMPARA INTERMEDIA GRIS DUCTO DOS CARAS TROQUELADAS ESTRUCTURA METALICA GRIS </t>
  </si>
  <si>
    <t>CEA/MOBI/0284</t>
  </si>
  <si>
    <t>CAMARA FOTOGRÁFICA DIGITAL MARCA SONY MODELO DSC-W55, MEMORIA INCLUIDA DE 2GB, BATERIA NO-BG1 NO SERIE: 01-3780842-I</t>
  </si>
  <si>
    <t>CEA/MOBI/0285</t>
  </si>
  <si>
    <t>CEA/MOBI/0286</t>
  </si>
  <si>
    <t>PEDESTAL METALICO c/gaveta de archivo, 2 papelera gris RM .40x.58, serie S/N, mod. PLZ</t>
  </si>
  <si>
    <t>CEA/MOBI/0287</t>
  </si>
  <si>
    <t>CEA/MOBI/0288</t>
  </si>
  <si>
    <t>CEA/MOBI/0289</t>
  </si>
  <si>
    <t>CAMARA DIGITAL SONY DSC-J10</t>
  </si>
  <si>
    <t>CEA/MOBI/0290</t>
  </si>
  <si>
    <t>CEA/MOBI/0291</t>
  </si>
  <si>
    <t>TELEFONO PANASONIC</t>
  </si>
  <si>
    <t>CEA/MOBI/0292</t>
  </si>
  <si>
    <t>LIBRERO 5 REPISAS METORPOLITAN       S/NUM. SERIE</t>
  </si>
  <si>
    <t>CEA/MOBI/0293</t>
  </si>
  <si>
    <t>CEA/MOBI/0294</t>
  </si>
  <si>
    <t>CEA/MOBI/0295</t>
  </si>
  <si>
    <t>SILLON confortable de 1 plaza con asiento y respaldo, color negro marca Riviera Modelo RC-1043/B</t>
  </si>
  <si>
    <t>CEA/MOBI/0296</t>
  </si>
  <si>
    <t>CEA/MOBI/0299</t>
  </si>
  <si>
    <t>CEA/MOBI/0300</t>
  </si>
  <si>
    <t>CEA/MOBI/0301</t>
  </si>
  <si>
    <t>CEA/MOBI/0302</t>
  </si>
  <si>
    <t>CAMARA DIGITAL CYBERSHOT SONY</t>
  </si>
  <si>
    <t>CEA/MOBI/0303</t>
  </si>
  <si>
    <t>CEA/MOBI/0304</t>
  </si>
  <si>
    <t>ARCHIVERO Lateral Metalico 3 gavetas</t>
  </si>
  <si>
    <t>CEA/MOBI/0305</t>
  </si>
  <si>
    <t>MUEBLE DE MADERA PARA COLOCACION DE CARPETAS                      S/NUM. SERIE</t>
  </si>
  <si>
    <t>CEA/MOBI/0306</t>
  </si>
  <si>
    <t>CEA/MOBI/0308</t>
  </si>
  <si>
    <t>CEA/MOBI/0309</t>
  </si>
  <si>
    <t>CONJUNTO DE ESCRITORIO Mesa radial peninsular, forrada en termo plastico, en prensa</t>
  </si>
  <si>
    <t>CEA/MOBI/0310</t>
  </si>
  <si>
    <t>PEDESTAL METALICO FIJO c/gaveta de archivo 2 papeleras gris RM serie S/N,mod. PLZ .40x.58 alt .72</t>
  </si>
  <si>
    <t>CEA/MOBI/0311</t>
  </si>
  <si>
    <t>LIBRERO 1.88 cm y 2.10 altura</t>
  </si>
  <si>
    <t>CEA/MOBI/0312</t>
  </si>
  <si>
    <t>3 MUEBLES Librero para achivo</t>
  </si>
  <si>
    <t>CEA/MOBI/0313</t>
  </si>
  <si>
    <t>SILLA DE VISITAS EN TELA COLOR NEGRO CON BASE TIPO TRINEO MOD. 1103 CT MCA. SEDIX</t>
  </si>
  <si>
    <t>CEA/MOBI/0315</t>
  </si>
  <si>
    <t>SILLA DE VISITA FIJO BASE DE ACERO TUBULAR TIPO TRINEO COLOR NEGRO. MODELO RE-1225  MARCA REQUIEZ</t>
  </si>
  <si>
    <t>CEA/MOBI/0316</t>
  </si>
  <si>
    <t>CEA/MOBI/0317</t>
  </si>
  <si>
    <t>CAMARA DE VIDEO DIGITAL MARCA SONY MODELO DVD HANDYCAM DCR-DVD810, BATERIA INFOLITHIUM . NO DE SERIE: S01-1129699-N</t>
  </si>
  <si>
    <t>CEA/MOBI/0318</t>
  </si>
  <si>
    <t>TELEVISOR Modelo CCA132AT01</t>
  </si>
  <si>
    <t>CEA/MOBI/0319</t>
  </si>
  <si>
    <t>ARCHIVERO Lateral Metalico 4 gavetas</t>
  </si>
  <si>
    <t>CEA/MOBI/0320</t>
  </si>
  <si>
    <t>CEA/MOBI/0321</t>
  </si>
  <si>
    <t xml:space="preserve">PEDESTAL METALICO FIJO c/gaveta de archivo y 2 papeleras gris </t>
  </si>
  <si>
    <t>CEA/MOBI/0323</t>
  </si>
  <si>
    <t>CONJUNTO MODULAR Cubierta forrada de termo plastico canto cascada en prensa membrana mod. Cosm1</t>
  </si>
  <si>
    <t>CEA/MOBI/0324</t>
  </si>
  <si>
    <t>CONJUNTO DE ESCRITORIO Mampara intermedia gris ducto intermedio 2 caras troqueladas</t>
  </si>
  <si>
    <t>CEA/MOBI/0325</t>
  </si>
  <si>
    <t>SILLON GIRATORIO c/brazos, sistema neumatico, tapizado tela azul zafiro serie s/n mod R01T</t>
  </si>
  <si>
    <t>CEA/MOBI/0326</t>
  </si>
  <si>
    <t>CEA/MOBI/0331</t>
  </si>
  <si>
    <t>ARCHIVERO DE MADERA Color nogal c/4 cajones med. 1.26 x .50</t>
  </si>
  <si>
    <t>CEA/MOBI/0332</t>
  </si>
  <si>
    <t xml:space="preserve">MESA REDONDA C/base tipo estrella en prensa membrana acero gris RM canto cascada </t>
  </si>
  <si>
    <t>CEA/MOBI/0333</t>
  </si>
  <si>
    <t xml:space="preserve">CONJUNTO DE ESCRITORIO Cubierta forrada termo plastico, en prensa membrana </t>
  </si>
  <si>
    <t>CEA/MOBI/0338</t>
  </si>
  <si>
    <t>CON JUNTO DE ESCRITORIO Cubierta forrada termoplastico  prensa membrana, derecho</t>
  </si>
  <si>
    <t>CEA/MOBI/0339</t>
  </si>
  <si>
    <t>SILLON FIJO Forrado en tela azul zafiro, mod. T3</t>
  </si>
  <si>
    <t>CEA/MOBI/0340</t>
  </si>
  <si>
    <t>SILLON FIJO Tapizado en tela azul zafiro, serie S/N, mod. R03T</t>
  </si>
  <si>
    <t>CEA/MOBI/0342</t>
  </si>
  <si>
    <t>SILLON EJECUTIVO S/NUM. SERIE</t>
  </si>
  <si>
    <t>CEA/MOBI/0347</t>
  </si>
  <si>
    <t>SILLON GIRATORIO c/brazos, c/sistema neumatico, tapizada tela azul zafiro, serie s/n mod R0JT</t>
  </si>
  <si>
    <t>CEA/MOBI/0352</t>
  </si>
  <si>
    <t>SUMINISTRO E INSTALACION DE EQUIPO MINISPLIT DE 1.5 TONELADAS MARCA RHEEM SERIE: JAA0GBB4066609000934</t>
  </si>
  <si>
    <t>CEA/MOBI/0353</t>
  </si>
  <si>
    <t>SUMINISTRO E INSTALACION DE EQUIPO MINISPLIT DE 1.5 TONELADAS MARCA RHEEM  SERIE: JAA0GBB4066609000911</t>
  </si>
  <si>
    <t>CEA/MOBI/0354</t>
  </si>
  <si>
    <t>MODULO L 150X170X75 C/ ARCHIVERO</t>
  </si>
  <si>
    <t>CEA/MOBI/0355</t>
  </si>
  <si>
    <t>CEA/MOBI/0356</t>
  </si>
  <si>
    <t>CEA/MOBI/0357</t>
  </si>
  <si>
    <t>MESA DE COMPUTO color café claro</t>
  </si>
  <si>
    <t>CEA/MOBI/0359</t>
  </si>
  <si>
    <t>MINISPLIT De dos toneladas Modelo LS-T242ACM(N) SERIE:305KA00092</t>
  </si>
  <si>
    <t>CEA/MOBI/0360</t>
  </si>
  <si>
    <t>MINISPLIT De una tonelada Modelo LS-R122BAG(N) SERIE:303KA01334</t>
  </si>
  <si>
    <t>CEA/MOBI/0361</t>
  </si>
  <si>
    <t>MINISPLIT De una tonelada Modelo LS-R122BAG(N) SERIE:212KA00387</t>
  </si>
  <si>
    <t>CEA/MOBI/0363</t>
  </si>
  <si>
    <t>AIRE ACONDICIONADO MINISPLIT MARCA CARRIER BRYANT DE 1.5 TONELADA SOLO FRIO</t>
  </si>
  <si>
    <t>CEA/MOBI/0364</t>
  </si>
  <si>
    <t>CEA/MOBI/0366</t>
  </si>
  <si>
    <t xml:space="preserve">ARCHIVERO VERTICAL 4 cajones </t>
  </si>
  <si>
    <t>CEA/MOBI/0367</t>
  </si>
  <si>
    <t>ARCHIVERO  LB 4 Gavetas</t>
  </si>
  <si>
    <t>CEA/MOBI/0369</t>
  </si>
  <si>
    <t>CEA/MOBI/0370</t>
  </si>
  <si>
    <t>CEA/MOBI/0372</t>
  </si>
  <si>
    <t xml:space="preserve">SILLON c/brazos, tapizado pielet negro </t>
  </si>
  <si>
    <t>CEA/MOBI/0375</t>
  </si>
  <si>
    <t xml:space="preserve">MESA RADIAL Cubierta forrada termo plastico en prensa membrana </t>
  </si>
  <si>
    <t>CEA/MOBI/0376</t>
  </si>
  <si>
    <t>MESA DE JUNTAS CIRCULAR DE 1.50 MTS FABRICADO CON CUBIERTA Y CUERPO EN PANEL ART MOLDURA PLASTICA CON BASE DE CRUCETA PARA 6 PERSONAS MODELO: 2O4545 LINEA SPAZIO MARCA GEBESA</t>
  </si>
  <si>
    <t>CEA/MOBI/0377</t>
  </si>
  <si>
    <t>SILLA GIRATORIAanalista, tapizada azul zafiro serie S/N, mod. T4G</t>
  </si>
  <si>
    <t>CEA/MOBI/0378</t>
  </si>
  <si>
    <t>SILLON DE VISITA , ELABORADO EN ACERO TUBULAR  COLOR NEGRO CON DESCANSABRAZOS , ASIENTO Y RESPALDO TAPIZADO EN TELA MODELO RE-1225 MARCA REQUIEZ</t>
  </si>
  <si>
    <t>CEA/MOBI/0380</t>
  </si>
  <si>
    <t>CEA/MOBI/0387</t>
  </si>
  <si>
    <t>ARCHIVERO VERTICAL 4 GAVETAS COLOR CAOBA/NEGRO CON SIST. DE ARCHIVO SUSPENDIDO CON LLAVE</t>
  </si>
  <si>
    <t>CEA/MOBI/0388</t>
  </si>
  <si>
    <t>ARCHIVERO Metalico de 3 gavetas gris RM</t>
  </si>
  <si>
    <t>CEA/MOBI/0389</t>
  </si>
  <si>
    <t>ARCHIVERO LATERAL Metalico de 3 gavetas gris RM</t>
  </si>
  <si>
    <t>CEA/MOBI/0390</t>
  </si>
  <si>
    <t>LIBRERO VERTICAL ABIERTO FABRICADO EN MELAMINA, MEDIDAS DE 1.80X1.20X0.30 MTS. MCA. JATA S/N</t>
  </si>
  <si>
    <t>CEA/MOBI/0391</t>
  </si>
  <si>
    <t xml:space="preserve"> ARCHIVERO 4 GAVETAS T/OFICIO COLOR NEGRO</t>
  </si>
  <si>
    <t>CEA/MOBI/0392</t>
  </si>
  <si>
    <t>CEA/MOBI/0393</t>
  </si>
  <si>
    <t>1 SILLON EJECUTIVO DE PUEL MOD. 35</t>
  </si>
  <si>
    <t>CEA/MOBI/0394</t>
  </si>
  <si>
    <t>SILLON NEGRO</t>
  </si>
  <si>
    <t>CEA/MOBI/0395</t>
  </si>
  <si>
    <t>ARCHIVERO DE MADERA c/4 gavetas color nogal 1.35 x .58 x .60 serie s/n</t>
  </si>
  <si>
    <t>CEA/MOBI/0396</t>
  </si>
  <si>
    <t xml:space="preserve"> Archivero línea bancaria de 4 gavetas 1 </t>
  </si>
  <si>
    <t>CEA/MOBI/0397</t>
  </si>
  <si>
    <t>ARCHIVERO D EMADERAColor café 4 cajones color nogal</t>
  </si>
  <si>
    <t>CEA/MOBI/0398</t>
  </si>
  <si>
    <t>ARCHIVERO DE MADERA c/4 gavetas, serie S/N  MED 10.38 X.64</t>
  </si>
  <si>
    <t>CEA/MOBI/0399</t>
  </si>
  <si>
    <t>MAQUINA DE ESCRIBIR electrica, serie  11-DN778, MOD. IBM-6783-2</t>
  </si>
  <si>
    <t>CEA/MOBI/0401</t>
  </si>
  <si>
    <t>CEA/MOBI/0402</t>
  </si>
  <si>
    <t>ARCHIVERO VERTICAL En melamina, de 4 gavetas t/oficio color nogal.</t>
  </si>
  <si>
    <t>CEA/MOBI/0403</t>
  </si>
  <si>
    <t>PEDESTAL METALICO c/gaveta de archivo, 2 papeleras gris RM .40x.58x.72 serie s/n mod PLZ</t>
  </si>
  <si>
    <t>CEA/MOBI/0404</t>
  </si>
  <si>
    <t>MUEBLE TIPO YORK CVE. S-208N                  SIN NUM . SERIE</t>
  </si>
  <si>
    <t>CEA/MOBI/0405</t>
  </si>
  <si>
    <t>ARCHIVERO VERTICAL DE TRES GAVETAS T/O CON LLAVE, FABRICADO EN MELAMINA, MCA. JATA</t>
  </si>
  <si>
    <t>CEA/MOBI/0406</t>
  </si>
  <si>
    <t>LIBRERO VERTICAL ABIERTO FABRICADO EN MELAMINA, MEDIDAS DE 1.80X1.20X0.30 MTS MCA. JATA</t>
  </si>
  <si>
    <t>CEA/MOBI/0407</t>
  </si>
  <si>
    <t>CEA/MOBI/0408</t>
  </si>
  <si>
    <t>CEA/MOBI/0409</t>
  </si>
  <si>
    <t>CEA/MOBI/0410</t>
  </si>
  <si>
    <t>CEA/MOBI/0411</t>
  </si>
  <si>
    <t>REFRIGERADOR DE ACERO INOXIDABLE 3.7" D/ALTO SANYO MINI BAR</t>
  </si>
  <si>
    <t>CEA/MOBI/0412</t>
  </si>
  <si>
    <t>PEDESTAL METALICO c/gaveta de archivo y 2 papeleras gris RM  mod. PLZ</t>
  </si>
  <si>
    <t>CEA/MOBI/0413</t>
  </si>
  <si>
    <t>PEDESTAL METALICO c/gaveta de archivo, 2 papelera gris RM .40x.58, altura .72  serie s/n mod PLZ</t>
  </si>
  <si>
    <t>CEA/MOBI/0414</t>
  </si>
  <si>
    <t>SILLON EJECUTIVO RESPALDO ALTO ELEVACION NEUMATICA , DESCANZA BRAZOS. ASIENTO Y RESPALDO TAPIZADO EN TELA MODELO RE-1220 MARCA REQUIEZ</t>
  </si>
  <si>
    <t>CEA/MOBI/0415</t>
  </si>
  <si>
    <t>MESA DE JUNTAS DE 180 X 100 CM OVAL CON BASE EN FORMA DE H, CANTOS DE PVC, COLOR CAOBA, MARCA IDESA</t>
  </si>
  <si>
    <t>CEA/MOBI/0416</t>
  </si>
  <si>
    <t>SILLA OPERATIVA RESPALDO MEDIO TELA</t>
  </si>
  <si>
    <t>CEA/MOBI/0417</t>
  </si>
  <si>
    <t>CEA/MOBI/0418</t>
  </si>
  <si>
    <t>CEA/MOBI/0419</t>
  </si>
  <si>
    <t>ESCRITORIO 150X60X75 CON ARCHIVERO</t>
  </si>
  <si>
    <t>CEA/MOBI/0422</t>
  </si>
  <si>
    <t>CAMARA DE VIDEO SONY HANDYCAM MINI DV</t>
  </si>
  <si>
    <t>CEA/MOBI/0423</t>
  </si>
  <si>
    <t>CEA/MOBI/0424</t>
  </si>
  <si>
    <t>CEA/MOBI/0425</t>
  </si>
  <si>
    <t>CEA/MOBI/0426</t>
  </si>
  <si>
    <t>CEA/MOBI/0427</t>
  </si>
  <si>
    <t>MODULO L 290X250X75 ARCHIVERO</t>
  </si>
  <si>
    <t>CEA/MOBI/0428</t>
  </si>
  <si>
    <t>archivero línea bancaria de 4 gavetas</t>
  </si>
  <si>
    <t>CEA/MOBI/0429</t>
  </si>
  <si>
    <t xml:space="preserve">MESA DE TRABAJO E229color café, patas negras medidas 1.20 x .60 mts. </t>
  </si>
  <si>
    <t>CEA/MOBI/0430</t>
  </si>
  <si>
    <t>ARCHIVERO LB 3 gavetas de madera</t>
  </si>
  <si>
    <t>CEA/MOBI/0431</t>
  </si>
  <si>
    <t>CEA/MOBI/0432</t>
  </si>
  <si>
    <t>CEA/MOBI/0433</t>
  </si>
  <si>
    <t>CEA/MOBI/0434</t>
  </si>
  <si>
    <t>RACK MULTIUSOS CON 5 NIVELES</t>
  </si>
  <si>
    <t>CEA/MOBI/0435</t>
  </si>
  <si>
    <t>RACK MULTIUSOS CON 5 NIVELES  MELAMINA MAPLE 1/2" 2X4</t>
  </si>
  <si>
    <t>CEA/MOBI/0436</t>
  </si>
  <si>
    <t>CEA/MOBI/0437</t>
  </si>
  <si>
    <t>CEA/MOBI/0438</t>
  </si>
  <si>
    <t>CEA/MOBI/0439</t>
  </si>
  <si>
    <t>MODULO DE TRABAJO L 230X340X75</t>
  </si>
  <si>
    <t>CEA/MOBI/0440</t>
  </si>
  <si>
    <t>ESCRITORIO 180X60X75 CON ARCHIVERO</t>
  </si>
  <si>
    <t>CEA/MOBI/0441</t>
  </si>
  <si>
    <t>CREDENZA Simplicity saude color nogal</t>
  </si>
  <si>
    <t>CEA/MOBI/0442</t>
  </si>
  <si>
    <t>MAPA SONORA Enmarcado de aluminio 1.28X1</t>
  </si>
  <si>
    <t>CEA/MOBI/0443</t>
  </si>
  <si>
    <t>CEA/MOBI/0444</t>
  </si>
  <si>
    <t>SILLON FIJO tapizado azul  zafiro</t>
  </si>
  <si>
    <t>CEA/MOBI/0445</t>
  </si>
  <si>
    <t>CEA/MOBI/0447</t>
  </si>
  <si>
    <t xml:space="preserve">MESA DCIRCULAR DE 1.50 MTS FABRICADO CON CUBIERTA Y CUERPO EN PANEL ART MOLDURA PLASTICA </t>
  </si>
  <si>
    <t>CEA/MOBI/0448</t>
  </si>
  <si>
    <t>CEA/MOBI/0449</t>
  </si>
  <si>
    <t>CEA/MOBI/0450</t>
  </si>
  <si>
    <t>CEA/MOBI/0451</t>
  </si>
  <si>
    <t>CONJUNTO DIRECCION DE 193 MARCA EUROESPACIO, COMPUESTO DE ESCRITORIO CON CAJON Y GAVETA, PUENTE LATERAL, CREDENZA Y LIBRERO DE 2 PUERTAS ABATIBLES</t>
  </si>
  <si>
    <t>CEA/MOBI/0452</t>
  </si>
  <si>
    <t>SILLON FIJO p/visita tapizado en tela azul zafiro,serie S/N, mod. R03T</t>
  </si>
  <si>
    <t>CEA/MOBI/0453</t>
  </si>
  <si>
    <t xml:space="preserve">MESA DE TRABAJO color café, patas negras medidas 1.20 x .60 mts. </t>
  </si>
  <si>
    <t>CEA/MOBI/0454</t>
  </si>
  <si>
    <t>MUEBLE PARA COMPUTADORA Imitacion madera, color natural,  .57 x .75 y .75 de alto</t>
  </si>
  <si>
    <t>CEA/MOBI/0455</t>
  </si>
  <si>
    <t>CEA/MOBI/0456</t>
  </si>
  <si>
    <t>CEA/MOBI/0457</t>
  </si>
  <si>
    <t>CEA/MOBI/0458</t>
  </si>
  <si>
    <t>CAMARA DE VIDEO DIGITAL MARCA SONY MODELO DVD HANDYCAM DCR-HC38, BATERIA INFOLITHIUM  1334539</t>
  </si>
  <si>
    <t>CEA/MOBI/0459-470</t>
  </si>
  <si>
    <t xml:space="preserve">12  ESTANTES METALICOS color gris, angulo de 73 cms de ancho y 1.40 de largo, fabricacion y armado de los casilleros </t>
  </si>
  <si>
    <t>CEA/MOBI/0471</t>
  </si>
  <si>
    <t>MINISPLIT MARCA RHEEM DE 2 TONELADAS  SERIE: JAA0GBA301333400366</t>
  </si>
  <si>
    <t>CEA/MOBI/0472</t>
  </si>
  <si>
    <t>CAMARA DIGITAL SONY DSC-J10 S: S01-5028877-N</t>
  </si>
  <si>
    <t>CEA/MOBI/0473</t>
  </si>
  <si>
    <t>MUEBLE TIPO LIBRERO De madera color natural, 5 pizos y 3 divisiones</t>
  </si>
  <si>
    <t>CEA/MOBI/0474</t>
  </si>
  <si>
    <t>REFRIGERADOR Tipo compacto marca G.E. Serie: 238c2518g003</t>
  </si>
  <si>
    <t>CEA/MOBI/0475</t>
  </si>
  <si>
    <t>AIRE ACONDICIONADO Marca Polaris</t>
  </si>
  <si>
    <t>CEA/MOBI/0476</t>
  </si>
  <si>
    <t>CAMARA DIGITAL SONY CYBERTSHOT DSC-W350 SERIE:8617376</t>
  </si>
  <si>
    <t>CEA/MOBI/0478-480</t>
  </si>
  <si>
    <t xml:space="preserve"> 3 MESA RECTANGULAR COLOR OSTION</t>
  </si>
  <si>
    <t>CEA/MOBI/0481</t>
  </si>
  <si>
    <t>SILLA FIJA DESPLEGABLE C FORRO EN TELA</t>
  </si>
  <si>
    <t>CEA/MOBI/0482</t>
  </si>
  <si>
    <t>ESTANTE METALICOS color gris, angulo de 73 cms de ancho y 1.40 de largo, fabricacion y armado de los casilleros  2100 CU</t>
  </si>
  <si>
    <t>CEA/MOBI/0483</t>
  </si>
  <si>
    <t>CEA/MOBI/0484</t>
  </si>
  <si>
    <t>CEA/MOBI/0485</t>
  </si>
  <si>
    <t>CEA/MOBI/0486</t>
  </si>
  <si>
    <t xml:space="preserve">ESCRITORIO </t>
  </si>
  <si>
    <t>CEA/MOBI/0487</t>
  </si>
  <si>
    <t xml:space="preserve">MESA RECTAGULAR COLOR OSTION PATAS TUBULARES ( 763.50 C/U) </t>
  </si>
  <si>
    <t>CEA/MOBI/0488</t>
  </si>
  <si>
    <t>SILLAS FIJAS DESPLEGABLES, C/FORRO , COLOR OSTION (190.42 C/U)</t>
  </si>
  <si>
    <t>CEA/MOBI/0489</t>
  </si>
  <si>
    <t>CEA/MOBI/0490</t>
  </si>
  <si>
    <t>LIBRERO LINEA INNOVANT</t>
  </si>
  <si>
    <t>CEA/MOBI/0491</t>
  </si>
  <si>
    <t>LIBRERO VALENTINI</t>
  </si>
  <si>
    <t>CEA/MOBI/0492</t>
  </si>
  <si>
    <t>FAX HP 2140 CM722A</t>
  </si>
  <si>
    <t>CEA/MOBI/0493</t>
  </si>
  <si>
    <t>DISPENSADOR DE AGUA GENERAL ELECTRIC</t>
  </si>
  <si>
    <t>CEA/MOBI/0494-0499</t>
  </si>
  <si>
    <t>6 SILLA PLEGABLE LIPETIME  DE 385.00 C/U</t>
  </si>
  <si>
    <t>CEA/MOBI/0500</t>
  </si>
  <si>
    <t>LAMINADORA ACCO H210</t>
  </si>
  <si>
    <t>CEA/MOBI/0501</t>
  </si>
  <si>
    <t>TWIN BLINDER 2003 ENGARGOLADORA</t>
  </si>
  <si>
    <t>CEA/MOBI/0502-0505</t>
  </si>
  <si>
    <t>4 SILLA PLEGABLE LIPETIME 385.00 cada una</t>
  </si>
  <si>
    <t>CEA/MOBI/0507</t>
  </si>
  <si>
    <t>CEA/MOBI/0508</t>
  </si>
  <si>
    <t>CEA/MOBI/0509</t>
  </si>
  <si>
    <t>HORNO DE MICROONDAS MARCA GE MODELO: JES771SK</t>
  </si>
  <si>
    <t>CEA/MOBI/0510</t>
  </si>
  <si>
    <t>JUEGO DE MESAS D CENTRO EXENTER DE HERRERIA</t>
  </si>
  <si>
    <t>CEA/MOBI/0511</t>
  </si>
  <si>
    <t>SUMINISTRO E INSTALACION DE EQUIPO MINISPLIT DE 1 TONELADAS MARCA RHEEM SERIE: G2G90609361</t>
  </si>
  <si>
    <t>CEA/MOBI/0512</t>
  </si>
  <si>
    <t>CEA/MOBI/0513</t>
  </si>
  <si>
    <t>CEA/MOBI/0514</t>
  </si>
  <si>
    <t>ARCHIVERO C/4 cajones color café</t>
  </si>
  <si>
    <t>CEA/MOBI/0516</t>
  </si>
  <si>
    <t>CEA/MOBI/0517</t>
  </si>
  <si>
    <t>CEA/MOBI/0518</t>
  </si>
  <si>
    <t>MESA PARA BASE DE EQUIPO DE COMPUTADORA</t>
  </si>
  <si>
    <t>CEA/MOBI/0519</t>
  </si>
  <si>
    <t>CAMARA DIGITAL MARCA KODAK  EASY SHARE M863 SERIE: KCGHK83313546</t>
  </si>
  <si>
    <t>CEA/MOBI/0520</t>
  </si>
  <si>
    <t>CEA/MOBI/0521</t>
  </si>
  <si>
    <t>CEA/MOBI/0522</t>
  </si>
  <si>
    <t>CEA/MOBI/0523</t>
  </si>
  <si>
    <t>ESCRITORIO PENINSULAR 180X180X75</t>
  </si>
  <si>
    <t>CEA/MOBI/0524</t>
  </si>
  <si>
    <t>CEA/MOBI/0525</t>
  </si>
  <si>
    <t>CEA/MOBI/0526</t>
  </si>
  <si>
    <t>CEA/MOBI/0527</t>
  </si>
  <si>
    <t>CEA/MOBI/0528</t>
  </si>
  <si>
    <t>CEA/MOBI/0529</t>
  </si>
  <si>
    <t>CEA/MOBI/0530-532</t>
  </si>
  <si>
    <t>3 ESTANTES METALICOS color gris, angulo de 73 cms de ancho y 1.40 de largo, fabricacion y armado de los casilleros  2100 CU</t>
  </si>
  <si>
    <t>CEA/MOBI/0533-0536</t>
  </si>
  <si>
    <t xml:space="preserve">4 MESAS RECTAGULARES COLOR OSTION PATAS TUBULARES ( 763.50 C/U) </t>
  </si>
  <si>
    <t>CEA/MOBI/0536-0564</t>
  </si>
  <si>
    <t>28 SILLAS FIJAS DESPLEGABLES, C/FORRO DE PLASTICO, COLOR OSTION (190.42 C/U)</t>
  </si>
  <si>
    <t>CEA/MOBI/0565</t>
  </si>
  <si>
    <t>ESTANTE METALICO 7 charolas color gris</t>
  </si>
  <si>
    <t>CEA/MOBI/0566</t>
  </si>
  <si>
    <t>CEA/MOBI/0567-0569</t>
  </si>
  <si>
    <t>CEA/MOBI/0570</t>
  </si>
  <si>
    <t>CEA/MOBI/0102</t>
  </si>
  <si>
    <t>CAMARA DIGITAL SONY CYBERTSHOT DSC-W350 SERIE: S01-8617672-N</t>
  </si>
  <si>
    <t>CEA/MOBI/0307</t>
  </si>
  <si>
    <t>CAMARA DIGITAL MARCA CYBERTSHOT MODELO DSC-W55 SERIE 968322</t>
  </si>
  <si>
    <t>CEA/MOYE/0001</t>
  </si>
  <si>
    <t>ESCRITORIO EJECUTIVO TEMPO EN CHAPA DE MADERA COLOR COFFEE Y CUBIERTA DE CRISTAL</t>
  </si>
  <si>
    <t>CEA/MOYE/0002</t>
  </si>
  <si>
    <t>SILLA EJECUTIVA MARCA REQUIEZ MODELO RP8000</t>
  </si>
  <si>
    <t>CEA/MOYE/0003</t>
  </si>
  <si>
    <t>SILLA DE VISITA MARCA REQUIEZ MODELO RP8005</t>
  </si>
  <si>
    <t>CEA/MOYE/0004</t>
  </si>
  <si>
    <t>CEA/MOYE/0005</t>
  </si>
  <si>
    <t>SILLA EJECUTIVA MODELO BAXTOR EN COLOR NEGRO</t>
  </si>
  <si>
    <t>CEA/MOYE/0007</t>
  </si>
  <si>
    <t xml:space="preserve">ESCRITORIO MODELO Z </t>
  </si>
  <si>
    <t>CEA/MOYE/0008</t>
  </si>
  <si>
    <t>MESA PARA JUNTAS WENGE</t>
  </si>
  <si>
    <t>CEA/MOYE/0012</t>
  </si>
  <si>
    <t>ESCRITORIO SECRETARIAL</t>
  </si>
  <si>
    <t>CEA/MOYE/0015</t>
  </si>
  <si>
    <t>ARCHIVERO VERTICAL DE 4 GAVETAS</t>
  </si>
  <si>
    <t>CEA/MOYE/0016</t>
  </si>
  <si>
    <t>CEA/MOYE/0017</t>
  </si>
  <si>
    <t>CEA/MOYE/0018</t>
  </si>
  <si>
    <t>SILLON DE 3 PLAZAS</t>
  </si>
  <si>
    <t>CEA/MOYE/0019</t>
  </si>
  <si>
    <t>SILLON DE 2 PLAZAS</t>
  </si>
  <si>
    <t>CEA/MOYE/0020</t>
  </si>
  <si>
    <t>MODULO DE ESTANTERIA DE 2.90</t>
  </si>
  <si>
    <t>CEA/MOYE/0021</t>
  </si>
  <si>
    <t>MODULO DE ESTANTERIA DE 1.90</t>
  </si>
  <si>
    <t>CEA/MOYE/0022</t>
  </si>
  <si>
    <t>CEA/MOYE/0023</t>
  </si>
  <si>
    <t>CEA/MOYE/0024</t>
  </si>
  <si>
    <t>TELEFONO DIGITAL INTERBLAS TI 4245</t>
  </si>
  <si>
    <t>CEA/MOYE/0025</t>
  </si>
  <si>
    <t xml:space="preserve">ARCHIVERO COLOR CAOBA </t>
  </si>
  <si>
    <t>CEA/MOYE/0029</t>
  </si>
  <si>
    <t>SILLA DE OFICINA</t>
  </si>
  <si>
    <t>CEA/MOYE/0030</t>
  </si>
  <si>
    <t xml:space="preserve">ESTANTES </t>
  </si>
  <si>
    <t>CEA/MEOYE/0001</t>
  </si>
  <si>
    <t>FRIGOBAR 4.4 PIES CUBICOS</t>
  </si>
  <si>
    <t>CEA/OMOB/0003</t>
  </si>
  <si>
    <t>FRIGOBAR WHIRPOOL MOD WS5501Q COLOR BLANCO</t>
  </si>
  <si>
    <t>CEA/OMOB/0004</t>
  </si>
  <si>
    <t>FRIGOBAR GE MOD TA04Y07S COLOR BLANCO</t>
  </si>
  <si>
    <t>CEA/OMOB/0005</t>
  </si>
  <si>
    <t>MINISPLIT  MARCA MIRAGE MODELO SMCC1221F</t>
  </si>
  <si>
    <t>CEA/OMOB/0006</t>
  </si>
  <si>
    <t>ATRIL-PODIUM C LOGOS PLCAS</t>
  </si>
  <si>
    <t>CEA/OMOB/0007</t>
  </si>
  <si>
    <t>FRIGOBAR DANEY</t>
  </si>
  <si>
    <t>CEA/OMOB/0009</t>
  </si>
  <si>
    <t>FRIGOBAR 4.4 PIES  DANBY</t>
  </si>
  <si>
    <t>CEA/OMOB/0010</t>
  </si>
  <si>
    <t>MINISPLIT MIRAGE MODELO: EXF121J</t>
  </si>
  <si>
    <t>CEA/OMOB/0011</t>
  </si>
  <si>
    <t>CENTRAL TELEFONICA ( 2 TELEFONOS, UN MINICONMUTADOR Y UN NO BREAK)</t>
  </si>
  <si>
    <t>CEA/EYAA/0001</t>
  </si>
  <si>
    <t>SUMINISTRO E INSTALACION DE EQUIPO DE AUDIO Y VIDEO PARA CIRCUITO CERRADO EN SALA DE JUNTAS</t>
  </si>
  <si>
    <t>CEA/EYAA/0002</t>
  </si>
  <si>
    <t>PANTALLA DE PROTECCION MANUAL DE PARED</t>
  </si>
  <si>
    <t>CEA/EYAA/0003</t>
  </si>
  <si>
    <t>PROYECTOR EPSON POWERLITE S31 PROD NO. V11H719021</t>
  </si>
  <si>
    <t>CEA/CFYV/0002</t>
  </si>
  <si>
    <t>CAMARA DIGITAL MARCA CANON PS SX530 NEGRA</t>
  </si>
  <si>
    <t>CEA/CFYV/0003</t>
  </si>
  <si>
    <t>SISTEMA DE CAMARAS DE ALTA DEFINICION Y GRABACION DE 32 CANALES CON ALMACENAMIENTO DE 4TB MARCA DAHUA . INCLUYE 8 CAMARAS TIPO BALA PARA EXTERIOR</t>
  </si>
  <si>
    <t>CEA/TRNS/001</t>
  </si>
  <si>
    <t>FORD FOCUS  2008 GRIS MAGNECIO</t>
  </si>
  <si>
    <t>CEA/TRNS/003</t>
  </si>
  <si>
    <t>VW JETTA  2006 GRIS</t>
  </si>
  <si>
    <t>CEA/TRNS/005</t>
  </si>
  <si>
    <t>FORD RANGER 2011 GRIS PLATA</t>
  </si>
  <si>
    <t>CEA/TRNS/006</t>
  </si>
  <si>
    <t>VW JETTA 2005 PLATA</t>
  </si>
  <si>
    <t>CEA/TRNS/007</t>
  </si>
  <si>
    <t>FORD PICK UP  2008 BLANCO</t>
  </si>
  <si>
    <t>CEA/TRNS/008</t>
  </si>
  <si>
    <t>FORD PICK UP 2008 BLANCO</t>
  </si>
  <si>
    <t>CEA/TRNS/009</t>
  </si>
  <si>
    <t>CHEVROLET SILVERADO 2010 BLANCO</t>
  </si>
  <si>
    <t>CEA/TRNS/010</t>
  </si>
  <si>
    <t>FORD 4X4 PICK UP 2006 BLANCO</t>
  </si>
  <si>
    <t>CEA/TRNS/011</t>
  </si>
  <si>
    <t>CEA/TRNS/012</t>
  </si>
  <si>
    <t>FORD RANGER 2011 BLANCO</t>
  </si>
  <si>
    <t>CEA/TRNS/013</t>
  </si>
  <si>
    <t>TOYOTA PICK UP 2010 BLANCO</t>
  </si>
  <si>
    <t>CEA/TRNS/017</t>
  </si>
  <si>
    <t>DODGE RAM 2012 BLANCO</t>
  </si>
  <si>
    <t>CEA/TRNS/018</t>
  </si>
  <si>
    <t>CEA/TRNS/020</t>
  </si>
  <si>
    <t>FORD RANGER 2005 BLANCO</t>
  </si>
  <si>
    <t>CEA/TRNS/021</t>
  </si>
  <si>
    <t>FORD PICK UP 250 2004 BLANCO</t>
  </si>
  <si>
    <t>CEA/TRNS/022</t>
  </si>
  <si>
    <t>CEA/TRNS/023</t>
  </si>
  <si>
    <t>AQUATECH  CHASIS CABINA TANDEM</t>
  </si>
  <si>
    <t>CEA/MEI/0001</t>
  </si>
  <si>
    <t>BOMBA JET MARCA DAB DE 1HP</t>
  </si>
  <si>
    <t>CEA/MEI/0002</t>
  </si>
  <si>
    <t xml:space="preserve">TANQUE PASTEURIZADO CHALLENGER </t>
  </si>
  <si>
    <t>CEA/MAQN/0001</t>
  </si>
  <si>
    <t xml:space="preserve">AQUATECH, MOD. B-15, CAPAC. 15YDS3
MODELO 2005 NO ECONOCMICO 56 SERIE: 142614
</t>
  </si>
  <si>
    <t>CEA/MAQN/0002</t>
  </si>
  <si>
    <t>AQUATECH, MOD. B-15, CAPAC. 15YDS3
MODELO 2005
NO ECONOCMICO 57 SERIE: 202549</t>
  </si>
  <si>
    <t>CEA/MAQN/0003</t>
  </si>
  <si>
    <t xml:space="preserve">PERFORADORA    CHICAGO MCA
PNEUMATIC, MODELO RT-2000  --
TRUCK MOUNTED ROTARY DRILL.
SERIE NUMERO  101280
</t>
  </si>
  <si>
    <t>CEA/MAQN/0005</t>
  </si>
  <si>
    <t xml:space="preserve">PERFORADORA CHICAGO PNEUMATIC
RT-2000 SERIE NUM. 101303.
MOUNTED ON INTERNATIONAL HARV.
</t>
  </si>
  <si>
    <t>CEA/EITU/0001</t>
  </si>
  <si>
    <t xml:space="preserve">EQUIPO DE INSPECCION RSTHECHNICAL , MONTADO EN VEHICULO TIPO TRAILER </t>
  </si>
  <si>
    <t>CEA/SACR/0001</t>
  </si>
  <si>
    <t>EQ DE EVAPORACION MARCA PORT A COOL DE 36 PLG Y UNA VELOCIDAD</t>
  </si>
  <si>
    <t>CEA/SACR/0002</t>
  </si>
  <si>
    <t>CEA/SACR/0003</t>
  </si>
  <si>
    <t>CEA/ECO/001</t>
  </si>
  <si>
    <t>RED DE VOZ Y DATOS EN LAS OFICINAS DE AGUA SUBTERRANEA</t>
  </si>
  <si>
    <t>CEA/ECO/004</t>
  </si>
  <si>
    <t>PAQUETE DE 2 GPS DE UNA FRECUENCIA MARCA TRIMBLE</t>
  </si>
  <si>
    <t>CEA/ECO/005</t>
  </si>
  <si>
    <t>NIVEL AUTOMATICO SOKKIA B-20                       SERIE: 101451</t>
  </si>
  <si>
    <t>CEA/ECO/006</t>
  </si>
  <si>
    <t>INTELBRAS TELEFONO MULTIMEDI TI NKT4245 COLOR NEGRO</t>
  </si>
  <si>
    <t>CEA/ECT/0010</t>
  </si>
  <si>
    <t>INTELBRAS TARJETA 8 LINEAS IMPACTA 94/140/220</t>
  </si>
  <si>
    <t>CEA/ECT/0011</t>
  </si>
  <si>
    <t>INTELBRAS TARJETA MIXTA DIGITALES, 12 ANALOGICAS IMPACTA 94/140/220</t>
  </si>
  <si>
    <t>CEA/ECT/0012</t>
  </si>
  <si>
    <t>CEA/ECT/0013</t>
  </si>
  <si>
    <t>INTELBRAS TARJETA 16 EXTENSIONES ANALOGICAS IMPACTA 94/140/220</t>
  </si>
  <si>
    <t>CEA/ECT/0014</t>
  </si>
  <si>
    <t>CEA/ECT/0015</t>
  </si>
  <si>
    <t>CEA/ECT/0016</t>
  </si>
  <si>
    <t>TDE PROTECTOR DE 8 LINEAS</t>
  </si>
  <si>
    <t>CEA/ECT/0017</t>
  </si>
  <si>
    <t>TARJETA BASE ICIP 30</t>
  </si>
  <si>
    <t>CEA/ECT/0018</t>
  </si>
  <si>
    <t>TARJETA CODEC ICIP 30</t>
  </si>
  <si>
    <t>CEA/ECT/0019</t>
  </si>
  <si>
    <t>LLAVE DE HARDWARE</t>
  </si>
  <si>
    <t>CEA/ECT/0020</t>
  </si>
  <si>
    <t xml:space="preserve">LICENCIA TRONCONAL </t>
  </si>
  <si>
    <t>CEA/ECT/0021</t>
  </si>
  <si>
    <t>INTELBRAS TELEFONO IP MODELO 4002080</t>
  </si>
  <si>
    <t>CEA/ECT/0022</t>
  </si>
  <si>
    <t>CEA/ECT/0001</t>
  </si>
  <si>
    <t xml:space="preserve">GPS MARCA GARMIN MODELO E TREX 30 </t>
  </si>
  <si>
    <t>CEA/ECT/0003</t>
  </si>
  <si>
    <t>GPS MARCA GARMIN MOD ETREX 20</t>
  </si>
  <si>
    <t>CEA/ECT/0004</t>
  </si>
  <si>
    <t>CEA/ECT/0005</t>
  </si>
  <si>
    <t>CEA/ECT/0006</t>
  </si>
  <si>
    <t>TRIMBLE JUNO 3D HANDHELD SOFTWARE</t>
  </si>
  <si>
    <t>CEA/ECT/0007</t>
  </si>
  <si>
    <t>ESTACION METEOROLOGICA EN ONAVAS SONORA</t>
  </si>
  <si>
    <t>CEA/ECT/0008</t>
  </si>
  <si>
    <t>ESTACION METEOROLOGICA EN MAZATAN SONORA</t>
  </si>
  <si>
    <t>CEA/ECT/0009</t>
  </si>
  <si>
    <t>ESTACION PLUVIOMETRICA EN ESTACION ORTIZ MPIO DE GUAYMAS</t>
  </si>
  <si>
    <t>CEA/HDRO/0001</t>
  </si>
  <si>
    <t>DATALOGGER CON RADIO SPREAD SPECTRUM INTEGRADO</t>
  </si>
  <si>
    <t>CEA/HDRO/0002</t>
  </si>
  <si>
    <t>ANTENA DE 9DB PARA DATALOGGER Y PARA BASE</t>
  </si>
  <si>
    <t>CEA/HDRO/0003</t>
  </si>
  <si>
    <t>CABLE PARA ANTENA CON CONECTORES DE 3 MTS (ESTACION)</t>
  </si>
  <si>
    <t>CEA/HDRO/0006</t>
  </si>
  <si>
    <t>ENC 10/12 CAJA PARA INTEMPERIE, REQUIERE ACCESORIOS PARA MONTAJE EN TRIPIE</t>
  </si>
  <si>
    <t>CEA/HDRO/0007</t>
  </si>
  <si>
    <t>ACCESORIOS PARA MONTAJE EN TRIPIE</t>
  </si>
  <si>
    <t>CEA/HDRO/0008</t>
  </si>
  <si>
    <t>BATERIA RECARGABLE DE 12V, 7 AMP-HR</t>
  </si>
  <si>
    <t>CEA/HDRO/0009</t>
  </si>
  <si>
    <t>PANEL SOLAR</t>
  </si>
  <si>
    <t>CEA/HDRO/0010</t>
  </si>
  <si>
    <t>TRIPIE DE ALUMINIO</t>
  </si>
  <si>
    <t>CEA/HDRO/0011</t>
  </si>
  <si>
    <t>SP-LITE-L PIRANOMETRO</t>
  </si>
  <si>
    <t>CEA/HDRO/0012</t>
  </si>
  <si>
    <t>BASE NIVELANTE PARA PIRANOMETRO</t>
  </si>
  <si>
    <t>CEA/HDRO/0013</t>
  </si>
  <si>
    <t>BRAZO PARA PIRANOMETRO</t>
  </si>
  <si>
    <t>CEA/HDRO/0014</t>
  </si>
  <si>
    <t>TRANSMISOR METEOROLOGICO</t>
  </si>
  <si>
    <t>CEA/HDRO/0016</t>
  </si>
  <si>
    <t>RADIO BASE</t>
  </si>
  <si>
    <t>CEA/HDRO/0018</t>
  </si>
  <si>
    <t>PROGRAMA PARA DATALOGGER</t>
  </si>
  <si>
    <t>CEA/HDRO/0019</t>
  </si>
  <si>
    <t>PANTALLA PARA DATALOGGER</t>
  </si>
  <si>
    <t>CEA/TEL/001</t>
  </si>
  <si>
    <t>TERMINAL INTELIGENTE IP CISCO 4 LINEAS</t>
  </si>
  <si>
    <t>CEA/TEL/002</t>
  </si>
  <si>
    <t>CEA/MELE/0002</t>
  </si>
  <si>
    <t xml:space="preserve">PINZAS AMPERIMETRICAS FLUKE </t>
  </si>
  <si>
    <t>CEA/MELE/0003</t>
  </si>
  <si>
    <t xml:space="preserve">GENERADOR ELECTRICO SOLDADOR MARCA MILLER </t>
  </si>
  <si>
    <t>CEA/HERR/0002</t>
  </si>
  <si>
    <t>GPS MARCA GARMIN, MODELO E-TREX</t>
  </si>
  <si>
    <t>CEA/HERR/0003</t>
  </si>
  <si>
    <t>BASTON DE APLOMAR Y PRISMA SENCILLO             NUM. SERIE: S/N</t>
  </si>
  <si>
    <t>CEA/HERR/0005</t>
  </si>
  <si>
    <t>ANGEL 3534 QUART FREEZER CLAVE 31151 CATALOGO FORESTRY SUPPLIERS NO 56</t>
  </si>
  <si>
    <t>CEA/HERR/0006</t>
  </si>
  <si>
    <t>RUBBERMAID ICE CHEST 48 QUART CLAVE 31139 CATALOGO FORESTRY SUPPLIERS NO 56</t>
  </si>
  <si>
    <t>CEA/HERR/0007</t>
  </si>
  <si>
    <t>RUBBERMAID ICE CHEST 54 QUART CLAVE 31189 CATALOGO FORESTRY SUPPLIERS NO 56</t>
  </si>
  <si>
    <t>CEA/HERR/0008</t>
  </si>
  <si>
    <t>SONDA SONLIST TLC</t>
  </si>
  <si>
    <t>CEA/HERR/0009</t>
  </si>
  <si>
    <t>EQUIPO DE RESISTIVIDAD MCA IRIS INTSTRUMENT MODEL SYSAL JR O SUSCAL KIT</t>
  </si>
  <si>
    <t>CEA/HERR/0010</t>
  </si>
  <si>
    <t xml:space="preserve">GPS  SISTEMA GARMIN E TREX LEGEND . </t>
  </si>
  <si>
    <t>CEA/HERR/0012</t>
  </si>
  <si>
    <t>SOLDADORA MICRO ALAMBRE</t>
  </si>
  <si>
    <t>CEA/HERR/0013</t>
  </si>
  <si>
    <t>CORTADOR DE METAL 14" MAKITA</t>
  </si>
  <si>
    <t>CEA/HERR/0014</t>
  </si>
  <si>
    <t>ROTOMARTILLO MAKITA 1/2 " VVR</t>
  </si>
  <si>
    <t>CEA/HERR/0033</t>
  </si>
  <si>
    <t xml:space="preserve">DISTANCIOMENTRO LEICA D5 DE 200 MTS </t>
  </si>
  <si>
    <t>CEA/SONDA/0001</t>
  </si>
  <si>
    <t xml:space="preserve">SONDA DE NIVELES 250 M P7 DE BOLSAS </t>
  </si>
  <si>
    <t>CEA/OE/0001</t>
  </si>
  <si>
    <t>CEA/OE/0005</t>
  </si>
  <si>
    <t>NAVEGADOR GPS MARCA GARMIN MODELO GPS V CON ANTENA EXTERNA, BALIZA Y SOPORTE                          NUM. SERIE:</t>
  </si>
  <si>
    <t>CEA/OE/0002</t>
  </si>
  <si>
    <t>SONDA ELECTRICA SQS MOD. S-150 P/MEDICION DE NIVELES DE AGUA EN POZO PROFUNDO, COMPUESTA DE BASE METALICA 150 MTS. CABLE .16 MILIAMPERIMETRO C/INDICADOR DE AGUJA</t>
  </si>
  <si>
    <t>CEA/OE/0006</t>
  </si>
  <si>
    <t>NIVEL AUTOMATICO MARCA INCITE MODELO AL-232 DE 32X, CON PUNA PRECISION DE 1 MM EN CORRIDA DOBLE DE 1 KM QUE INCLUYE:                         1 NIVEL AUTOMATICO SERIE L38641                1 TRIPIE DE ALUMINIO                                            1 E</t>
  </si>
  <si>
    <t>CEA/OE/0008</t>
  </si>
  <si>
    <t>ESTACION TOTAL MARCA SOKKIA MODELO SET-630K SERIE: 149399 CON ESTUCHE, ARNES, DOS BATERIAS MODELO BDC-46, CARGADOR RAPIDO, CABLE DE TRANSFERENCIA, BRUJULA DECLINADORA, MANUAL OPERACIÓN, BASTON DE APLOMAR, PRISMA CON SOPORTE Y TRIPIE DE ALUMINIO</t>
  </si>
  <si>
    <t>CEA/OE/0009</t>
  </si>
  <si>
    <t>EQUIPO TOPOGRAFICO ESTACION TOTAL SOKKIA</t>
  </si>
  <si>
    <t>CEA/OE/0010</t>
  </si>
  <si>
    <t>JUEGO DE CABLES PARA SEV: 2 CARRETES CON 250 MTS. DE CABLE, E CARRETES CON 750 MTS DE CABLE Y 4 ELECTRODOS.</t>
  </si>
  <si>
    <t>CEA/OE/0011</t>
  </si>
  <si>
    <t>MICRO SR-481, SOP ELEC REG INT. C/PROT                                                                         NUM. SERIE: E04H16130</t>
  </si>
  <si>
    <t>CEA/OE/0013</t>
  </si>
  <si>
    <t>1 QUEMADOR DE GAS NATURAL</t>
  </si>
  <si>
    <t>CEA/OE/0014</t>
  </si>
  <si>
    <t>EQUIPO MANIFOLD 3 HACH 24861-00</t>
  </si>
  <si>
    <t>CEA/OE/0015</t>
  </si>
  <si>
    <t>3 SOPORTE FILTRANTE BASE MAGNETICA</t>
  </si>
  <si>
    <t>CEA/OE/0016</t>
  </si>
  <si>
    <t>CORTADORA DE METALES 14 MAKITA MOD. 2414B</t>
  </si>
  <si>
    <t>CEA/OE/0017</t>
  </si>
  <si>
    <t>MAQUINA PARA SOLDAR COLOR AC 225 GLM LINCOLN 60HZ</t>
  </si>
  <si>
    <t>CEA/OE/0018</t>
  </si>
  <si>
    <t xml:space="preserve">COLORIMETRO SPECTROQUAN MOVE 100 </t>
  </si>
  <si>
    <t>CEA/OE/0019</t>
  </si>
  <si>
    <t>SPECTROQUANT DATA TRANSFER</t>
  </si>
  <si>
    <t>CEA/OE/0020</t>
  </si>
  <si>
    <t>SONDA CON VARIOS NIVELES</t>
  </si>
  <si>
    <t>CEA/OE/0021</t>
  </si>
  <si>
    <t>NIVEL AUTOMATICO SECO, INCLUYE  TRIPIEDE ALUMINIO ESTUCHE PARA TRASPORTE</t>
  </si>
  <si>
    <t>CEA/OE/0022</t>
  </si>
  <si>
    <t>BALIZA MARCA TRIMBLE DE FIBRA DE CARBONO</t>
  </si>
  <si>
    <t>CEA/OE/0023</t>
  </si>
  <si>
    <t>PRISMA MARCA TRIMBLE SENCILLO</t>
  </si>
  <si>
    <t>CEA/OE/0024</t>
  </si>
  <si>
    <t>TRIPODE MARCA SECO DE ALUMINIO</t>
  </si>
  <si>
    <t>CEA/OE/0025</t>
  </si>
  <si>
    <t xml:space="preserve">SISTEMA DE MONITOREO EN AREA DE RECEPCION INCLUYE, MONITOR PARA TRABAJO </t>
  </si>
  <si>
    <t>CEA/ECYT/150</t>
  </si>
  <si>
    <t>LAPTOP DELL INSPIRON G5 5520 16.6"</t>
  </si>
  <si>
    <t>CEA/ECYT/151</t>
  </si>
  <si>
    <t>CEA/ECYT/152</t>
  </si>
  <si>
    <t>CEA/TNS/0019</t>
  </si>
  <si>
    <t>GRUA CON PATAFORMA</t>
  </si>
  <si>
    <t>CEA/OE/0026</t>
  </si>
  <si>
    <t>EQUIPO DE RESISTIVIDAD</t>
  </si>
  <si>
    <t>CEA/TNS/0018</t>
  </si>
  <si>
    <t>EQUIPO DE DESAZOLVE</t>
  </si>
  <si>
    <t>CEA/CAN/MANT/CAN/MAQN/0017</t>
  </si>
  <si>
    <t>RETROEXCAVADORA</t>
  </si>
  <si>
    <t>CEA/CAN/BOMB/CAN/MAQN/0019</t>
  </si>
  <si>
    <t>COMPRESOR (AMARILLO ELECTRICO)</t>
  </si>
  <si>
    <t>CEA/CAN/MANT/CAN/MAQN/0035</t>
  </si>
  <si>
    <t>REVOLVEDORA DE CONCRETO</t>
  </si>
  <si>
    <t>CEA/CAN/MANT/CAN/MAQN/0036</t>
  </si>
  <si>
    <t>CORTADORA DE CONCRETO</t>
  </si>
  <si>
    <t>CEA/CAN/MANT/CAN/MAQN/0037</t>
  </si>
  <si>
    <t>MOTOBOMBA PARA AGUA, DE GASOLINA</t>
  </si>
  <si>
    <t>CEA/CAN/MANT/CAN/MAQN/0038</t>
  </si>
  <si>
    <t>GENERADOR PORTATIL CON ENCENDIDO ELECTRICO</t>
  </si>
  <si>
    <t>CEA/CAN/BOMB/CAN/HEAC/0001</t>
  </si>
  <si>
    <t>BOMBA DE TRANSMISION</t>
  </si>
  <si>
    <t>CEA/CAN/MANT/CAN/HEAC/0003</t>
  </si>
  <si>
    <t>VALVULA CHECK BRIDADA 16"</t>
  </si>
  <si>
    <t>CEA/CAN/MANT/CAN/HEAC/0004</t>
  </si>
  <si>
    <t>VALVULA DE 16" P/300 LBS</t>
  </si>
  <si>
    <t>CEA/CAN/MANT/CAN/HEAC/0005</t>
  </si>
  <si>
    <t xml:space="preserve">2 VALVULAS COMPUERTA </t>
  </si>
  <si>
    <t>CEA/CAN/BOMB/CAN/HEAC/0033</t>
  </si>
  <si>
    <t>CILINDRO P/CLORADOR DE GAS</t>
  </si>
  <si>
    <t>CEA/CAN/BOMB/CAN/HEAC/0034</t>
  </si>
  <si>
    <t>MEDIDOR DE FLUJO DE 6" 150 LIBRAS DE PRESION</t>
  </si>
  <si>
    <t>CEA/CAN/BOMB/CAN/HEAC/0035</t>
  </si>
  <si>
    <t>TINACO 450L TRICAPA TERMINADO</t>
  </si>
  <si>
    <t>CEA/CAN/BOMB/CAN/HEAC/0036</t>
  </si>
  <si>
    <t>CEA/CAN/BOMB/CAN/HEAC/0037</t>
  </si>
  <si>
    <t>CEA/CAN/BOMB/CAN/HEAC/0038</t>
  </si>
  <si>
    <t>CEA/CAN/BOMB/CAN/HEAC/0039</t>
  </si>
  <si>
    <t>CEA/CAN/BOMB/CAN/HEAC/0040</t>
  </si>
  <si>
    <t>COMPRESOR DE AIRE PORTATIL</t>
  </si>
  <si>
    <t>CEA/CAN/BOMB/CAN/HEAC/0041</t>
  </si>
  <si>
    <t>INYECTOR DE VACIO 3/4</t>
  </si>
  <si>
    <t>CEA/CAN/BOMB/CAN/HEAC/0042</t>
  </si>
  <si>
    <t>DESBROZADORA DESMALEZADORA</t>
  </si>
  <si>
    <t>CEA/CAN/BOMB/CAN/HEAC/0043</t>
  </si>
  <si>
    <t>MORGANETE (TALADRO DE IMPACTO)</t>
  </si>
  <si>
    <t>CEA/CAN/BOMB/CAN/HEAC/0044</t>
  </si>
  <si>
    <t>INJECTOR DE VACIO DE 3/4 MARCA WALLACE &amp; TIERNAN</t>
  </si>
  <si>
    <t>CEA/CAN/MANT/CAN/HEAC/0045</t>
  </si>
  <si>
    <t>COMPRESOR MCGRAW 20 GALONES 1.6HP 135 PSI</t>
  </si>
  <si>
    <t>CEA/CAN/MANT/CAN/HEAC/0046</t>
  </si>
  <si>
    <t>MOTOSIERRA MARCA HYUNDAI TURBO 455 DE 2.1 HP 45CC ESPADA 18"</t>
  </si>
  <si>
    <t>CEA/CAN/MANT/CAN/HEAC/0047</t>
  </si>
  <si>
    <t>HIDROLAVADORA MARCA BAUER</t>
  </si>
  <si>
    <t>CEA/CAN/BOMB/CAN/HEAC/0048</t>
  </si>
  <si>
    <t>INTERRUPTOR TERMICO</t>
  </si>
  <si>
    <t>CEA/CAN/MANT/CAN/HEAC/0049</t>
  </si>
  <si>
    <t>PONCHADORA HIDRAULICA</t>
  </si>
  <si>
    <t>CEA/CAN/BOMB/CAN/HEAC/0050</t>
  </si>
  <si>
    <t>DOSIFICADOR DE CLORO</t>
  </si>
  <si>
    <t>CEA/CAN/BOMB/CAN/HEAC/0051</t>
  </si>
  <si>
    <t>CEA/CAN/BOMB/CAN/EQBO/0001</t>
  </si>
  <si>
    <t>VALVULA COMPUERTA DE 8"  DE DIAMETRO, BRIDADA, 600 LBS</t>
  </si>
  <si>
    <t>CEA/CAN/BOMB/CAN/EQBO/0002</t>
  </si>
  <si>
    <t>VALVULA COMPUERTA DE 6"  DE DIAMETRO, BRIDADA, 600 LBS</t>
  </si>
  <si>
    <t>CEA/CAN/BOMB/CAN/EQBO/0015</t>
  </si>
  <si>
    <t>MOTOR SUMERGIBLE</t>
  </si>
  <si>
    <t>CEA/CAN/BOMB/CAN/EQBO/0016</t>
  </si>
  <si>
    <t>115 METROS DE CABLE SUMERGIBLE 3X2/0</t>
  </si>
  <si>
    <t>CEA/CAN/BOMB/CAN/EQBO/0018</t>
  </si>
  <si>
    <t xml:space="preserve">MOTOR ELECTRICO HORIZONTAL </t>
  </si>
  <si>
    <t>CEA/CAN/BOMB/CAN/EQBO/0020</t>
  </si>
  <si>
    <t>BOMBA (GASTO 625 GALONES A 270 PIES)</t>
  </si>
  <si>
    <t>CEA/CAN/BOMB/CAN/EQBO/0023</t>
  </si>
  <si>
    <t>BOMBA SUMERGIBLE</t>
  </si>
  <si>
    <t>CEA/CAN/BOMB/CAN/EQBO/0024</t>
  </si>
  <si>
    <t>CEA/CAN/BOMB/CAN/EQBO/0026</t>
  </si>
  <si>
    <t>BOMBA CENTRIFUGA HORIZONTAL</t>
  </si>
  <si>
    <t>CEA/CAN/BOMB/CAN/EQBO/0027</t>
  </si>
  <si>
    <t>MOTOR HORIZONTAL 50HP, 3F, 3600RPM</t>
  </si>
  <si>
    <t>CEA/CAN/BOMB/CAN/EQBO/0028</t>
  </si>
  <si>
    <t>CONTENEDOR VACIO P/GAS CLORO</t>
  </si>
  <si>
    <t>CEA/CAN/BOMB/CAN/EQBO/0032</t>
  </si>
  <si>
    <t>ARRANCADOR SUAVE 100HP</t>
  </si>
  <si>
    <t>CEA/CAN/BOMB/CAN/EQBO/0034</t>
  </si>
  <si>
    <t>ARRANCADOR 76HP 460</t>
  </si>
  <si>
    <t>CEA/CAN/BOMB/CAN/EQBO/0035</t>
  </si>
  <si>
    <t>BOMBA SUMERGIBLE ALTAMIRA Y MOTOR SUMERGIBLE ALTAMIRA</t>
  </si>
  <si>
    <t>CEA/CAN/BOMB/CAN/EQBO/0036</t>
  </si>
  <si>
    <t>BOMBA CENTRIFUGA DE 4 ETAPAS MARCA BYRON JACKSON BS-353</t>
  </si>
  <si>
    <t>CEA/CAN/BOMB/CAN/EQBO/0037</t>
  </si>
  <si>
    <t>BOMBA CENTRIFUGA DE 4 ETAPAS MARCA BYRON JACKSON BS-352</t>
  </si>
  <si>
    <t>CEA/CAN/BOMB/CAN/EQBO/0038</t>
  </si>
  <si>
    <t>MOTOR ELECTRICO DE 1000HP, 2300VOLTS, 3 FASES, 226AMPS</t>
  </si>
  <si>
    <t>CEA/CAN/BOMB/CAN/EQBO/0039</t>
  </si>
  <si>
    <t>CEA/CAN/BOMB/CAN/EQBO/0040</t>
  </si>
  <si>
    <t>ARRANCADOR A TENSION PLENA DE 2300 VOLTS, MARCA TOSHIBA</t>
  </si>
  <si>
    <t>CEA/CAN/BOMB/CAN/EQBO/0041</t>
  </si>
  <si>
    <t>BOMBA SUMERGIBLE CON MOTOR SUMERGIBLE</t>
  </si>
  <si>
    <t>ARRANCADOR SUAVE 60HP 460 VOLT</t>
  </si>
  <si>
    <t xml:space="preserve">MOTOR SUMERGIBLE </t>
  </si>
  <si>
    <t>ARRANCADOR A TENSION PLENA</t>
  </si>
  <si>
    <t>CEA/CAN/BOMB/CAN/EQBO/0042</t>
  </si>
  <si>
    <t>BOMBA TURBINA, LUBRICACION EN ACEITE</t>
  </si>
  <si>
    <t>CEA/CAN/BOMB/CAN/EQBO/0043</t>
  </si>
  <si>
    <t>ARRANCADOR TENSION PLENA TAMAÑO 4</t>
  </si>
  <si>
    <t>CEA/CAN/BOMB/CAN/EQBO/0044</t>
  </si>
  <si>
    <t>BOMBA ALTAMIRA</t>
  </si>
  <si>
    <t>CEA/CAN/BOMB/CAN/EQBO/0045</t>
  </si>
  <si>
    <t>BOMBA SUMERGIBLE 60HP ALTAMIRA</t>
  </si>
  <si>
    <t>CEA/CAN/BOMB/CAN/EQBO/0046</t>
  </si>
  <si>
    <t>MOTOR SUMERGIBLE 60HP 3F 460V ALTAMIRA</t>
  </si>
  <si>
    <t>CEA/CAN/BOMB/CAN/EQBO/0047</t>
  </si>
  <si>
    <t>MOTOR SUMERGIBLE 50HP TRIFASICO 460V ALTAMIRA</t>
  </si>
  <si>
    <t>CEA/CAN/BOMB/CAN/EQBO/0048</t>
  </si>
  <si>
    <t>BOMBA SUMERGIBLE ACERO INOXIDABLE ALTAMIRA</t>
  </si>
  <si>
    <t>CEA/CAN/BOMB/CAN/EQBO/0049</t>
  </si>
  <si>
    <t>MOTRO Y BOMBA SUMERGIBLE ACERO INOXIDABLE ALTAMIRA</t>
  </si>
  <si>
    <t>CEA/CAN/BOMB/CAN/EQBO/0050</t>
  </si>
  <si>
    <t>BOMBA CENTRIFUGA FRANKLIN</t>
  </si>
  <si>
    <t>CEA/CAN/BOMB/CAN/EQBO/0051</t>
  </si>
  <si>
    <t>ARRANCADOR SUAVE ESTADO SOLIDO 50/100HP 220/440V</t>
  </si>
  <si>
    <t>CEA/CAN/BOMB/CAN/EQBO/0052</t>
  </si>
  <si>
    <t>VALVULA COMPUERTA BRIDADA P/600 LIBRAS DE PRESION 8"</t>
  </si>
  <si>
    <t>CEA/CAN/BOMB/CAN/EQBO/0053</t>
  </si>
  <si>
    <t>CEA/CAN/BOMB/CAN/EQBO/0054</t>
  </si>
  <si>
    <t>VALVULA CHECK BRIDADA P/PRESION DE 600 LIBRAS 8"</t>
  </si>
  <si>
    <t>CEA/CAN/BOMB/CAN/EQBO/0055</t>
  </si>
  <si>
    <t>CEA/CAN/BOMB/CAN/EQBO/0056</t>
  </si>
  <si>
    <t>BOMBA SUMERGIBLE ALTAMIRA CON MOTOR DE 100 HP 460 VOLTS 6"</t>
  </si>
  <si>
    <t>CEA/CAN/BOMB/CAN/EQBO/0057</t>
  </si>
  <si>
    <t>CEA/CAN/BOMB/CAN/EQBO/0058</t>
  </si>
  <si>
    <t>CAPACITOR TRIFASICO 2400VOLTS 100KVAR</t>
  </si>
  <si>
    <t>CEA/CAN/BOMB/CAN/EQBO/0059</t>
  </si>
  <si>
    <t>VALVULA CHECK 4" GOULDS</t>
  </si>
  <si>
    <t>CEA/CAN/BOMB/CAN/EQBO/0060</t>
  </si>
  <si>
    <t>ARRANCADOR MAGNETICO A TENSION REDUCIDA 200AMP 440VOLTS</t>
  </si>
  <si>
    <t>CEA/CAN/BOMB/CAN/EQBO/0061</t>
  </si>
  <si>
    <t>MOTOR SUMERGIBLE SERIE "R" 20HP TRIFASICO 460VOLTS ACOPLAMIENTO A 6"</t>
  </si>
  <si>
    <t>CEA/CAN/BOMB/CAN/EQBO/0062</t>
  </si>
  <si>
    <t xml:space="preserve">BOMBA SUMERGIBLE </t>
  </si>
  <si>
    <t>CEA/CAN/BOMB/CAN/EQBO/0063</t>
  </si>
  <si>
    <t>ARRANCADOR SUAVE 200HP 7-12 400-600V</t>
  </si>
  <si>
    <t>CEA/CAN/BOMB/CAN/EQBO/0064</t>
  </si>
  <si>
    <t>MOTOR SUMERGIBLE FRANKLIN ACOPLADO A BOMBA SUMERGIBLE ALTAMIRA</t>
  </si>
  <si>
    <t>CEA/CAN/BOMB/CAN/EQBO/0065</t>
  </si>
  <si>
    <t>CEA/CAN/BOMB/CAN/EQBO/0066</t>
  </si>
  <si>
    <t xml:space="preserve">BOMBA SUMERGIBLE ALTAMIRA 100HP </t>
  </si>
  <si>
    <t>CEA/CAN/BOMB/CAN/EQBO/0067</t>
  </si>
  <si>
    <t>BOMBA SUMERGIBLE DESCARGA 6" ROSCA HEMBRA</t>
  </si>
  <si>
    <t>CEA/CAN/BOMB/CAN/EQBO/0068</t>
  </si>
  <si>
    <t>MOTOR SUMERGIBLE 60HP, TRIFASICO, 460VOLTS, ACOPLAMIENTO DE 6"</t>
  </si>
  <si>
    <t>CEA/CAN/BOMB/CAN/EQBO/0069</t>
  </si>
  <si>
    <t>MOTOR SUMERGIBLE 100HP 440VOLTS 60C OTORGA</t>
  </si>
  <si>
    <t>CEA/CAN/BOMB/CAN/EQBO/0070</t>
  </si>
  <si>
    <t>BOMBA SUMERGIBLE M/KM-152-V OTORGA</t>
  </si>
  <si>
    <t>CEA/CAN/BOMB/CAN/EQBO/0071</t>
  </si>
  <si>
    <t>BOMBA-MOTOR SUMERGIBLE FRANKLIN ELECTRIC</t>
  </si>
  <si>
    <t>CEA/CAN/BOMB/CAN/EQBO/0072</t>
  </si>
  <si>
    <t xml:space="preserve">BOMBA SUMERGIBLE ALTAMIRA M/KOR 32 R600-7-18 </t>
  </si>
  <si>
    <t>CEA/CAN/BOMB/CAN/EQBO/0073</t>
  </si>
  <si>
    <t>MOTOR SUMERGIBLE ALTAMIRA TRIFASICO 75HP 460VOLTS</t>
  </si>
  <si>
    <t>CEA/CAN/BOMB/CAN/EQBO/0074</t>
  </si>
  <si>
    <t>CEA/CAN/BOMB/CAN/EQBO/0075</t>
  </si>
  <si>
    <t>VARIADOR MARCA ITT-ABB</t>
  </si>
  <si>
    <t>CEA/CAN/BOMB/CAN/EQBO/0076</t>
  </si>
  <si>
    <t>BOMBA CENTRIFUGA HORIZONTAL MARCA FLOWSERVE</t>
  </si>
  <si>
    <t>CEA/CAN/BOMB/CAN/EQBO/0077</t>
  </si>
  <si>
    <t>MOTOR ELECTRICO MARCA WEG</t>
  </si>
  <si>
    <t>CEA/CAN/BOMB/CAN/EQBO/0078</t>
  </si>
  <si>
    <t>BOMBAS CENTRIFUGAS HORIZONTALES MARCA LIGHTNING PUMPS CENTRAL DE BOMBAS</t>
  </si>
  <si>
    <t>CEA/CAN/BOMB/CAN/EQBO/0079</t>
  </si>
  <si>
    <t>ARRANCADOR TOSHIBA 600 HP ESTADO SOLIDO</t>
  </si>
  <si>
    <t>CEA/CAN/BOMB/CAN/EQBO/0080</t>
  </si>
  <si>
    <t>CEA/CAN/BOMB/CAN/EQBO/0081</t>
  </si>
  <si>
    <t>CEA/CAN/BOMB/CAN/EQBO/0082</t>
  </si>
  <si>
    <t>BOMBA CENTRIF HORZ 1000 HP Y 1 DE 500 HP, 3 ARRANCADS DE 1000 HP, 4 CAPACIT P/MOT 1000HP, 6 GABINETES</t>
  </si>
  <si>
    <t>CEA/CAN/BOMB/CAN/EQBO/0083</t>
  </si>
  <si>
    <t>BOMBA SUMERGIBLE CON MOTOR</t>
  </si>
  <si>
    <t>CEA/CAN/BOMB/CAN/EQBO/0084</t>
  </si>
  <si>
    <t>BOMBA CON MOTOR SUMERGIBLE</t>
  </si>
  <si>
    <t>CEA/CAN/BOMB/CAN/EREB/0001</t>
  </si>
  <si>
    <t>VALVULA CHECK A FUNDIDO A 8" 600 LBS</t>
  </si>
  <si>
    <t>CEA/CAN/BOMB/CAN/EREB/0003</t>
  </si>
  <si>
    <t>COPLE P/BOMBA</t>
  </si>
  <si>
    <t>CEA/CAN/BOMB/CAN/OEQU/0003</t>
  </si>
  <si>
    <t>REPETIDOR DE 25-50 WATTS EN VHF</t>
  </si>
  <si>
    <t>CEA/CAN/BOMB/CAN/OEQU/0014</t>
  </si>
  <si>
    <t>RADIO  5 WATTS, 8 CANALES EN VHF</t>
  </si>
  <si>
    <t>CEA/CAN/COML/CAN/OEQU/0015</t>
  </si>
  <si>
    <t>RADIO  5 WATTS, 16 CANALES EN VHF</t>
  </si>
  <si>
    <t>CEA/CAN/BOMB/CAN/OEQU/0005</t>
  </si>
  <si>
    <t>EQUIPO DE CLORACION</t>
  </si>
  <si>
    <t>CEA/CAN/COML/CAN/OEQU/0006</t>
  </si>
  <si>
    <t xml:space="preserve">4 CASSETTE AUTOREVERSA Y 4 TROMPETAS </t>
  </si>
  <si>
    <t>CEA/CAN/BOMB/CAN/OEQU/0007</t>
  </si>
  <si>
    <t>RELEVADOR DE PROTECCION</t>
  </si>
  <si>
    <t>CEA/CAN/BOMB/CAN/OEQU/0010</t>
  </si>
  <si>
    <t>350 METROS DE CABLE SUMERGIBLE CALIBRE 3X3/0</t>
  </si>
  <si>
    <t>CEA/CAN/MANT/CAN/OEQU/0011</t>
  </si>
  <si>
    <t>BOTE  P/RETRO 12" (30cm) DE ANCHO</t>
  </si>
  <si>
    <t>CEA/CAN/COML/CAN/OEQU/0012</t>
  </si>
  <si>
    <t xml:space="preserve">FUENTE DE PODER </t>
  </si>
  <si>
    <t>CEA/CAN/COML/CAN/OEQU/0013</t>
  </si>
  <si>
    <t>MICROFONO</t>
  </si>
  <si>
    <t>CEA/CAN/MANT/CAN/OEQU/0016</t>
  </si>
  <si>
    <t>RADIO 128 CANALES, 5 WATTS, VHF</t>
  </si>
  <si>
    <t>CEA/CAN/MANT/CAN/OEQU/0021</t>
  </si>
  <si>
    <t>TANQUE (450 LITROS) Y BOMBA CENTRIFUGA</t>
  </si>
  <si>
    <t>CEA/CAN/MANT/CAN/OEQU/0023</t>
  </si>
  <si>
    <t>TRANSFORMADOR TRIFASICO TIPO POSTE 150KVA</t>
  </si>
  <si>
    <t>CEA/CAN/MANT/CAN/OEQU/0025</t>
  </si>
  <si>
    <t>RADIO VHF 144-174 MHZ 5W DE POTENCIA, 16 CANALES</t>
  </si>
  <si>
    <t>CEA/CAN/MANT/CAN/OEQU/0029</t>
  </si>
  <si>
    <t>EQUIPO COMPACTO DE MEDICION</t>
  </si>
  <si>
    <t>CEA/CAN/MANT/CAN/OEQU/0024</t>
  </si>
  <si>
    <t>INTERRUPTOR TERMOMAGNETICO  TRIFASICO 400 AMPS</t>
  </si>
  <si>
    <t>CEA/CAN/MANT/CAN/OEQU/0026</t>
  </si>
  <si>
    <t>FUENTES DE PODER</t>
  </si>
  <si>
    <t>CEA/CAN/MANT/CAN/OEQU/0027</t>
  </si>
  <si>
    <t>CEA/CAN/MANT/CAN/OEQU/0028</t>
  </si>
  <si>
    <t>ANTENA PARA REPETIDOR</t>
  </si>
  <si>
    <t>CEA/CAN/MANT/CAN/OEQU/0030</t>
  </si>
  <si>
    <t xml:space="preserve">GABINETE CON AISLAMIENTO PARA 35 KV P/ALOJAR EQUIPO COMPACTO DE MEDICION DE CFE </t>
  </si>
  <si>
    <t>CEA/CAN/BOMB/CAN/OEQU/0031</t>
  </si>
  <si>
    <t>2 RADIOS KENWOOD</t>
  </si>
  <si>
    <t>CEA/CAN/BOMB/CAN/OEQU/0032</t>
  </si>
  <si>
    <t>FUENTE DE PODER ASTRON</t>
  </si>
  <si>
    <t>CEA/CAN/BOMB/CAN/OEQU/0033</t>
  </si>
  <si>
    <t>RADIO PORTATIL ANALOGICO VHF 2 WATTS KENWOOD</t>
  </si>
  <si>
    <t>CEA/CAN/BOMB/CAN/OEQU/0034</t>
  </si>
  <si>
    <t>TRANSFORMADOR 3 FASES 75 KVA 33000 A 440 VOLTS</t>
  </si>
  <si>
    <t>CEA/CAN/BOMB/CAN/OEQU/0035</t>
  </si>
  <si>
    <t>CEA/CAN/BOMB/CAN/OEQU/0036</t>
  </si>
  <si>
    <t>3 EQUIPOS DE RADIOCOMUNICACION</t>
  </si>
  <si>
    <t>CEA/CAN/BOMB/CAN/OEQU/0037</t>
  </si>
  <si>
    <t>CUERPO DE TAZONES 70METROS, CONTRA UN GASTO DE 70 L.P.S.</t>
  </si>
  <si>
    <t>CEA/CAN/BOMB/CAN/OEQU/0038</t>
  </si>
  <si>
    <t>DVD TURBO 8 CANALES</t>
  </si>
  <si>
    <t>CEA/CAN/BOMB/CAN/OEQU/0039</t>
  </si>
  <si>
    <t>PANTALLA 19"</t>
  </si>
  <si>
    <t>CEA/CAN/BOMB/CAN/OEQU/0040</t>
  </si>
  <si>
    <t>RADIO PORTATIL 5 WATTS KENWOOD</t>
  </si>
  <si>
    <t>CEA/CAN/BOMB/CAN/OEQU/0041</t>
  </si>
  <si>
    <t>EQUIPO DE CLORACION COMPLETO V10K (1 CILINDRO Y 2 INYECTORES)</t>
  </si>
  <si>
    <t>CEA/CAN/BOMB/CAN/OEQU/0042</t>
  </si>
  <si>
    <t>ARRANCADOR SUAVE MARCA SIEMENS</t>
  </si>
  <si>
    <t>CEA/CAN/BOMB/CAN/OEQU/0043</t>
  </si>
  <si>
    <t>KIT DE MONITOREO 1 DISCO DURO Y 4 CAMARAS Y DVR 8 CANALES</t>
  </si>
  <si>
    <t>CEA/CAN/BOMB/CAN/OEQU/0044</t>
  </si>
  <si>
    <t>CEA/CAN/BOMB/CAN/OEQU/0045</t>
  </si>
  <si>
    <t>KIT DE MONITOREO 1 DISCO DURO Y 8 CAMARAS Y DVR 8 CANALES</t>
  </si>
  <si>
    <t>CEA/CAN/BOMB/CAN/OEQU/0046</t>
  </si>
  <si>
    <t>CEA/CAN/BOMB/CAN/OEQU/0047</t>
  </si>
  <si>
    <t>CASETA INSULPANEL, EQUIPADO Y USADO</t>
  </si>
  <si>
    <t>CEA/CAN/BOMB/CAN/OEQU/0048</t>
  </si>
  <si>
    <t>EQUIPO STARLINK (ANTENA, CABLE, ROUTER y BASE)</t>
  </si>
  <si>
    <t>CEA/CAN/BOMB/CAN/OEQU/0049</t>
  </si>
  <si>
    <t>TRANSFORMADOR MONOFASICO</t>
  </si>
  <si>
    <t>CEA/CAN/COML/CAN/OEQU/0050</t>
  </si>
  <si>
    <t>MODULO CON REMOLQUE, 5M DE LARGO, 2.50M DE ANCHO, 2.55M DE ALTO</t>
  </si>
  <si>
    <t>CEA/CAN/BOMB/CAN/OEQU/0051</t>
  </si>
  <si>
    <t>ARRANCADOR MODELO 150-F251NBD MARCA ALLEN BRADLEY</t>
  </si>
  <si>
    <t>CEA/CAN/BOMB/CAN/OEQU/0052</t>
  </si>
  <si>
    <t>5 CONECTORES EN VACIO P/MEDIANA TENSION</t>
  </si>
  <si>
    <t>CEA/CAN/BOMB/CAN/OEQU/0053</t>
  </si>
  <si>
    <t>TRANSFORMADOR 15KVA, 33000 YT 19050 120/240 TIPO POSTE MARCA IG</t>
  </si>
  <si>
    <t>CEA/CAN/BOMB/CAN/OEQU/0054</t>
  </si>
  <si>
    <t xml:space="preserve">TRAJE HAZMAT </t>
  </si>
  <si>
    <t>CEA/CAN/COML/CAN/OEQU/0055</t>
  </si>
  <si>
    <t>PANEL SOLAR 550W</t>
  </si>
  <si>
    <t>CEA/CAN/COML/CAN/OEQU/0056</t>
  </si>
  <si>
    <t>BATERIA SOLAR GROWATT</t>
  </si>
  <si>
    <t>CEA/CAN/COML/CAN/OEQU/0057</t>
  </si>
  <si>
    <t>INVERSOR CARGADOR 3KW</t>
  </si>
  <si>
    <t>CEA/CAN/BOMB/CAN/OEQU/0058</t>
  </si>
  <si>
    <t>CEA/CAN/BOMB/CAN/OEQU/0059</t>
  </si>
  <si>
    <t>CEA/CAN/COML/CAN/OEQU/0060</t>
  </si>
  <si>
    <t>KIT DE MONITOREO VISION NOCTURNA</t>
  </si>
  <si>
    <t>CEA/CAN/COML/CAN/COMP/0464</t>
  </si>
  <si>
    <t>CEA/CAN/MANT/CAN/COMP/0458</t>
  </si>
  <si>
    <t>MONITOR 17" LANIX</t>
  </si>
  <si>
    <t>CEA/CAN/MANT/CAN/COMP/0446</t>
  </si>
  <si>
    <t>CPU HP COMPAQ</t>
  </si>
  <si>
    <t>CEA/CAN/COML/CAN/COMP/0471</t>
  </si>
  <si>
    <t>IMPRESORA TERMICA EPSON</t>
  </si>
  <si>
    <t>CEA/CAN/COML/CAN/COMP/0472</t>
  </si>
  <si>
    <t>CEA/CAN/COML/CAN/COMP/0473</t>
  </si>
  <si>
    <t>CEA/CAN/COML/CAN/COMP/0476</t>
  </si>
  <si>
    <t>CEA/CAN/COML/CAN/COMP/0477</t>
  </si>
  <si>
    <t>CEA/CAN/ADMN/CAN/COMP/0478</t>
  </si>
  <si>
    <t>CEA/CAN/COML/CAN/COMP/0480</t>
  </si>
  <si>
    <t>MONITOR 18.5" HP</t>
  </si>
  <si>
    <t>CEA/CAN/COML/CAN/COMP/0481</t>
  </si>
  <si>
    <t>CEA/CAN/COML/CAN/COMP/0482</t>
  </si>
  <si>
    <t>CEA/CAN/COML/CAN/COMP/0483</t>
  </si>
  <si>
    <t>CEA/CAN/COML/CAN/COMP/0484</t>
  </si>
  <si>
    <t>CEA/CAN/ADMN/CAN/COMP/0485</t>
  </si>
  <si>
    <t>CEA/CAN/ADMN/CAN/COMP/0486</t>
  </si>
  <si>
    <t>CEA/CAN/COML/CAN/COMP/0567</t>
  </si>
  <si>
    <t>MULTIFUNCIONAL HP</t>
  </si>
  <si>
    <t>CEA/CAN/ADMN/CAN/COMP/0703</t>
  </si>
  <si>
    <t>CPU Y MONITOR 18.5" GHIA</t>
  </si>
  <si>
    <t>CEA/CAN/BOMB/CAN/COMP/0705</t>
  </si>
  <si>
    <t>CEA/CAN/ADMN/CAN/COMP/0704</t>
  </si>
  <si>
    <t>CEA/CAN/ADMN/CAN/COMP/0707</t>
  </si>
  <si>
    <t>DISCO DURO EXTERNO TOSHIBA 2 TB</t>
  </si>
  <si>
    <t>CEA/CAN/ADMN/CAN/COMP/0708</t>
  </si>
  <si>
    <t>IMPRESORA MULTIFUNCIONAL LASERJET COLOR HP</t>
  </si>
  <si>
    <t>CEA/CAN/ADMN/CAN/COMP/0706</t>
  </si>
  <si>
    <t>LAPTOP HACER</t>
  </si>
  <si>
    <t>CEA/CAN/ADMN/CAN/COMP/0709</t>
  </si>
  <si>
    <t>IMPRESORA LASER HP</t>
  </si>
  <si>
    <t>CEA/CAN/ADMN/CAN/COMP/0710</t>
  </si>
  <si>
    <t>PLOTER DESIGNJET HP</t>
  </si>
  <si>
    <t>CEA/CAN/ADMN/CAN/COMP/0712</t>
  </si>
  <si>
    <t>CPU HP</t>
  </si>
  <si>
    <t>CEA/CAN/ADMN/CAN/COMP/0713</t>
  </si>
  <si>
    <t>MONITOR HP 18.5"</t>
  </si>
  <si>
    <t>CEA/CAN/COML/CAN/COMP/0714</t>
  </si>
  <si>
    <t>CPU Y MONITOR HP</t>
  </si>
  <si>
    <t>CEA/CAN/ADMN/CAN/COMP/0715</t>
  </si>
  <si>
    <t>CEA/CAN/ADMN/CAN/COMP/0716</t>
  </si>
  <si>
    <t>CEA/CAN/COML/CAN/COMP/0717</t>
  </si>
  <si>
    <t>CEA/CAN/ADMN/CAN/COMP/0718</t>
  </si>
  <si>
    <t>IMPRESORA LASER</t>
  </si>
  <si>
    <t>CEA/CAN/COML/CAN/COMP/0719</t>
  </si>
  <si>
    <t>CEA/CAN/COML/CAN/COMP/0720</t>
  </si>
  <si>
    <t xml:space="preserve">IMPRESORA </t>
  </si>
  <si>
    <t>CEA/CAN/COML/CAN/COMP/0721</t>
  </si>
  <si>
    <t>COMPUTADORA DE ESCRITORIO 18.5"</t>
  </si>
  <si>
    <t>CEA/CAN/COML/CAN/COMP/0722</t>
  </si>
  <si>
    <t xml:space="preserve">IMPRESORA TERMICA </t>
  </si>
  <si>
    <t>CEA/CAN/COML/CAN/COMP/0723</t>
  </si>
  <si>
    <t>CEA/CAN/COML/CAN/COMP/0724</t>
  </si>
  <si>
    <t>MONITOR DELL</t>
  </si>
  <si>
    <t>CEA/CAN/COML/CAN/COMP/0725</t>
  </si>
  <si>
    <t>CPU DELL</t>
  </si>
  <si>
    <t>CEA/CAN/ADMN/CAN/COMP/0726</t>
  </si>
  <si>
    <t>IMPRESORA OKIDATA</t>
  </si>
  <si>
    <t>CEA/CAN/COML/CAN/COMP/0727</t>
  </si>
  <si>
    <t>COMPUTADORA ENSAMBLADA</t>
  </si>
  <si>
    <t>CEA/CAN/COML/CAN/COMP/0728</t>
  </si>
  <si>
    <t>IMPRESORA TERMICA</t>
  </si>
  <si>
    <t>CEA/CAN/MANT/CAN/COMP/0729</t>
  </si>
  <si>
    <t>COMPUTADORA DE ESCRITORIO 4GB 1TB DVD CON MONITOR</t>
  </si>
  <si>
    <t>CEA/CAN/COML/CAN/COMP/0730</t>
  </si>
  <si>
    <t>IMPRESORA DE TICKETS EPSON</t>
  </si>
  <si>
    <t>CEA/CAN/COML/CAN/COMP/0731</t>
  </si>
  <si>
    <t>CEA/CAN/ADMN/CAN/COMP/0732</t>
  </si>
  <si>
    <t>COMPUTADORA DE ESCRITORIO HP</t>
  </si>
  <si>
    <t>CEA/CAN/ADMN/CAN/COMP/0733</t>
  </si>
  <si>
    <t>CEA/CAN/ADMN/CAN/COMP/0734</t>
  </si>
  <si>
    <t>MONITOR VIEWSONIC</t>
  </si>
  <si>
    <t>CEA/CAN/ADMN/CAN/COMP/0735</t>
  </si>
  <si>
    <t>CEA/CAN/COML/CAN/COMP/0736</t>
  </si>
  <si>
    <t>COMPUTADORA HP PRODESK 400 G7 DISCO DURO 256GB SSD RAM 8GB S/MXL2342TM0</t>
  </si>
  <si>
    <t>COMPUTADORA HP PRODESK 400 G7 DISCO DURO 256GB SSD RAM 8GB S/MXL2342TMH</t>
  </si>
  <si>
    <t>COMPUTADORA HP PRODESK 400 G7 DISCO DURO 256GB SSD RAM 8GB S/MXL2342TML</t>
  </si>
  <si>
    <t>COMPUTADORA HP PRODESK 400 G7 DISCO DURO 256GB SSD RAM 8GB S/MXL2342TMR</t>
  </si>
  <si>
    <t>COMPUTADORA HP PRODESK 400 G7 DISCO DURO 256GB SSD RAM 8GB S/MXL2342TNC</t>
  </si>
  <si>
    <t>COMPUTADORA HP PRODESK 400 G7 DISCO DURO 256GB SSD RAM 8GB S/MXL2342TNZ</t>
  </si>
  <si>
    <t>COMPUTADORA HP PRODESK 400 G7 DISCO DURO 256GB SSD RAM 8GB S/MXL2342TPF</t>
  </si>
  <si>
    <t>COMPUTADORA HP PRODESK 400 G7 DISCO DURO 256GB SSD RAM 8GB S/MXL2342TQ1</t>
  </si>
  <si>
    <t>COMPUTADORA HP PRODESK 400 G7 DISCO DURO 256GB SSD RAM 8GB S/MXL2342TQ3</t>
  </si>
  <si>
    <t>COMPUTADORA HP PRODESK 400 G7 DISCO DURO 256GB SSD RAM 8GB S/MXL2342TQJ</t>
  </si>
  <si>
    <t>CEA/CAN/COML/CAN/COMP/0737</t>
  </si>
  <si>
    <t>SERVIDOR DEEL Y MEMORIA RAM DELL-AB663418-16GB</t>
  </si>
  <si>
    <t>CEA/CAN/COML/CAN/COMP/0738</t>
  </si>
  <si>
    <t>LICENCIA</t>
  </si>
  <si>
    <t>CEA/CAN/COML/CAN/COMP/0739</t>
  </si>
  <si>
    <t>CEA/CAN/COML/CAN/COMP/0740</t>
  </si>
  <si>
    <t>IMPRESORA TICKETS EPSON</t>
  </si>
  <si>
    <t>CEA/CAN/COML/CAN/COMP/0741</t>
  </si>
  <si>
    <t>IMPRESORA EPSON</t>
  </si>
  <si>
    <t>CEA/CAN/BOMB/CAN/COMP/0742</t>
  </si>
  <si>
    <t>CEA/CAN/BOMB/CAN/COMP/0743</t>
  </si>
  <si>
    <t>KIT MONITOR VISION NOCTURNA</t>
  </si>
  <si>
    <t>CEA/CAN/COML/CAN/COMP/0744</t>
  </si>
  <si>
    <t>CAJERO AUTOMATICO</t>
  </si>
  <si>
    <t>CEA/CAN/ADMN/CAN/MOBE/0001</t>
  </si>
  <si>
    <t xml:space="preserve">CENTRAL KIT </t>
  </si>
  <si>
    <t>CEA/CAN/ADMN/CAN/MOBE/0002</t>
  </si>
  <si>
    <t>KIT TELÉFONO</t>
  </si>
  <si>
    <t>CEA/CAN/ADMN/CAN/MOBE/0003</t>
  </si>
  <si>
    <t>CENTRO DE TRABAJO L VOGUE</t>
  </si>
  <si>
    <t>CEA/CAN/ADMN/CAN/MOBE/0006</t>
  </si>
  <si>
    <t>AIRE ACONDICIONADO 2 TON.</t>
  </si>
  <si>
    <t>CEA/CAN/ADMN/CAN/MOBE/0007</t>
  </si>
  <si>
    <t>REFRIGERACION 5 TON.</t>
  </si>
  <si>
    <t>CEA/CAN/ADMN/CAN/MOBE/0008</t>
  </si>
  <si>
    <t xml:space="preserve">CALENTON </t>
  </si>
  <si>
    <t>CEA/CAN/ADMN/CAN/MOBE/0009</t>
  </si>
  <si>
    <t>CALENTON CON CILINDRO</t>
  </si>
  <si>
    <t>CEA/CAN/ADMN/CAN/MOBE/0028</t>
  </si>
  <si>
    <t>1 silla secretarial azul</t>
  </si>
  <si>
    <t>CEA/CAN/COML/CAN/MOBE/0022 Y 23</t>
  </si>
  <si>
    <t>2 sillas visitas  azul</t>
  </si>
  <si>
    <t>CEA/CAN/BOMB/CAN/MOBE/0031 Y 32</t>
  </si>
  <si>
    <t>CEA/CAN/MANT/CAN/MOBE/0024</t>
  </si>
  <si>
    <t>CEA/CAN/COML/CAN/MOBE/0035</t>
  </si>
  <si>
    <t>1 silla ejecutiva azul opaco</t>
  </si>
  <si>
    <t>CEA/CAN/ADMN/CAN/MOBE/0027</t>
  </si>
  <si>
    <t>CEA/CAN/ADMN/CAN/MOBE/0036</t>
  </si>
  <si>
    <t>1 silla secretarial azul oscuro</t>
  </si>
  <si>
    <t>CEA/CAN/ADMN/CAN/MOBE/0030</t>
  </si>
  <si>
    <t>CEA/CAN/COML/CAN/MOBE/0025</t>
  </si>
  <si>
    <t>1 silla secretaial azul</t>
  </si>
  <si>
    <t>CEA/CAN/COML/CAN/MOBE/0010</t>
  </si>
  <si>
    <t>7 POSTES Y 2 TENSORES</t>
  </si>
  <si>
    <t>CEA/CAN/ADMN/CAN/MOBE/0012</t>
  </si>
  <si>
    <t>10 SILLAS Y 1 SILLON P/2</t>
  </si>
  <si>
    <t>CEA/CAN/COML/CAN/MOBE/0013</t>
  </si>
  <si>
    <t>1 ESCRITORIO</t>
  </si>
  <si>
    <t>CEA/CAN/ADMN/CAN/MOBE/0014</t>
  </si>
  <si>
    <t>1 SILLON AZUL P/3</t>
  </si>
  <si>
    <t>CEA/CAN/MANT/CAN/MOBE/0015,16,17,18</t>
  </si>
  <si>
    <t>4 ESCRITORIOS</t>
  </si>
  <si>
    <t>CEA/CAN/COML/CAN/MOBE/0037</t>
  </si>
  <si>
    <t>ESCRITORIO 1.75 X .75X.70</t>
  </si>
  <si>
    <t>CEA/CAN/COML/CAN/MOBE/0038</t>
  </si>
  <si>
    <t>CREDENZA (IMITACION MADERA)</t>
  </si>
  <si>
    <t>CEA/CAN/ADMN/CAN/MOBE/0040</t>
  </si>
  <si>
    <t>AIRE ACONDICIONADO</t>
  </si>
  <si>
    <t>CEA/CAN/ADMN/CAN/MOBE/0042-0043</t>
  </si>
  <si>
    <t>5 CASILLEROS C/CERRADURA 40X45/2 PUERTAS</t>
  </si>
  <si>
    <t>CEA/CAN/ADMN/CAN/MOBE/0044</t>
  </si>
  <si>
    <t>4 SILLAS SECRETARIALES COLOR NEGRO</t>
  </si>
  <si>
    <t>CEA/CAN/ADMN/CAN/MOBE/0046</t>
  </si>
  <si>
    <t>MINI-SPLIT 1 TONELADA</t>
  </si>
  <si>
    <t>CEA/CAN/ADMN/CAN/MOBE/0047</t>
  </si>
  <si>
    <t>MINI-SPLIT 2 TONELADAS</t>
  </si>
  <si>
    <t>CEA/CAN/ADMN/CAN/MOBE/0048</t>
  </si>
  <si>
    <t>ABANICO DE TECHO</t>
  </si>
  <si>
    <t>CEA/CAN/ADMN/CAN/MOBE/0049</t>
  </si>
  <si>
    <t>FAX</t>
  </si>
  <si>
    <t>CEA/CAN/ADMN/CAN/MOBE/50-51-52</t>
  </si>
  <si>
    <t>3  MESAS TIPO PENINSULA CON PEDESTAL CORTO CON 3 CAJONES</t>
  </si>
  <si>
    <t>CEA/CAN/ADMN/CAN/MOBE/53-54-55</t>
  </si>
  <si>
    <t>3 SILLONES EJECUTIVOS TAPIZADOS EN TELA COLOR NEGRO</t>
  </si>
  <si>
    <t>CEA/CAN/ADMN/CAN/MOBE/0056</t>
  </si>
  <si>
    <t>1 SILLON  EJECUTIVO CON RESPALDO ALTO, ELEVACION  NEUMATICA</t>
  </si>
  <si>
    <t>CEA/CAN/ADMN/CAN/MOBE/0057</t>
  </si>
  <si>
    <t>1 ESCRITORIO EJECUTIVO COMPUESTO DE PENINSULA</t>
  </si>
  <si>
    <t>CEA/CAN/ADMN/CAN/MOBE/0058</t>
  </si>
  <si>
    <t>10 SILLAS APILABLES TUBULARES, FORRADAS EN PLIANA COLOR NEGRO</t>
  </si>
  <si>
    <t>CEA/CAN/ADMN/CAN/MOBE/0059</t>
  </si>
  <si>
    <t>REFRIGERACION TIPO VENTANA</t>
  </si>
  <si>
    <t>CEA/CAN/ADMN/CAN/MOBE/0061</t>
  </si>
  <si>
    <t>ARCHIVERO 4 GAVETAS COLOR GRIS</t>
  </si>
  <si>
    <t>CEA/CAN/ADMN/CAN/MOBE/0060</t>
  </si>
  <si>
    <t>CEA/CAN/ADMN/CAN/MOBE/0063</t>
  </si>
  <si>
    <t>ARCHIVERO CON ENTREPAÑOS DE SEPARACION 2 PUERTAS</t>
  </si>
  <si>
    <t>CEA/CAN/ADMN/CAN/MOBE/0064</t>
  </si>
  <si>
    <t>SILLON CON CODERAS COLOR NEGRO</t>
  </si>
  <si>
    <t>CEA/CAN/ADMN/CAN/MOBE/0065</t>
  </si>
  <si>
    <t>PEDESTAL METALICO C/GAVETA DE ARCHIVO  2 PAPELERAS GRIS</t>
  </si>
  <si>
    <t>CEA/CAN/ADMN/CAN/MOBE/0066</t>
  </si>
  <si>
    <t>MINI SPLIT MIRAGE 1 TON, FRIO Y CALOR</t>
  </si>
  <si>
    <t>CEA/CAN/ADMN/CAN/MOBE/0067</t>
  </si>
  <si>
    <t>CEA/CAN/NCULT/CAN/MOBE/0068</t>
  </si>
  <si>
    <t>TELEVISION LED 40 SMART UHD</t>
  </si>
  <si>
    <t>CEA/CAN/NCULT/CAN/MOBE/0069</t>
  </si>
  <si>
    <t xml:space="preserve">TELEVISION LED 40 SMART </t>
  </si>
  <si>
    <t>CEA/CAN/ADMN/CAN/MOBE/0070</t>
  </si>
  <si>
    <t>CEA/CAN/ADMN/CAN/MOBE/0071</t>
  </si>
  <si>
    <t>MINISPLIT 1 TONELADA, 2 TIEMPOS</t>
  </si>
  <si>
    <t>CEA/CAN/ADMN/CAN/MOBE/0072</t>
  </si>
  <si>
    <t>MESA CONSOLETA DE 16"X40"X40 EN MADERA SOLIDA DE PINO, ACABADO POLIUTERANO</t>
  </si>
  <si>
    <t>CEA/CAN/ADMN/CAN/MOBE/0073</t>
  </si>
  <si>
    <t>MESA  44"X96" EN MADERA SOLIDA DE PINO</t>
  </si>
  <si>
    <t>CEA/CAN/ADMN/CAN/MOBE/0074</t>
  </si>
  <si>
    <t>MUEBLE ESQUINERO 24"X24"X72" EN MADERA DE PINO</t>
  </si>
  <si>
    <t>CEA/CAN/COML/CAN/MOBE/0075</t>
  </si>
  <si>
    <t>MESA DE TRABAJO CON CUBIERTA DE MELAMINA BLANCA</t>
  </si>
  <si>
    <t>CEA/CAN/COML/CAN/MOBE/0076</t>
  </si>
  <si>
    <t>MINI SPLIT FRIO-CALOR 1 TON</t>
  </si>
  <si>
    <t>CEA/CAN/COML/CAN/MOBE/0077</t>
  </si>
  <si>
    <t>MINISPLIT AURUS INV 1 TON 220V</t>
  </si>
  <si>
    <t>CEA/CAN/MANT/CAN/MOBE/0078</t>
  </si>
  <si>
    <t>CEA/CAN/BOMB/CAN/ETRA/0015</t>
  </si>
  <si>
    <t>PICK UP COURIER MARCA FORD MODELO 2005</t>
  </si>
  <si>
    <t>CEA/CAN/ADMN/CAN/ETRA/0016</t>
  </si>
  <si>
    <t>PICK UP USADO TACOMA SPORT MARCA TOYOTA 2015</t>
  </si>
  <si>
    <t>CEA/CAN/MANT/CAN/ETRA/0017</t>
  </si>
  <si>
    <t>PICK UP USADO NP300 DOBLE CABINA MARCA NISSAN 2019</t>
  </si>
  <si>
    <t>CEA/CAN/COML/CAN/ETRA/0018</t>
  </si>
  <si>
    <t>MOTOCICLETA DINAMO</t>
  </si>
  <si>
    <t>CEA/CAN/COML/CAN/ETRA/0019</t>
  </si>
  <si>
    <t>CEA/CAN/COML/CAN/ETRA/0020</t>
  </si>
  <si>
    <t>CEA/CAN/COML/CAN/ETRA/0021</t>
  </si>
  <si>
    <t>CEA-GYM-EC-CYS-012</t>
  </si>
  <si>
    <t>CPU, MARCA: HP, MODELO: COMPAQ DC7600, CELERON 1.8 SERIE: MXJ6420C2G</t>
  </si>
  <si>
    <t>CEA-GYM-EC-CYS-018</t>
  </si>
  <si>
    <t>CPU, MARCA: GENERICO, S/ MODELO, S/S 4, 1.8 GHZ, 128 RAM, MONITOR: MARCA: HP, MODELO: W1907,  15", SERIE: CNN7493C46</t>
  </si>
  <si>
    <t>CEA-GYM-EC-CYS-021</t>
  </si>
  <si>
    <t>NOMIPAQ 2004 RED PARA USUARIOS MULTIEMPRESAS CD PARA WINDOWS</t>
  </si>
  <si>
    <t>CEA-GYM-EC-CYS-023</t>
  </si>
  <si>
    <t>CPU PROCESADOR INTEL PENTIUM, GENERICO, 4, 2.8 GHZ, 512 MB RAM, DD- 120 GB, MONITOR, MARCA: ACER, MODELO: V193W, SERIE: TLC108085017072804233</t>
  </si>
  <si>
    <t>CEA-GYM-EC-CYS-024</t>
  </si>
  <si>
    <t>CPU PROCESADOR INTEL PENTIUM, GENERICO 4, 2.8 GHZ, 512 MB RAM, DD- 120 GB, MONITOR 17" MARCA: DELL , MODELO: E771A, SERIE: MY-08J854-46632-228-80X9</t>
  </si>
  <si>
    <t>CEA-GYM-EC-CYS-027</t>
  </si>
  <si>
    <t>CPU CELERON DE 2.13 GHZ, 256 MB MEMORIA RAM, DD 80 GB, MONITOR 17" SAMSUNG, SERIE: LY841833</t>
  </si>
  <si>
    <t>CEA-GYM-EC-CYS-045</t>
  </si>
  <si>
    <t xml:space="preserve">CPU MARCA: LANIX, MODELO: TITAN, MINI TORRE, MICROPROCESADOR CELERON 256 MB, DD 40 GB, LECTOR DE CD ROM, SERIE: </t>
  </si>
  <si>
    <t>CEA-GYM-EC-CYS-048</t>
  </si>
  <si>
    <t>IMPRESORA SAMSUNG LASER MODELO MI-1610 CON CABLE USB,SERIE: 3927BKDP228518K</t>
  </si>
  <si>
    <t>CEA-GYM-EC-CYS-060</t>
  </si>
  <si>
    <t>LAP TOP MARCA: DELL, MODELO: INSPIRON 1545 PP41L, MEMORIA RAM DE 2 GB, DD 320 GB, PANTALLA 15.6, SERIE: 41380882813, ROJO</t>
  </si>
  <si>
    <t>CEA-GYM-EC-CYS-061</t>
  </si>
  <si>
    <t>CPU MARCA: LANIX: MODELO: MINI TORRE 4010  INTEL CELERON DUAL CORE, SERIE: 1002826966, MONITOR: MARCA: ACER 19", SERIE: ETLC1080859520F6BE4233</t>
  </si>
  <si>
    <t>CEA-GYM-EC-CYS-062</t>
  </si>
  <si>
    <t>CPU, MODELO: MINI TORRE 4010 MARCA SERIE:1002826903, MONITOR MARCA: ACER 19" , MODELO: V193WB, SERIE: ETLC1080859520F6</t>
  </si>
  <si>
    <t>CEA-GYM-EC-CYS-063</t>
  </si>
  <si>
    <t xml:space="preserve">CPU MINI TORRE 4010 MARCA: LANIX CELERON,SERIE:1002826969, MONITOR ACER 19" MODELO: V193W SERIE: ETLC1080859520F6D34233 </t>
  </si>
  <si>
    <t>CEA-GYM-EC-CYS-064</t>
  </si>
  <si>
    <t xml:space="preserve">IMPRESORA, MARCA: HP, MODELO: LASERJET CP1215, SERIE: CNB1223047 </t>
  </si>
  <si>
    <t>CEA-GYM-EC-CYS-065</t>
  </si>
  <si>
    <t>CPU, MARCA: LANIX, MODELO: MINI TORRE  SERIE: 1006868785, MONITOR, MARCA: LG 19", MODELO: W1934SI SERIE: 911UXYG08194</t>
  </si>
  <si>
    <t>CEA-GYM-EC-CYS-066</t>
  </si>
  <si>
    <t>MONITOR MARCA: ACER DE 19", MODELO : V213HV, SERIE: ETLSU0D0011020DE0C8510, 21"</t>
  </si>
  <si>
    <t>CEA-GYM-EC-CYS-067</t>
  </si>
  <si>
    <t>MONITOR ACER DE 19" MODELO : V193W SERIE: ETLC1080850170727D4233</t>
  </si>
  <si>
    <t>CEA-GYM-EC-CYS-068</t>
  </si>
  <si>
    <t>MONITOR MARCA: ACER DE 19" MODELO : V193W, SERIE: ETLC108085017072B94233</t>
  </si>
  <si>
    <t>CEA-GYM-EC-CYS-069</t>
  </si>
  <si>
    <t xml:space="preserve">CPU MARCA: LANIX MODELO:MINI TORRE TITAN, SERIE: 100888514 </t>
  </si>
  <si>
    <t>CEA-GYM-EC-CYS-070</t>
  </si>
  <si>
    <t>CPU MARCA: LANIX, MODELO:MINI TORRE TITAN, SERIE: 100888510,  RAM 4GB; TARJETA VIDEO INTEL,  LECTOR DE CD, DD 320GB.</t>
  </si>
  <si>
    <t>CEA-GYM-EC-CYS-072</t>
  </si>
  <si>
    <t xml:space="preserve">CPU  MARCA: ACER, MODELO: VERITON M490G, SERIE: PSVAP030040330AACC2700, PROCESADOR INTEL CORE I3, 3.07 GHZ; DD 217 GB; MEMORIA RAM 3GB.  </t>
  </si>
  <si>
    <t>CEA-GYM-EC-CYS-073</t>
  </si>
  <si>
    <t>CPU MARCA: ACER VERITON, MODELO: VM490G SERIE PSVAP030040330AA9B2700</t>
  </si>
  <si>
    <t>CEA-GYM-EC-CYS-074</t>
  </si>
  <si>
    <t xml:space="preserve">MONITOR MARCA ACER MODELO: S211 HL, SERIE ETLP30D002044022AF8510 21"  </t>
  </si>
  <si>
    <t>CEA-GYM-EC-CYS-075</t>
  </si>
  <si>
    <t>MONITOR MARCA: ACER, MODELO 5211 HL; SERIE ETLP30D002044022738510</t>
  </si>
  <si>
    <t>CEA-GYM-EC-CYS-076</t>
  </si>
  <si>
    <t>LAPTOP MARCA HP; MODELO: PROBOOK 6450B; PROCESADOR INTEL CORE I5; 2.53 GHZ; MEMORIA 4 GB; SERIE: CNU1030BPT</t>
  </si>
  <si>
    <t>CEA-GYM-EC-CYS-078</t>
  </si>
  <si>
    <t>CPU MODELO: MINI TORRE, MARCA: LANIX SERIE: 1103953597</t>
  </si>
  <si>
    <t>CEA-GYM-EC-CYS-079</t>
  </si>
  <si>
    <t>CPU MODELO: MINI TORRE HX 4110,  MARCA: LANIX,SERIE: 1103953607, MICROPROCESADOR INTEL CELERON, MONITOR MARCA: EMACHINES, MODELO: E180HV, SERIE: ETQ3M080011010FBD64201, DE 18.5"</t>
  </si>
  <si>
    <t>CEA-GYM-EC-CYS-080</t>
  </si>
  <si>
    <t xml:space="preserve">CPU MARCA: LANIX, MODELO: TITAN MINI TORRE, SERIE: 1103953601, MICROPROCESADOR INTEL CELERON, MONITOR MARCA: EMACHINES, MODELO: E180HV, SERIE: ETQ3W0D001104QA17B8500, 18.5", </t>
  </si>
  <si>
    <t>CEA-GYM-EC-CYS-081</t>
  </si>
  <si>
    <t>MONITOR MARCA: ACER/EMACHINES 18.5"MODELO: V213HV; SERIE ETLSU0D0011020DE168510</t>
  </si>
  <si>
    <t>CEA-GYM-EC-CYS-082</t>
  </si>
  <si>
    <t>MONITOR MARCA: ACER DE 18.5", MODELO: G185HV, SERIE ETLPC0D001145070D98504</t>
  </si>
  <si>
    <t>CEA-GYM-EC-CYS-083</t>
  </si>
  <si>
    <t>MONITOR ACER DE 18.5"; MODELO G185HV, SERIE ETLPC0B001145070FE8504</t>
  </si>
  <si>
    <t>CEA-GYM-EC-CYS-084</t>
  </si>
  <si>
    <t>SERVIDOR MARCA: DELL, MODELO: POWEREDGE R610, SERIE: 3WHRNS1, MONITOR  MARCA: LG MODELO: I1753SS, SERIE: 711NDEZ58516, 17"</t>
  </si>
  <si>
    <t>CEA-GYM-EC-CYS-085</t>
  </si>
  <si>
    <t>MONITOR MARCA: ACER, G185HV SERIE ETLPC0D0012040960B8508</t>
  </si>
  <si>
    <t>CEA-GYM-EC-CYS-086</t>
  </si>
  <si>
    <t>MONITOR MARCA: ACER, MODELO: G185HV, SERIE: ETLPC0D001204095F18508 18.5"</t>
  </si>
  <si>
    <t>CEA-GYM-EC-CYS-087</t>
  </si>
  <si>
    <t>MONITOR MARCA: ACER, MODELO G185HV, V193W, SERIE: ETLC1080859520F6CA4233, 18.5"</t>
  </si>
  <si>
    <t>CEA-GYM-EC-CYS-088</t>
  </si>
  <si>
    <t>MONITOR MARCA: LG, MODELO: E1942CA, SERIE: 205NDVW23495, LED 18.5"  WIDE</t>
  </si>
  <si>
    <t>CEA-GYM-EC-CYS-090</t>
  </si>
  <si>
    <t>MONITOR MARCA: LG, MODELO: E1942CA,   SERIE: 205NDDM23458, LED 18" WIDE</t>
  </si>
  <si>
    <t>CEA-GYM-EC-CYS-091</t>
  </si>
  <si>
    <t>PLOOTER MARCA:HP,MODELO: DESIGNJET Z5200 POSTSCRIPT, SERIE: CN29C4H03B</t>
  </si>
  <si>
    <t>CEA-GYM-EC-CYS-092</t>
  </si>
  <si>
    <t>GPS SISTEMA OPERATIVO MICROSOFT WINDOWS MOBILE 6.5 VARIOS IDEOMAS, SOFTWARE, INCLUYE: INTERNET EXPLORER Y ACTIVE EXPLORER</t>
  </si>
  <si>
    <t>CEA-GYM-EC-CYS-093</t>
  </si>
  <si>
    <t>IMPRESORA MULTIFUNCIONAL HP LASERJET PRO M12W,SERIE: VNB6V04924</t>
  </si>
  <si>
    <t>CEA-GYM-EC-CYS-094</t>
  </si>
  <si>
    <t>SCANNER MARCA HP, MODELO: SCANJET G27 10, SERIE: CN2A0AD08Y</t>
  </si>
  <si>
    <t>CEA-GYM-EC-CYS-095</t>
  </si>
  <si>
    <t>PROYECTOR MARCA: VIEW SONIC, MODELO: BS13868, TECNOLOGIA  DLP PJD5123 2700 ANSI ,VOLUMENES 120 Hz RESOLUCION: SVGA. SERIE: SEU122500445</t>
  </si>
  <si>
    <t>CEA-GYM-EC-CYS-096</t>
  </si>
  <si>
    <t>TICKETERA MARCA: EPSON TM-T88v-834(C31CA85834) IMPRESORA TERMICA,TM-T88IVP-834, SERIE: MXKF149843</t>
  </si>
  <si>
    <t>CEA-GYM-EC-CYS-098</t>
  </si>
  <si>
    <t>MONITOR: MARCA: LG, MODELO: E1942CA, SERIE: 208N0WE11081, 18.5"/ 208NDRF11062, LED 18.5"</t>
  </si>
  <si>
    <t>CEA-GYM-EC-CYS-099</t>
  </si>
  <si>
    <t xml:space="preserve">CPU MARCA: EVOTEC, MODELO: GENERICO, SERIE: GTT8JG1, MONITOR:  MARCA: DELL, MODELO: E2213HB, SERIE: CN-0V8JY2-74261-327-0MGB. </t>
  </si>
  <si>
    <t>CEA-GYM-EC-CYS-100</t>
  </si>
  <si>
    <t>MONITOR, MARCA:  LG, MODELO:E1942CA, SERIE:  212NDBP4Q293, LED 18.5"</t>
  </si>
  <si>
    <t>CEA-GYM-EC-CYS-101</t>
  </si>
  <si>
    <t>IMPRESORA MARCA: HP, MODELO: DESJET INK ADVANTAGE 5525 (CZZ82 A) MEMORIA 64 MB CONECTIVIDAD, USB 2.01 WIFI 802, SERIE: CN2831BCC6</t>
  </si>
  <si>
    <t>CEA-GYM-EC-CYS-103</t>
  </si>
  <si>
    <t>CHECADOR MARCA: NATIONAL SOFT, MODELO: ONTHE MINUTE,TERMINAL FACE-RW, SEMIAUTOMATICA, HUELLA DIGITAL, SERIE: 6505042470046</t>
  </si>
  <si>
    <t>CEA-GYM-EC-CYS-104</t>
  </si>
  <si>
    <t xml:space="preserve">CHECADOR MARCA: NATIONAL SOFT, MODELO: ON THE MINUTE,TERMINAL FACE-RW SEMIAUTOMATICA,HUELLA DIGITAL, SERIE: 3483030260164 </t>
  </si>
  <si>
    <t>CEA-GYM-EC-CYS-105</t>
  </si>
  <si>
    <t>CHECADOR MARCA: NATIONAL SOFT, MODELO: ON THE MINUTE,TERMINAL FACE-RW, SEMIAUTOMATICA,HUELLA DIGITAL,SERIE: 3486813050281</t>
  </si>
  <si>
    <t>CEA-GYM-EC-CYS-107</t>
  </si>
  <si>
    <t>CPU , MARCA: ACTIVE COOL/GENERICO, S/MODELO, PG850, 500 GB DISCO DURO, 2 GB DDr 3 DE MEMORIA RAM, GABINETE c/USB, SERIE: 940399046112</t>
  </si>
  <si>
    <t>CEA-GYM-EC-CYS-108</t>
  </si>
  <si>
    <t>PROCESADOR XEON E52620, 2.4 Ghz, CACHE DE 12 M, 5,86 gt/s QPI, TURBO HT PARA C2100/ REF. SERVIDOR</t>
  </si>
  <si>
    <t>CEA-GYM-EC-CYS-109</t>
  </si>
  <si>
    <t>MONITOR MARCA: ACER 15" LED P166HQL,SERIE: ETLTY08020311071C24201</t>
  </si>
  <si>
    <t>CEA-GYM-EC-CYS-110</t>
  </si>
  <si>
    <t>MONITOR MARCA: ACER 15" LED P166HQL,SERIE: ETLPCD001145570D98504</t>
  </si>
  <si>
    <t>CEA-GYM-EC-CYS-113</t>
  </si>
  <si>
    <t>TICKETERA MARCA: EPSON, MODELO: M244A, IMPRESORA TERMICA, SERIE: MXKF162763</t>
  </si>
  <si>
    <t>CEA-GYM-EC-CYS-114</t>
  </si>
  <si>
    <t>LECTOR LASER DE CODIGO DE BARRAS MARCA: HONEYWELL, MODELO: VOYAGER MS9520 (MK9520-37A38) I USB, INTERFAZ, SERIE: 2R13333123.</t>
  </si>
  <si>
    <t>CEA-GYM-EC-CYS-115</t>
  </si>
  <si>
    <t>TICKETERA MARCA: EPSON, MODELO: M244A, IMPRESORA TERMICA, SERIE: MXKF340836</t>
  </si>
  <si>
    <t>CEA-GYM-EC-CYS-116</t>
  </si>
  <si>
    <t>LECTOR LASER DE CODIGO DE BARRAS MARCA: HONEYWELL, MODELO: VOYAGER MS9520 (MK9520-37A38) I USB, INTERFAZ, SERIE: 2R13250173</t>
  </si>
  <si>
    <t>CEA-GYM-EC-CYS-117</t>
  </si>
  <si>
    <t>LECTOR LASER DE CODIGO DE BARRAS MARCA: HONEYWELL, MODELO: VOYAGER MS9520 (MK9520-37A38) I USB, INTERFAZ, SERIE: 2R13250836</t>
  </si>
  <si>
    <t>CEA-GYM-EC-CYS-118</t>
  </si>
  <si>
    <t>TICKETERA MARCA: EPSON, MODELO:M129H , IMPRESORA TERMICA, SERIE: J4MG037514</t>
  </si>
  <si>
    <t>CEA-GYM-EC-CYS-119</t>
  </si>
  <si>
    <t>LECTOR LASER DE CODIGO DE BARRAS MARCA: HONEYWELL, MODELO: VOYAGER MS9520 (MK9520-37A38) I USB, INTERFAZ, SERIE: 2R13250774</t>
  </si>
  <si>
    <t>CEA-GYM-EC-CYS-120</t>
  </si>
  <si>
    <t>TICKETERA MARCA: EPSON, MODELO: M244A, SERIE: MXKF162766</t>
  </si>
  <si>
    <t>CEA-GYM-EC-CYS-121</t>
  </si>
  <si>
    <t>LECTOR LASER DE CODIGO DE BARRAS MARCA: HONEYWELL, MODELO: VOYAGER MS9520 (MK9520-37A38) I USB, INTERFAZ, SERIE: 2R13250676</t>
  </si>
  <si>
    <t>CEA-GYM-EC-CYS-122</t>
  </si>
  <si>
    <t>CPU, MARCA: GENERICO,INTEL PENTIUM DUAL CORE G2020, 500 GB DISCO DURO, 2 GB DDR3 DE MEMORIA RAM, GABINETE C/USB FRONTAL</t>
  </si>
  <si>
    <t>CEA-GYM-EC-CYS-123</t>
  </si>
  <si>
    <t xml:space="preserve">SERVIDOR MARCA: DELL, MODELO: POWEREDGE R320,SERIE: C5ZXCFX1, DVD+/-RW, SATA 16GB RDIMM, 1600 MT/s, POCESADOR INTEL XEON. </t>
  </si>
  <si>
    <t>CEA-GYM-EC-CYS-124</t>
  </si>
  <si>
    <t>IMPRESORA DE MATRIZ EPSON LX-360</t>
  </si>
  <si>
    <t>CEA-GYM-EC-CYS-126</t>
  </si>
  <si>
    <t>SERVIDOR MARCA: HP 600, MODELO: PROLIANT D360 GEN 9, SERIE: MXQ61102HK, PROCESADOR INTEL XEON E5-2630 V3 DOBLE PROCESADOR, RAM RDIMM DE 64 GB,  1 SOFTWARE</t>
  </si>
  <si>
    <t>CEA-GYM-EC-CYS-127</t>
  </si>
  <si>
    <t>CPU MARCA: HP MODELO: PRODESK 600 G2 SFF, SERIE: MXL6201W1K, MONITOR MARCA: HP, MODELO: V193B, SERIE: 3CQ60410FX</t>
  </si>
  <si>
    <t>CEA-GYM-EC-CYS-128</t>
  </si>
  <si>
    <t>CPU MARCA: HP, MODELO: PRODESK 600 G2 SFF, SERIE: MXL6201W1Z, MONITOR MARCA:HP, MODELO: V193B, SERIE: 3CQ60410DR</t>
  </si>
  <si>
    <t>CEA-GYM-EC-CYS-129</t>
  </si>
  <si>
    <t>CPU MARCA: HP, MODELO: PRODESK 600 G2 SFF, SERIE: MXL6201W1T, MONITOR MARCA:HP, MODELO: V193B, SERIE: 3CQ60410DK</t>
  </si>
  <si>
    <t>CEA-GYM-EC-CYS-130</t>
  </si>
  <si>
    <t>CPU MARCA: HP MODELO: PRODESK 600 G2 SFF, SERIE: MXL6201W1V, MONITOR MARCA:HP, MODELO: V193B, SERIE: 3CQ60410G0</t>
  </si>
  <si>
    <t>CEA-GYM-EC-CYS-131</t>
  </si>
  <si>
    <t>CPU MARCA: HP MODELO: PRODESK 600 G2 SFF, SERIE: MXL6201W20, MONITOR MARCA: HP, MODELO: V193B, SERIE: 3CQ60410F8</t>
  </si>
  <si>
    <t>CEA-GYM-EC-CYS-132</t>
  </si>
  <si>
    <t>CPU MARCA: HP MODELO:PRODESK 600 G2 SFF, SERIE: MXL6201W25, MONITOR MARCA: HP, MODELO: V193B, SERIE: 3CQ60410F2</t>
  </si>
  <si>
    <t>CEA-GYM-EC-CYS-133</t>
  </si>
  <si>
    <t>CPU MARCA: HP MODELO: PRODESK 600 G2 SFF, SERIE: MXL6201W21, MONITOR MARCA: HP, MODELO: V193B, SERIE: 3CQ60410FG</t>
  </si>
  <si>
    <t>CEA-GYM-EC-CYS-134</t>
  </si>
  <si>
    <t>CPU MARCA: HP MODELO: PRODESK 600 G2 SFF, SERIE: MXL6201W1P, MONITOR MARCA: HP, MODELO: V193B, SERIE: 3CQ60410FD</t>
  </si>
  <si>
    <t>CEA-GYM-EC-CYS-135</t>
  </si>
  <si>
    <t>EQUIPO DE SEGURIDAD MARCA: CHECKPOINT, MODELO: L-71, 750, GENERACION,SERIE: MX1617C10222</t>
  </si>
  <si>
    <t>CEA-GYM-EC-CYS-136</t>
  </si>
  <si>
    <t>CPU, MARCA: LENOVO, MODELO: COMPAQ ALL IN ONE IDEACENTRE AIO 300-22ACL, SERIE: P9017QBP</t>
  </si>
  <si>
    <t>CEA-GYM-EC-CYS-137</t>
  </si>
  <si>
    <t>CPU , MONITOR INTEGRADO, LENOVI  No. SERIE: SMP13NCC9</t>
  </si>
  <si>
    <t>CEA-GYM-EC-CYS-138</t>
  </si>
  <si>
    <t>LAPTOP MARCA: HP MODELO: PROBOOK 440 G3 CORE 15 6200U 2.30 SERIE: 5CD64825L5</t>
  </si>
  <si>
    <t>CEA-GYM-EC-COM-139</t>
  </si>
  <si>
    <t>LAPTOP MARCA: HP, MODELO: PROBOOK 440 G3 CORE 15 6200U 2.30 SERIE: 5CD6482SP2</t>
  </si>
  <si>
    <t>CEA-GYM-EC-COM-140</t>
  </si>
  <si>
    <t>CPU MARCA: HP, MODELO: PRODESK 400,  G3 SFF,CORE 15 6500 3.2 GHZ, 8 GB WINDOWS 10 PRO, HP PDK400 SERIE: MXL6451Z2N, MONITOR: MARCA: HP, MODELO: L1506, SERIE: CNC624QR85</t>
  </si>
  <si>
    <t>CEA-GYM-EC-COM-141</t>
  </si>
  <si>
    <t>CPU MARCA: GHIA, MODELO: PCGHIA 2173, SERIE: 284889</t>
  </si>
  <si>
    <t>CEA-GYM-EC-COM-142</t>
  </si>
  <si>
    <t>CPU MARCA: GHIA, MODELO: PCGHIA 2173, SERIE: 303302</t>
  </si>
  <si>
    <t>CEA-GYM-EC-COM-143</t>
  </si>
  <si>
    <t>MONITOR MANL-12 MG2016 19.5 WS HD NEGRO ESTEREO INTEGRADO SERIE: S2016161000705</t>
  </si>
  <si>
    <t>CEA-GYM-EC-COM-144</t>
  </si>
  <si>
    <t>MONITOR MARCA: GHIA, MODELO: MG2016 19.5 WS HD NEGRO ESTEREO INTEGRADO, SERIE: S2016161002701</t>
  </si>
  <si>
    <t>CEA-GYM-EC-COM-145</t>
  </si>
  <si>
    <t>IMPRESORA MARCA: HP, MODELO: OFFHPICEJET HP 7110, COLOR: NEGRO, SERIE: CN6BA5R0YP</t>
  </si>
  <si>
    <t>CEA-GYM-EC-COM-146</t>
  </si>
  <si>
    <t>MONITOR  MARCA: HP ,MODELO: V194,LED 18.5 VALUEV, RESOLUCION 1366 X 768 VGA NEGRO 3/3/3 SERIE: 3CQ64009TB</t>
  </si>
  <si>
    <t>CEA-GYM-EC-COM-147</t>
  </si>
  <si>
    <t>COMPUTADORA MARCA: DELL ALL-IN -ONE,MODELO: INSPIRON 24 3464, SERIE: BL4KYH2</t>
  </si>
  <si>
    <t>CEA-GYM-EC-COM-148</t>
  </si>
  <si>
    <t>LAPTOP MARCA: DELL INSPIRON 15,MODELO: 3567 BLACK, SERIE: CN-0231MG-WSCOO-77T-001C</t>
  </si>
  <si>
    <t>CEA-GYM-EC-COM-149</t>
  </si>
  <si>
    <t>SCANNER MARCA: BROTHER, MODELO: DS-720D , SERIE: S/N</t>
  </si>
  <si>
    <t>CEA-GYM-EC-COM-150</t>
  </si>
  <si>
    <t xml:space="preserve"> CPU MARCA: HP MOD PRODESK 600 SERIE: MXL6201W1N</t>
  </si>
  <si>
    <t>CEA-GYM-EC-COM-151</t>
  </si>
  <si>
    <t xml:space="preserve"> CPU MARCA: HP, MODELO: PRO 600G1F4L45LT, SERIE: MXL4411ZYP</t>
  </si>
  <si>
    <t>CEA-GYM-EC-COM-152</t>
  </si>
  <si>
    <t>CP  MARCA HP MODELO: PRODESK  400 G2.5 CORE 134160 SERIE: MXL540240P</t>
  </si>
  <si>
    <t>CEA-GYM-EC-COM-153</t>
  </si>
  <si>
    <t>CPU MARCA HP MODELO: PRODESK 600 SERIE: MXL540242D</t>
  </si>
  <si>
    <t>CEA-GYM-EC-COM-154</t>
  </si>
  <si>
    <t xml:space="preserve"> CPU MARCA HP MODELO: PRODESK 400, G2.5 SERIE: MXL5402433</t>
  </si>
  <si>
    <t>CEA-GYM-EC-COM-155</t>
  </si>
  <si>
    <t>VIDEO PROYECTOR, MARCA: BENQ, SERIE: PD56F0156800</t>
  </si>
  <si>
    <t>CEA-GYM-EC-COM-156</t>
  </si>
  <si>
    <t>LAPTOP, MARCA: HP, MODELO: NOTEBOOK, 240GS, SERIE: 5CG6404S9B</t>
  </si>
  <si>
    <t>CEA-GYM-EC-COM-157</t>
  </si>
  <si>
    <t>CPU, MARCA: HP, MODELO: PROMINI 260 G9 CI3-1215U, VPN: 6J5A4L # ABM SKU: C3700NZ, SERIE: 8CC23910L5</t>
  </si>
  <si>
    <t>CEA-GYM-EC-COM-158</t>
  </si>
  <si>
    <t>CPU, MARCA: HP, MODELO: PROMINI 260 G9 CI3-1215U, VPN: 6J5A4L # ABM SKU: C3700NZ, SERIE: 8CC25119W9</t>
  </si>
  <si>
    <t>CEA-GYM-EC-COM-159</t>
  </si>
  <si>
    <t>CPU, MARCA: HP, MODELO: PROMINI 260 G9 CI3-1215U, VPN: 6J5A4L # ABM SKU: C3700NZ, SERIE: 8CC25119WQ</t>
  </si>
  <si>
    <t>CEA-GYM-EC-COM-160</t>
  </si>
  <si>
    <t>CPU, MARCA: HP, MODELO: PROMINI 260 G9 CI3-1215U, VPN: 6J5A4L # ABM SKU: C3700NZ, SERIE: 8CC25119X5</t>
  </si>
  <si>
    <t>CEA-GYM-EC-COM-161</t>
  </si>
  <si>
    <t>CPU, MARCA: HP, MODELO: PROMINI 260 G9 CI3-1215U, VPN: 6J5A4L # ABM SKU: C3700NZ, SERIE: 8CC25119Z9</t>
  </si>
  <si>
    <t>CEA-GYM-EC-COM-162</t>
  </si>
  <si>
    <t>CPU, MARCA: HP, MODELO: PROMINI 260 G9 CI3-1215U, VPN: 6J5A4L # ABM SKU: C3700NZ, SERIE: 8CC2511B12</t>
  </si>
  <si>
    <t>CEA-GYM-EC-COM-163</t>
  </si>
  <si>
    <t>CPU, MARCA: HP, MODELO: PROMINI 260 G9 CI3-1215U, VPN: 6J5A4L # ABM SKU: C3700NZ, SERIE: 8CC2511B3V</t>
  </si>
  <si>
    <t>CEA-GYM-EC-COM-164</t>
  </si>
  <si>
    <t>CPU, MARCA: HP, MODELO: PROMINI 260 G9 CI3-1215U, VPN: 6J5A4L # ABM SKU: C3700NZ, SERIE: 8CC2511B4D</t>
  </si>
  <si>
    <t>CEA-GYM-EC-COM-165</t>
  </si>
  <si>
    <t>CPU, MARCA: HP, MODELO: PROMINI 260 G9 CI3-1215U, VPN: 6J5A4L # ABM SKU: C3700NZ, SERIE: 8CC2301F0X</t>
  </si>
  <si>
    <t>CEA-GYM-EC-COM-166</t>
  </si>
  <si>
    <t>MONITOR, MARCA: LG, 21, 5IN,1920 X 1080, VPN: 22MP410, SKU: 56301F5, SERIE: 208NTHME5145</t>
  </si>
  <si>
    <t>CEA-GYM-EC-COM-167</t>
  </si>
  <si>
    <t>MONITOR, MARCA: LG, 21, 5IN,1920 X 1080, VPN: 22MP410, SKU: 56301F5, SERIE: 208NTJJE5164</t>
  </si>
  <si>
    <t>CEA-GYM-EC-COM-168</t>
  </si>
  <si>
    <t>MONITOR, MARCA: LG, 21, 5IN,1920 X 1080, VPN: 22MP410, SKU: 56301F5, SERIE: 208NTFAE5163</t>
  </si>
  <si>
    <t>CEA-GYM-EC-COM-169</t>
  </si>
  <si>
    <t>MONITOR, MARCA: LG, 21, 5IN,1920 X 1080, VPN: 22MP410, SKU: 56301F5, SERIE: 208NTLEE5176</t>
  </si>
  <si>
    <t>CEA-GYM-EC-COM-170</t>
  </si>
  <si>
    <t>MONITOR, MARCA: LG, 21, 5IN,1920 X 1080, VPN: 22MP410, SKU: 56301F5, SERIE: 208NTXRE5162</t>
  </si>
  <si>
    <t>CEA-GYM-EC-COM-171</t>
  </si>
  <si>
    <t>MONITOR, MARCA: LG, 21, 5IN,1920 X 1080, VPN: 22MP410, SKU: 56301F5, SERIE: 208NTPCE5216</t>
  </si>
  <si>
    <t>CEA-GYM-EC-COM-172</t>
  </si>
  <si>
    <t>MONITOR, MARCA: LG, 21, 5IN,1920 X 1080, VPN: 22MP410, SKU: 56301F5, SERIE: 208NTQDE5172</t>
  </si>
  <si>
    <t>CEA-GYM-EC-COM-173</t>
  </si>
  <si>
    <t>MONITOR, MARCA: LG, 21, 5IN,1920 X 1080, VPN: 22MP410, SKU: 56301F5, SERIE: 208NTDV98242</t>
  </si>
  <si>
    <t>CEA-GYM-EC-COM-174</t>
  </si>
  <si>
    <t>MONITOR, MARCA: LG, 21, 5IN,1920 X 1080, VPN: 22MP410, SKU: 56301F5, SERIE: 209NTUW6U798</t>
  </si>
  <si>
    <t>CEA-GYM-EC-COM-175</t>
  </si>
  <si>
    <t>SERVIDOR DELL POWER EDGE R550, CHASIS PARA 8 DISCOS DE 3.5 PULG. HOT PLUG, PROCESADOR INTEL XEON SILVER 4314 2.4G MEMORIA RAM 32GB SERIE: R550MSNSF Y23Q3MX</t>
  </si>
  <si>
    <t>CEA-GYM-EC-COM-176</t>
  </si>
  <si>
    <t>IMPRESORA ZEBRA TERMICA DIRECTA ZQ630 MONOCROMO-203-DPI 104MM SERIE: XXRBJ221500606</t>
  </si>
  <si>
    <t>CEA-GYM-EC-COM-177</t>
  </si>
  <si>
    <t>IMPRESORA ZEBRA TERMICA DIRECTA ZQ630 MONOCROMO-203-DPI 104MM SERIE: XXRBJ221500557</t>
  </si>
  <si>
    <t>CEA-GYM-EC-COM-178</t>
  </si>
  <si>
    <t>IMPRESORA ZEBRA TERMICA DIRECTA ZQ630 MONOCROMO-203-DPI 104MM SERIE: XXRBJ221500627</t>
  </si>
  <si>
    <t>CEA-GYM-EC-COM-179</t>
  </si>
  <si>
    <t>IMPRESORA ZEBRA TERMICA DIRECTA ZQ630 MONOCROMO-203-DPI 104MM SERIE: XXRBJ221500665</t>
  </si>
  <si>
    <t>CEA-GYM-EC-COM-180</t>
  </si>
  <si>
    <t>IMPRESORA ZEBRA TERMICA DIRECTA ZQ630 MONOCROMO-203-DPI 104MM SERIE: XXRBJ221500608</t>
  </si>
  <si>
    <t>CEA-GYM-EC-COM-181</t>
  </si>
  <si>
    <t>IMPRESORA ZEBRA TERMICA DIRECTA ZQ630 MONOCROMO-203-DPI 104MM SERIE: XXRBJ221500636</t>
  </si>
  <si>
    <t>CEA-GYM-EC-COM-182</t>
  </si>
  <si>
    <t>IMPRESORA ZEBRA TERMICA DIRECTA ZQ630 MONOCROMO-203-DPI 104MM SERIE: XXRBJ221500600</t>
  </si>
  <si>
    <t>CEA-GYM-EC-COM-183</t>
  </si>
  <si>
    <t>IMPRESORA ZEBRA TERMICA DIRECTA ZQ630 MONOCROMO-203-DPI 104MM SERIE: XXRBJ221500620</t>
  </si>
  <si>
    <t>CEA-GYM-EC-COM-184</t>
  </si>
  <si>
    <t>IMPRESORA ZEBRA TERMICA DIRECTA ZQ630 MONOCROMO-203-DPI 104MM SERIE: XXRBJ221500657</t>
  </si>
  <si>
    <t>CEA-GYM-EC-COM-185</t>
  </si>
  <si>
    <t>IMPRESORA ZEBRA TERMICA DIRECTA ZQ630 MONOCROMO-203-DPI 104MM SERIE: XXRBJ221500601</t>
  </si>
  <si>
    <t>CEA-GYM-EC-COM-186</t>
  </si>
  <si>
    <t>IMPRESORA ZEBRA TERMICA DIRECTA ZQ630 MONOCROMO-203-DPI 104MM SERIE: XXRBJ221500647</t>
  </si>
  <si>
    <t>CEA-GYM-EC-COM-187</t>
  </si>
  <si>
    <t>IMPRESORA ZEBRA TERMICA DIRECTA ZQ630 MONOCROMO-203-DPI 104MM SERIE: XXRBJ221500622</t>
  </si>
  <si>
    <t>CEA-GYM-EC-COM-188</t>
  </si>
  <si>
    <t>IMPRESORA MULTIFUNCIONAL COLOR HP OFFICEJET PRO 7740 TABLOIDE ESCANER CAMA DOBLE CARTA 34 PPM INALAMBRICA ETHERNET, N.S. CN27L851CT</t>
  </si>
  <si>
    <t>CEA-GYM-COML-GYM-MOBI-057</t>
  </si>
  <si>
    <t xml:space="preserve">SILLON TAPIZADO  EN ARENA/AZUL             </t>
  </si>
  <si>
    <t>CEA-GYM-COML-GYM-MOBI-058</t>
  </si>
  <si>
    <t xml:space="preserve">SILLON TAPIZADO  EN ARENA/ AZUL           </t>
  </si>
  <si>
    <t>CEA-GYM-COML-GYM-MOBI-60</t>
  </si>
  <si>
    <t>ESCRITORIO 1.40 X70 CON PUENTE DE 1.20X.50 Y PEDESTAL 1 MAS 1, MARCA DVD, MODELO GYM</t>
  </si>
  <si>
    <t>CEA-GYM-COML-GYM-MOBI-0064</t>
  </si>
  <si>
    <t>ARCHIVERO DE DOS GAVETAS MARCA DBD</t>
  </si>
  <si>
    <t>CEA-GYM-COML-GYM-MOBI-0066</t>
  </si>
  <si>
    <t>SILLON EJECUTIVO, MODELO: RE- 4300, MARCA: REQUIEZ, EN PIEL, RESPALDO ALTO.</t>
  </si>
  <si>
    <t>CEA-GYM-COML-GYM-MOBI-0067</t>
  </si>
  <si>
    <t>SILLA MARCA: TRAGA, MODELO: S-307</t>
  </si>
  <si>
    <t>CEA-GYM-COML-GYM-MOBI-0070</t>
  </si>
  <si>
    <t>SILLA SECRETARIAL, MODELO: RS-35, MARCA: REQUIEZ, COLOR: VINO.</t>
  </si>
  <si>
    <t>CEA-GYM-COML-GYM-MOBI-0072</t>
  </si>
  <si>
    <t>MINISPLIST MARCA: LG, MODELO: LM2421C2L,1 TONELADA, SERIE: 110KA01362</t>
  </si>
  <si>
    <t>CEA-GYM-COML-GYM-MOBI-0072-01</t>
  </si>
  <si>
    <t>MINISPLIST MARCA: LG, MODELO: LM2421C2L, 1 TONELADA, SERIE: 110KA0987</t>
  </si>
  <si>
    <t>CEA-GYM-COML-GYM-MOBI-0074</t>
  </si>
  <si>
    <t>ESCRITORIO "L" CON LIBRERO Y ENTREPUERTA, PORTA TECLADO Y ARCHIVERO 2 GAVETAS.</t>
  </si>
  <si>
    <t>CEA-GYM-COML-GYM-MOBI-0081</t>
  </si>
  <si>
    <t>SILLA SECRETARIAL, MODELO: RS-500, MARCA: REQUIEZ</t>
  </si>
  <si>
    <t>CEA-GYM-COML-GYM-MOBI-0082</t>
  </si>
  <si>
    <t>SILLA SECRETARIAL MODELO: R-350, MARCA: REQUIEZ</t>
  </si>
  <si>
    <t>CEA-GYM-COML-GYM-MOBI-0084</t>
  </si>
  <si>
    <t>ARCHIVERO CON 4 GAVETAS, FABRICADO EN MELAMINA, COLOR ENCINO</t>
  </si>
  <si>
    <t>CEA-GYM-COML-GYM-MOBI-0085</t>
  </si>
  <si>
    <t>ARCHIVERO FABRICADO EN MELAMINA DE PINO, MEDIDAS: 1.60X0.50X2.10; COLOR: NOGAL, CON DOS PUERTAS Y DOS ENTREPAÑOS</t>
  </si>
  <si>
    <t>CEA-GYM-COML-GYM-MOBI-0086</t>
  </si>
  <si>
    <t>MODULO PARA IMPRESORA CON RANURA Y ENTREPAÑOS</t>
  </si>
  <si>
    <t>CEA-GYM-COML-GYM-MOBI-0088</t>
  </si>
  <si>
    <t>MODULO PARA COMPUTADORA MODELO 208, MARCA PRINTAFORM</t>
  </si>
  <si>
    <t>CEA-GYM-COML-GYM-MOBI-0091-01</t>
  </si>
  <si>
    <t>SILLAS SIN BRAZO FORRO PLIANA, COLOR: ROJO</t>
  </si>
  <si>
    <t>CEA-GYM-COML-GYM-MOBI-0091-02</t>
  </si>
  <si>
    <t>CEA-GYM-COML-GYM-MOBI-0091-03</t>
  </si>
  <si>
    <t>CEA-GYM-COML-GYM-MOBI-0091-04</t>
  </si>
  <si>
    <t>SILLAS SIN BRAZO FORRO PLIANA, COLOR: NEGRO</t>
  </si>
  <si>
    <t>CEA-GYM-COML-GYM-MOBI-0091-05</t>
  </si>
  <si>
    <t>CEA-GYM-COML-GYM-MOBI-0091-06</t>
  </si>
  <si>
    <t>CEA-GYM-COML-GYM-MOBI-0091-11</t>
  </si>
  <si>
    <t>SILLAS SIN BRAZO FORRO PLIANA, NEGRO</t>
  </si>
  <si>
    <t>CEA-GYM-COML-GYM-MOBI-0091-12</t>
  </si>
  <si>
    <t>CEA-GYM-COML-GYM-MOBI-0091-13</t>
  </si>
  <si>
    <t>CEA-GYM-COML-GYM-MOBI-0091-14</t>
  </si>
  <si>
    <t>CEA-GYM-COML-GYM-MOBI-0093-01</t>
  </si>
  <si>
    <t>SILLAS SIN BRAZO TAPIZ COLOR: NEGRO</t>
  </si>
  <si>
    <t>CEA-GYM-COML-GYM-MOBI-0093-02</t>
  </si>
  <si>
    <t>CEA-GYM-COML-GYM-MOBI-0093-03</t>
  </si>
  <si>
    <t>CEA-GYM-COML-GYM-MOBI-0093-05</t>
  </si>
  <si>
    <t>CEA-GYM-COML-GYM-MOBI-0093-06</t>
  </si>
  <si>
    <t>CEA-GYM-COML-GYM-MOBI-0093-08</t>
  </si>
  <si>
    <t>CEA-GYM-COML-GYM-MOBI-0093-09</t>
  </si>
  <si>
    <t>CEA-GYM-COML-GYM-MOBI-0093-10</t>
  </si>
  <si>
    <t>CEA-GYM-COML-GYM-MOBI-0093-11</t>
  </si>
  <si>
    <t>CEA-GYM-COML-GYM-MOBI-0093-12</t>
  </si>
  <si>
    <t>CEA-GYM-COML-GYM-MOBI-0093-13</t>
  </si>
  <si>
    <t>CEA-GYM-COML-GYM-MOBI-0093-14</t>
  </si>
  <si>
    <t>CEA-GYM-COML-GYM-MOBI-0093-16</t>
  </si>
  <si>
    <t>CEA-GYM-COML-GYM-MOBI-0094-</t>
  </si>
  <si>
    <t>MODULO PARA CAJAS Y ATENCION A CLIENTES CON MAMPARA MIXTA DE 1.35X60 CON CUBIERTA DE MEMBRANA DE ALTA RESISTENCIA, LÍNEA OPTIMUS, MARCA: GEBESA</t>
  </si>
  <si>
    <t>CEA-GYM-COML-GYM-MOBI-0094-1</t>
  </si>
  <si>
    <t>CEA-GYM-COML-GYM-MOBI-0094-2</t>
  </si>
  <si>
    <t>CEA-GYM-COML-GYM-MOBI-0094-3</t>
  </si>
  <si>
    <t>CEA-GYM-COML-GYM-MOBI-0094-4</t>
  </si>
  <si>
    <t>CEA-GYM-COML-GYM-MOBI-0094-5</t>
  </si>
  <si>
    <t>CEA-GYM-COML-GYM-MOBI-0094-6</t>
  </si>
  <si>
    <t>CEA-GYM-COML-GYM-MOBI-0094-7</t>
  </si>
  <si>
    <t>CEA-GYM-COML-GYM-MOBI-0094-8</t>
  </si>
  <si>
    <t>CEA-GYM-COML-GYM-MOBI-0095</t>
  </si>
  <si>
    <t>LOTE DE ACCESORIOS PARA INSTALACIONES DE LOS MÓDULOS DE CAJAS (POSTES, SOPORTES, SUJETADORES Y UNIONES).</t>
  </si>
  <si>
    <t>CEA-GYM-COML-GYM-MOBI-0095-01</t>
  </si>
  <si>
    <t>CEA-GYM-COML-GYM-MOBI-0095-02</t>
  </si>
  <si>
    <t>CEA-GYM-COML-GYM-MOBI-0095-03</t>
  </si>
  <si>
    <t>CEA-GYM-COML-GYM-MOBI-0095-04</t>
  </si>
  <si>
    <t>CEA-GYM-COML-GYM-MOBI-0095-05</t>
  </si>
  <si>
    <t>CEA-GYM-COML-GYM-MOBI-0095-06</t>
  </si>
  <si>
    <t>CEA-GYM-COML-GYM-MOBI-0095-07</t>
  </si>
  <si>
    <t>CEA-GYM-COML-GYM-MOBI-0095-08</t>
  </si>
  <si>
    <t>CEA-GYM-COML-GYM-MOBI-0096-01</t>
  </si>
  <si>
    <t>ARCHIVERO METALICO DE 3 GAVETAS, MARCA: GEBESA, MODELO: 14A2PFM, LÍNEA OPTIMUS</t>
  </si>
  <si>
    <t>CEA-GYM-COML-GYM-MOBI-0096-02</t>
  </si>
  <si>
    <t>ARCHIVERO METALICO DE 2 GAVETAS, MARCA: GEBESA, MODELO: 14A2PFM, LÍNEA OPTIMUS</t>
  </si>
  <si>
    <t>CEA-GYM-COML-GYM-MOBI-0096-03</t>
  </si>
  <si>
    <t>CEA-GYM-COML-GYM-MOBI-0096-04</t>
  </si>
  <si>
    <t>CEA-GYM-COML-GYM-MOBI-0096-05</t>
  </si>
  <si>
    <t>CEA-GYM-COML-GYM-MOBI-0096-06</t>
  </si>
  <si>
    <t>CEA-GYM-COML-GYM-MOBI-0096-07</t>
  </si>
  <si>
    <t>CEA-GYM-COML-GYM-MOBI-0096-08</t>
  </si>
  <si>
    <t>CEA-GYM-COML-GYM-MOBI-0144</t>
  </si>
  <si>
    <t>ESTACION JR MUEBLE PARA COMPUTADORA</t>
  </si>
  <si>
    <t>CEA-GYM-COML-GYM-MOBI-0099</t>
  </si>
  <si>
    <t>SILLA EJECUTIVA, TAPIZ NEGRO</t>
  </si>
  <si>
    <t>CEA-GYM-COML-GYM-MOBI-0100</t>
  </si>
  <si>
    <t>CEA-GYM-COML-GYM-MOBI-0155</t>
  </si>
  <si>
    <t>CAJA FUERTE PORTATIL SERIE: AN764073</t>
  </si>
  <si>
    <t>CEA-GYM-COML-GYM-MOBI-0102</t>
  </si>
  <si>
    <t>MINISPLIT 1 ½ TONELADAS, MARCA: SAMSUNG, MODELO: A818A0RBD,SERIE: PGAW100151FU</t>
  </si>
  <si>
    <t>CEA-GYM-COML-GYM-MOBI-0104</t>
  </si>
  <si>
    <t>SILLA GIRATORIA, RECEPCION TAPIZ: NEGRO</t>
  </si>
  <si>
    <t>CEA-GYM-COML-GYM-MOBI-0108</t>
  </si>
  <si>
    <t>SILLA GIRATORIA TAPIZ NEGRO</t>
  </si>
  <si>
    <t>CEA-GYM-COML-GYM-MOBI-0109</t>
  </si>
  <si>
    <t>CEA-GYM-COML-GYM-MOBI-0115</t>
  </si>
  <si>
    <t>CAJA FUERTE PORTATIL, MARCA: SENTRY</t>
  </si>
  <si>
    <t>CEA-GYM-COML-GYM-MOBI-0121</t>
  </si>
  <si>
    <t>ESCRITORIO EJECUTIVO EN "U"</t>
  </si>
  <si>
    <t>CEA-GYM-COML-GYM-MOBI-0111</t>
  </si>
  <si>
    <t>AIRE ACONDICIONADO, TIPO: MINISPLIT, MARCA: SAMSUNG, 1 ½ TONELADAS,  MODELO: AS18AORBD, SERIE: PGAW100002B</t>
  </si>
  <si>
    <t>CEA-GYM-COML-GYM-MOBI-0127</t>
  </si>
  <si>
    <t>LIBRERO MODELO: S-4000 REVISTERO,  COLOR MAPLE</t>
  </si>
  <si>
    <t>CEA-GYM-COML-GYM-MOBI-0128</t>
  </si>
  <si>
    <t>AIRE ACONDICIONADO TIPO MINISPLIT, MARCA: LG, 4 TONELADAS</t>
  </si>
  <si>
    <t>CEA-GYM-COML-GYM-MOBI-0129</t>
  </si>
  <si>
    <t>ENGARGOLADORA GBC PARA ARILLO DE PLASTICO</t>
  </si>
  <si>
    <t>CEA-GYM-COML-GYM-MOBI-0139</t>
  </si>
  <si>
    <t>SIILLA GANTE MODELO: 324</t>
  </si>
  <si>
    <t>CEA-GYM-COML-GYM-MOBI-0140</t>
  </si>
  <si>
    <t>ESCRITORIO</t>
  </si>
  <si>
    <t>CEA-GYM-COML-GYM-MOBI-0142</t>
  </si>
  <si>
    <t>MUEBLE PARA COMPUTADORA</t>
  </si>
  <si>
    <t>CEA-GYM-COML-GYM-MOBI-0143</t>
  </si>
  <si>
    <t>CEA-GYM-COML-GYM-MOBI-0156</t>
  </si>
  <si>
    <t>ARCHIVERO LATERAL CAMDEN</t>
  </si>
  <si>
    <t>CEA-GYM-COML-GYM-MOBI-0159</t>
  </si>
  <si>
    <t xml:space="preserve">CASILLERO METALICO CON CERRADURA, 4 PUERTAS, COLOR </t>
  </si>
  <si>
    <t>CEA-GYM-COML-GYM-MOBI-0160</t>
  </si>
  <si>
    <t>GABINETE UNIVERSAL  4  ENTRPAÑOS, METALICO, COLOR BEIGE</t>
  </si>
  <si>
    <t>CEA-GYM-COML-GYM-MOBI-0154</t>
  </si>
  <si>
    <t>60 ESTANTES METALICOS COMPUESTOS DE DE 4 POSTES DE 2.00 MTAS,14 6 ENTREPAÑOS DE 90X30 CAL 20,48 TORNILLOS CON TUERCA</t>
  </si>
  <si>
    <t>CEA-GYM-COML-GYM-MOBI-0154-01</t>
  </si>
  <si>
    <t>ESTANTE METALICO COMPUESTO DE DE 4 POSTES DE 2.00 MTAS,14 6 ENTREPAÑOS DE 90X30 CAL 20,48 TORNILLOS CON TUERCA</t>
  </si>
  <si>
    <t>CEA-GYM-COML-GYM-MOBI-0154-02</t>
  </si>
  <si>
    <t>2 ESTANTES METALICOS COMPUESTOS DE DE 4 POSTES DE 2.00 MTAS,14 6 ENTREPAÑOS DE 90X30.</t>
  </si>
  <si>
    <t>CEA-GYM-COML-GYM-MOBI-0154-03</t>
  </si>
  <si>
    <t>CEA-GYM-COML-GYM-MOBI-0154-04</t>
  </si>
  <si>
    <t>CEA-GYM-COML-GYM-MOBI-0154-05</t>
  </si>
  <si>
    <t>ESTANTE METALICO COMPUESTO DE DE 4 POSTES DE 2.00 MTAS,14 6 ENTREPAÑOS DE 90X30.</t>
  </si>
  <si>
    <t>CEA-GYM-COML-GYM-MOBI-0154-06</t>
  </si>
  <si>
    <t>4 ESTANTES METALICOS COMPUESTOS DE DE 4 POSTES DE 2.00 MTAS,14 6 ENTREPAÑOS DE 90X30 CAL 20,48 TORNILLOS CON TUERCA</t>
  </si>
  <si>
    <t>CEA-GYM-COML-GYM-MOBI-0154-07</t>
  </si>
  <si>
    <t>5 ESTANTES METALICOS COMPUESTOS DE DE 4 POSTES DE 2.00 MTAS,14 6 ENTREPAÑOS DE 90X30 CAL 20,48 TORNILLOS CON TUERCA</t>
  </si>
  <si>
    <t>CEA-GYM-ADMN-GYM-MOBI-1002</t>
  </si>
  <si>
    <t>SILLA VISITANTE BARI</t>
  </si>
  <si>
    <t>CEA-GYM-ADMN-GYM-MOBI-1003</t>
  </si>
  <si>
    <t>CEA-GYM-ADMN-GYM-MOBI-1004</t>
  </si>
  <si>
    <t>CEA-GYM-ADMN-GYM-MOBI-1005</t>
  </si>
  <si>
    <t>CEA-GYM-ADMN-GYM-MOBI-1006</t>
  </si>
  <si>
    <t>SILLON EJECUTIVO GAMA</t>
  </si>
  <si>
    <t>CEA-GYM-ADMN-GYM-MOBI-1008</t>
  </si>
  <si>
    <t>ARCHIVERO VERTICAL, 4 GAVETAS, COLOR GRIS NEGRO.</t>
  </si>
  <si>
    <t>CEA-GYM-ADMN-GYM-MOBI-1009</t>
  </si>
  <si>
    <t>ARCHIVERO METALICO 4 GAVETAS</t>
  </si>
  <si>
    <t>CEA-GYM-ADMN-GYM-MOBI-1010</t>
  </si>
  <si>
    <t>ESCRITORIO MELAMINA, COLOR  CHERRY</t>
  </si>
  <si>
    <t>CEA-GYM-COML-GYM-MOBI-1072</t>
  </si>
  <si>
    <t xml:space="preserve">LIBRERO DE 5 REPISAS REVISTERAS </t>
  </si>
  <si>
    <t>CEA-GYM-ADMN-GYM-MOBI-1073</t>
  </si>
  <si>
    <t>CHECADOR DIGITAL MARCA: NATIONAL SOFT, MODELO: ON THE MINUTE,TCP/IP,  SERIE: 3483030260058.</t>
  </si>
  <si>
    <t>CEA-GYM-ADMN-GYM-MOBI-1074</t>
  </si>
  <si>
    <t>CHECADOR DIGITAL MARCA: NATIONAL SOFT, MODELO: ONTHE MINUTE, TCP/IP, SERIE: 3483030260157</t>
  </si>
  <si>
    <t>CEA-GYM-ADMN-GYM-MOBI-1075</t>
  </si>
  <si>
    <t>CHECADOR DIGITAL TCP/IP, OTM TERMINAL REMOTA Y AUTONOMA, SERIE: 3483030260146</t>
  </si>
  <si>
    <t>CEA-GYM-ADMN-GYM-MOBI-1078</t>
  </si>
  <si>
    <t>MINISPLIT, 1.5 TONELADAS,MARCA: MIRAGE, MODELO: ABSOLUT BLUE EBF121A, SERIE: ILEGIBLE</t>
  </si>
  <si>
    <t>CEA-GYM-ADMN-GYM-MOBI-1079</t>
  </si>
  <si>
    <t>MINISPLIT, MARCA: ABSOLUT BLUE,1 TONELADA, MODELO: EBF181A,SERIE: EBF181A8011130545</t>
  </si>
  <si>
    <t>CEA-GYM-ADMN-GYM-MOBI-1079-1</t>
  </si>
  <si>
    <t>MINISPLIT, MARCA: ABSOLUT BLUE,1 TONELADA, MODELO: EBF121A,SERIE: EBF 121A8011131259</t>
  </si>
  <si>
    <t>CEA-GYM-ADMN-GYM-MOBI-1080</t>
  </si>
  <si>
    <t>MINISPLIT , MARCA:ABSOLUT BLUE, 1 TONELADA, MODELO: EBF121A, SERIE: EBF121A8011131239</t>
  </si>
  <si>
    <t>CEA-GYM-ADMN-GYM-MOBI-1080/ 1</t>
  </si>
  <si>
    <t>MINISPLIT , MARCA: ABSOLUT BLUE, 1 TONELADA, MODELO: EBF121A, SERIE: EBF121A8011131234</t>
  </si>
  <si>
    <t>CEA-GYM-ADMN-GYM-MOBI-1081</t>
  </si>
  <si>
    <t>MINISPLIT , MARCA: MIRAGE, MODELO: ESF261N JAPANDO, 1.5 TONELADA,SERIE: ESF261N8011120515</t>
  </si>
  <si>
    <t>CEA-GYM-ADMN-GYM-MOBI-1082-1</t>
  </si>
  <si>
    <t>ESCRITORIO SECRETARIAL  EN LA  COLOR NARANJA</t>
  </si>
  <si>
    <t>CEA-GYM-ADMN-GYM-MOBI-1082-2</t>
  </si>
  <si>
    <t>ESCRITORIO SECRETARIAL  EN L  COLOR NARANJA</t>
  </si>
  <si>
    <t>CEA-GYM-ADMN-GYM-MOBI-1082-3</t>
  </si>
  <si>
    <t>ESCRITORIO DE 1.57 X .60 CON CAJONERA PEDESTAL Y LATERAL  DE 1.00 X .45, MODELO: SECRETARIAL EN L, COLOR NARANJA</t>
  </si>
  <si>
    <t>CEA-GYM-ADMN-GYM-MOBI-1082-4</t>
  </si>
  <si>
    <t>CEA-GYM-ADMN-GYM-MOBI-1082-5</t>
  </si>
  <si>
    <t>CEA-GYM-ADMN-GYM-MOBI-1082-6</t>
  </si>
  <si>
    <t>CEA-GYM-ADMN-GYM-MOBI-1082-7</t>
  </si>
  <si>
    <t>CEA-GYM-ADMN-GYM-MOBI-1082-8</t>
  </si>
  <si>
    <t>CEA-GYM-ADMN-GYM-MOBI-1082-9</t>
  </si>
  <si>
    <t>CEA-GYM-ADMN-GYM-MOBI-1083</t>
  </si>
  <si>
    <t>CHECADOR DIGITAL, MARCA: NATIONAL SOFT, MODELO: ON THE MINUTE, SERIE: 3480581300183</t>
  </si>
  <si>
    <t>CEA-GYM-ADMN-GYM-MOBI-1083-1</t>
  </si>
  <si>
    <t>CAJA ACRILICA DE CHECADOR</t>
  </si>
  <si>
    <t>CEA-GYM-ADMN-GYM-MOBI-1083-2</t>
  </si>
  <si>
    <t>CHECADOR DIGITAL, MARCA: NATIONAL SOFT, MODELO: ON THE MINUTE, SERIE: 3486813050141</t>
  </si>
  <si>
    <t>CEA-GYM-ADMN-GYM-MOBI-1083-3</t>
  </si>
  <si>
    <t>CEA-GYM-ADMN-GYM-MOBI-1084</t>
  </si>
  <si>
    <t>LIBRERO SOBRE CUBIERTA DE 1.60 X 30 X 1.50</t>
  </si>
  <si>
    <t>CEA-GYM-ADMN-GYM-MOBI-1085</t>
  </si>
  <si>
    <t>MINISPLIT MARCA: LG, MODELO: G182CA, 1.5 TONELADA, S.F 220V,  SERIE :105TAWM01737</t>
  </si>
  <si>
    <t>CEA-GYM-CONT-GYM-MOBI-1089</t>
  </si>
  <si>
    <t>LIBRERO SOBRE CUBIERTA DE 1.10X.30X.70</t>
  </si>
  <si>
    <t>CEA-GYM-CONT-GYM-MOBI-1090</t>
  </si>
  <si>
    <t>CEA-GYM-CONT-GYM-MOBI-1091</t>
  </si>
  <si>
    <t>CEA-GYM-CONT-GYM-MOBI-1092</t>
  </si>
  <si>
    <t>CEA-GYM-CONT-GYM-MOBI-1093</t>
  </si>
  <si>
    <t>CEA-GYM-CONT-GYM-MOBI-1094</t>
  </si>
  <si>
    <t>LATERAL DE 1.20X.50 DE MADERA DE MELAMINA COLOR VINO</t>
  </si>
  <si>
    <t>CEA-GYM-RH-GYM-MOBI-1095</t>
  </si>
  <si>
    <t>LIBRERO SOBRE CUBIERTA DE .60X.30X.70</t>
  </si>
  <si>
    <t>CEA-GYM-RH-GYM-MOBI-1096</t>
  </si>
  <si>
    <t>CEA-GYM-RH-GYM-MOBI-1097</t>
  </si>
  <si>
    <t>CEA-GYM-TECN-GYM-MOBI-1098</t>
  </si>
  <si>
    <t>ESCRITORIO DE MADERA EN MELAMINA DE 1.57X.6O CON CAJONERA PEDESTAL Y LATERAL DE 1.00X.45</t>
  </si>
  <si>
    <t>CEA-GYM-TECN-GYM-MOBI-1099</t>
  </si>
  <si>
    <t>LIBRERO DE PISO DE MANDERA DE MELAMINA DE .80X.30X1.20 DE 28MM DE GROSOR</t>
  </si>
  <si>
    <t>CEA-GYM-TECN-GYM-MOBI-1100</t>
  </si>
  <si>
    <t>MINI SPLIT  MARCA: LG, MODELO: SJ182CD, 1.5 TONELADA, SERIES: 204TACX00762</t>
  </si>
  <si>
    <t>CEA-GYM-COM-GYM-MOBI-1102</t>
  </si>
  <si>
    <t>BANCA DE 3 PLAZAS DE VINIPIEL COLOR NEGRO</t>
  </si>
  <si>
    <t>CEA-GYM-COM-GYM-MOBI-1105</t>
  </si>
  <si>
    <t xml:space="preserve">LIBRERO PARA EMPOTRAR 1.20x1.20 CON ENTREPAÑOS </t>
  </si>
  <si>
    <t>CEA-GYM-COM-GYM-MOBI-1106</t>
  </si>
  <si>
    <t>MODULO EJECUTIVO EN "L" DE 1.60x.60 CON LATERAL DE 1.20x.50  CON PEDESTAL CAJONERA TRIPLE</t>
  </si>
  <si>
    <t>CEA-GYM-RH-GYM-MOBI-1107</t>
  </si>
  <si>
    <t>ARCHIVERO DE LAMINA ANAQUEL</t>
  </si>
  <si>
    <t>CEA-GYM-RH-GYM-MOBI-1108</t>
  </si>
  <si>
    <t>CEA-GYM-RH-GYM-MOBI-1115</t>
  </si>
  <si>
    <t>SUMADORA ELECTRICA DE 14 DIGITOS CANON MODELO: MP20dHIII SERIE: 20103863</t>
  </si>
  <si>
    <t>CEA-GYM-RH-GYM-MOBI-1116</t>
  </si>
  <si>
    <t>SUMADORA ELECTRICA 12 DIGITOS MARCA CASIO-CELICA MODELO CA-305TS; 2-COLOR PRINTING, SERIE: 11001054</t>
  </si>
  <si>
    <t>CEA-GYM-RH-GYM-MOBI-1117</t>
  </si>
  <si>
    <t>ARCHIVEROS  DE 2 GAVETAS CON CHAPA; COLOR NEGRO, MARCA TAM-MEX</t>
  </si>
  <si>
    <t>CEA-GYM-RH-GYM-MOBI-1118</t>
  </si>
  <si>
    <t>CEA-GYM-RH-GYM-MOBI-1119</t>
  </si>
  <si>
    <t>CEA-GYM-RH-GYM-MOBI-1120</t>
  </si>
  <si>
    <t>CEA-GYM-RH-GYM-MOBI-1121</t>
  </si>
  <si>
    <t>CEA-GYM-RH-GYM-MOBI-1122</t>
  </si>
  <si>
    <t>ARCHIVEROS  DE 2 GAVETAS TAMAÑO OFICIO, CON CHAPA; COLOR NEGRO, MARCA TAM-MEX</t>
  </si>
  <si>
    <t>CEA-GYM-RH-GYM-MOBI-1123</t>
  </si>
  <si>
    <t>ESCRITORIO CON DOS GAVETAS</t>
  </si>
  <si>
    <t>CEA-GYM-RH-GYM-MOBI-1124</t>
  </si>
  <si>
    <t>CEA-GYM-RH-GYM-MOBI-1125</t>
  </si>
  <si>
    <t>CONTADOR DE BILLETES MODELO A71A0618; OFFICE MAX; SERIOE No. 201201202000872</t>
  </si>
  <si>
    <t>CEA-GYM-RH-GYM-MOBI-1128</t>
  </si>
  <si>
    <t>ALMACENADOR DE LÁMINA CON CHAPA DE 1.85 x 1</t>
  </si>
  <si>
    <t>CEA-GYM-RH-GYM-MOBI-1129</t>
  </si>
  <si>
    <t>9 ESTANTES PARA ARCHIVO DE CONCENTRACION</t>
  </si>
  <si>
    <t>CEA-GYM-RH-GYM-MOBI-1129-01</t>
  </si>
  <si>
    <t>ESTANTE PARA ARCHIVO DE CONCENTRACION</t>
  </si>
  <si>
    <t>CEA-GYM-RH-GYM-MOBI-1130</t>
  </si>
  <si>
    <t>SUMADORA ELECTRICA</t>
  </si>
  <si>
    <t>CEA-GYM-RH-GYM-MOBI-1131</t>
  </si>
  <si>
    <t>CEA-GYM-ALM-GYM-MOBI-1132</t>
  </si>
  <si>
    <t>CEA-GYM-COM-GYM-MOBI-1133</t>
  </si>
  <si>
    <t>ARCHIVERO DE 4 GAVETAS</t>
  </si>
  <si>
    <t>CEA-GYM-MYE-GYM-COM-169</t>
  </si>
  <si>
    <t>MESA DE TRABAJO DE 2.12 X 0.60 X 0.75 EN MADERA DE MELAMINA COLOR PERA/NEGRA</t>
  </si>
  <si>
    <t>CEA-GYM-MYE-GYM-COM-170</t>
  </si>
  <si>
    <t>LIBRERO SOBRE CUBIERTA DE MADERA DE MELAMINA CON ENTREPAÑOS Y PUERTAS DE 1.05 X 0.32 X 1.73 EN COLOR PERA/NEGRO</t>
  </si>
  <si>
    <t>CEA-GYM-MYE-GYM-COM-171</t>
  </si>
  <si>
    <t>REFRIGERADOR MABE 4 GRAFITO</t>
  </si>
  <si>
    <t>CEA-GYM-MYE-GYM-COM-172</t>
  </si>
  <si>
    <t>PANTALLA VIOS LED DE 32"</t>
  </si>
  <si>
    <t>CEA-GYM-MYE-GYM-COM-173</t>
  </si>
  <si>
    <t>CEA-GYM-MYE-GYM-COM-174</t>
  </si>
  <si>
    <t>AIRE ACONDICIONADO MINISPLIT MARCA: MIRAGE, MODELO: EFX181D ABSOLUT  X FRIO 1.5 TON SERIE: EFX181D8051404234</t>
  </si>
  <si>
    <t>CEA-GYM-MYE-GYM-COM-176</t>
  </si>
  <si>
    <t>LIBRERO SOBRE CUBIERTA DE 60 X 30 X 70 DE 16 MM CON UN ENTRAPAÑO</t>
  </si>
  <si>
    <t>CEA-GYM-MYE-GYM-COM-177</t>
  </si>
  <si>
    <t>CEA-GYM-MYE-GYM-COM-178</t>
  </si>
  <si>
    <t>CEA-GYM-MYE-GYM-COM-179</t>
  </si>
  <si>
    <t>GABINETES DE MADERA  DE MELAMINA DE 1.60 X .40 X .75 CON PUERTAS Y ENTREPAÑO</t>
  </si>
  <si>
    <t>CEA-GYM-MYE-GYM-COM-180</t>
  </si>
  <si>
    <t>CEA-GYM-MYE-GYM-COM-181</t>
  </si>
  <si>
    <t>CEA-GYM-MYE-GYM-COM-182</t>
  </si>
  <si>
    <t>LIBRERO DE MADERA SOBRECUBIERTA DE 28 MM CON ENTREPAÑOS</t>
  </si>
  <si>
    <t>CEA-GYM-MYE-GYM-COM-183</t>
  </si>
  <si>
    <t>CEA-GYM-MYE-GYM-COM-184</t>
  </si>
  <si>
    <t>CEA-GYM-MYE-GYM-COM-185</t>
  </si>
  <si>
    <t>CUBIERTA DE 160 X 50 CON PATA FIJA DE 70 COM DE MADERA DE MELAMINA COLOR PERAL</t>
  </si>
  <si>
    <t>CEA-GYM-MYE-GYM-COM-186</t>
  </si>
  <si>
    <t>LIBRERO DE 1.60 X 30 X 1.20 CON ENTREPAÑOS</t>
  </si>
  <si>
    <t>CEA-GYM-MYE-GYM-COM-187</t>
  </si>
  <si>
    <t>CREDENZA DE MADERA DE MELAMINA DE 1.80 X 40 X 80 COLOR VINO</t>
  </si>
  <si>
    <t>CEA-GYM-MYE-GYM-COM-188</t>
  </si>
  <si>
    <t>LIBRERO DE MADERA DE MELAMINA DE 16 MM CON UN ENTREPAÑO SOBRE CUBIERTA DE 1.10 X 30 X 70 COLOR PERAL</t>
  </si>
  <si>
    <t>CEA-GYM-MYE-GYM-COM-189</t>
  </si>
  <si>
    <t>LIBRERO DE MADERA DE MELAMINA DE 16 MM CON UN ENTREPAÑO SOBRE CUBIERTA DE 70X 30 X 70 COLOR PERAL</t>
  </si>
  <si>
    <t>CEA-GYM-MYE-GYM-COM-190</t>
  </si>
  <si>
    <t>LIBRERO DE MADERA DE MELAMINA CON ENTREPAÑOS DE 1.15 32 X 1.50 DE 28 MM</t>
  </si>
  <si>
    <t>CEA-GYM-MYE-GYM-COM-191</t>
  </si>
  <si>
    <t>TOMA TURNOS PARA EL AREA DE CAJAS, PANTALLA DE 60 X 27 CM LUZ LED ROJA: TAMAÑO DEL NUMERO 14 CM. NUMERO DE CAJA, NUMERO DE TURNO</t>
  </si>
  <si>
    <t>CEA-GYM-MYE-GYM-COM-192</t>
  </si>
  <si>
    <t xml:space="preserve">TOMA TURNOS, DISPENSADOR PARA EL AREA DE CAJAS, DIMENSIONES 32 X 27 CM </t>
  </si>
  <si>
    <t>CEA-GYM-MYE-GYM-COM-194</t>
  </si>
  <si>
    <t>COFRE DE SEGURIDAD FABRICADO EN LAMINA CAL. 12, EN COLOR GRIS PIZARRO, MIDE: 0.200 MTS FRENTE, 0.150 MTS FONDO, 0.300 MTS ALTO + 0.070 MTS. DEL COLECTOR. CON UN PESO APROXIMADO DE 25 KGS. MARCA FULTON</t>
  </si>
  <si>
    <t>CEA-GYM-AML-GYM-COM-195</t>
  </si>
  <si>
    <t>CEA-GYM-AML-GYM-COM-196</t>
  </si>
  <si>
    <t>BAFLES AMPLICADO MASTER RECARGABLE</t>
  </si>
  <si>
    <t>CEA-GYM-AML-GYM-COM-197</t>
  </si>
  <si>
    <t>CEA-GYM-AML-GYM-COM-201</t>
  </si>
  <si>
    <t>MINI SPLIT X22.0 TONELA MODELO:CXF261F,SERIE: EX261F7041700538</t>
  </si>
  <si>
    <t>CEA-GYM-AML-GYM-COM-202</t>
  </si>
  <si>
    <t>MINI SPLIT MARCA: MIRAGE, MODELO: EX261F, X22.0 TONELA SERIE: EX261F7041701916</t>
  </si>
  <si>
    <t>CEA-GYM-AML-GYM-COM-203</t>
  </si>
  <si>
    <t>MINI SPLIT MIRAGE X2,2.0 TONELA MODELO: X2  EX261F, 2 TONELADAS, SERIE: EX261F7041701752</t>
  </si>
  <si>
    <t>CEA-GYM-AML-GYM-COM-204</t>
  </si>
  <si>
    <t>MINI SPLIT X21.5 TONELA MODELO:EXF181F,SOLO FRIO,SERIE:EX181F7041700226</t>
  </si>
  <si>
    <t>CEA-GYM-AML-GYM-COM-205</t>
  </si>
  <si>
    <t>MINI SPLIT MARCA: MIRAGE, MODELO:EXF261F, 22.0 TONELADA, FRIO 10.5 SEER,SERIE:EX261F7041703535</t>
  </si>
  <si>
    <t>CEA-GYM-AML-GYM-COM-206</t>
  </si>
  <si>
    <t>MINI SPLIT MARCA: MIRAGE, MODELO:EXF181F, 1.5 TONELADA SOLO FRIO,SERIE:EX181F7041702859</t>
  </si>
  <si>
    <t>CEA-GYM-AML-GYM-COM-207</t>
  </si>
  <si>
    <t>MINI SPLIT MARCA: MIRAGE, MODELO:EXF181F, 1.5 TONELADA SOLO FRIO,SERIE: EX181F7041703505</t>
  </si>
  <si>
    <t>CEA-GYM-MYE-GYM-ADM-208</t>
  </si>
  <si>
    <t>ARCHIVERO METALICO INSTTITUCIONAL MARCA: OFIK, COLOR: ARENA,2 GAVETAS .45X .72 X .63 CM</t>
  </si>
  <si>
    <t>CEA-GYM-MYE-GYM-ADM-209</t>
  </si>
  <si>
    <t xml:space="preserve">CAMARAS SEGURIDAD, DVR CON DISCO, 4 CAMARAS </t>
  </si>
  <si>
    <t>CEA-GYM-MYE-GYM-ADM-210</t>
  </si>
  <si>
    <t>MINI SPLIT MARCA: MIRAGE R2, MODELO: EXF161F, 2 TONELADAS ,SERIE: EXF161F7071801780</t>
  </si>
  <si>
    <t>CEA-GYM-MYE-GYM-ADM-211</t>
  </si>
  <si>
    <t>MINI SPLIT MARCA: MIRAGE R2, MODELO: EXE1211F, 1 TONELADA ,SERIE: EXE121F7071842803</t>
  </si>
  <si>
    <t>CEA-GYM-MYE-GYM-ADM-212</t>
  </si>
  <si>
    <t>MINI SPLIT , MARCA: MIRAGE R22, MODELO: EXF121F, 1 TONELADA, SERIE: EXF121F7071842786</t>
  </si>
  <si>
    <t>CEA-GYM-MYE-GYM-ADM-213</t>
  </si>
  <si>
    <t>MINI SPLIT, MARCA: FROZEN, MODELO: ZNESAJ122C,  1 TON. 12000 Btu/h, SERIE: S-2020-02-ID-12-0189</t>
  </si>
  <si>
    <t>CEA-GYM-MYE-GYM-ADM-214</t>
  </si>
  <si>
    <t>MINI SPLIT, MARCA: FROZEN, MODELO: ZNESAJ122C,  1 TON. 12000 Btu/h, SERIE: S-2020-02-ID-12-0094</t>
  </si>
  <si>
    <t>CEA-GYM-MYE-GYM-ADM-215</t>
  </si>
  <si>
    <t>MINI SPLIT, MARCA: FROZEN, MODELO: ZNESAJ122C, 1 TON. 12000 Btu/h, SERIE: S-2020-02-ID-12-0116</t>
  </si>
  <si>
    <t>CEA-GYM-MYE-GYM-ADM-216</t>
  </si>
  <si>
    <t>MINI SPLIT, MARCA: FROZEN, MODELO: ZNESAJ122C, 1 TON. 12000 Btu/h, SERIE: S-2020-02-ID-12-0040</t>
  </si>
  <si>
    <t>CEA-GYM-MYE-GYM-ADM-217</t>
  </si>
  <si>
    <t>MINI SPLIT, MARCA: FROZEN, MODELO: ZNESAJ122C, 1 TON. 12000 Btu/h, SERIE: S-2020-02-ID-12-0019</t>
  </si>
  <si>
    <t>CEA-GYM-MYE-GYM-ADM-218</t>
  </si>
  <si>
    <t>MINI SPLIT,  MARCA: FROZEN, MODELO: ZNESAJ122C, 1 TON. 12000 Btu/h, SERIE: S-2020-02-ID-12-0058</t>
  </si>
  <si>
    <t>CEA-GYM-MYE-GYM-ADM-219</t>
  </si>
  <si>
    <t>MINI SPLIT, MIRAGE, MODELO: EJF261T, SERIE: EJF261T7061901258</t>
  </si>
  <si>
    <t>CEA-GYM-MYE-GYM-ADM-220</t>
  </si>
  <si>
    <t>MINI SPLIT, MARCA: FRIKKO, MODELO: AVANT K-D5B9, SERIE: VKK012 00WVN 0D5B9J6 0012</t>
  </si>
  <si>
    <t>CEA-GYM-MYE-GYM-ADM-221</t>
  </si>
  <si>
    <t>1 SILLA DE VISITA FIJO BASE DE ACERO TUBULAR TIPO TRINEO COLOR NEGRO. MODELO RE-1225  MARCA REQUIEZ</t>
  </si>
  <si>
    <t>CEA-GYM-MYE-GYM-ADM-222</t>
  </si>
  <si>
    <t>CEA-GYM-MYE-GYM-ADM-223</t>
  </si>
  <si>
    <t>CEA-GYM-MYE-GYM-ADM-224</t>
  </si>
  <si>
    <t>CEA-GYM-MYE-GYM-ADM-225</t>
  </si>
  <si>
    <t>CEA-GYM-MYE-GYM-ADM-226</t>
  </si>
  <si>
    <t>CEA-GYM-MYE-GYM-ADM-227</t>
  </si>
  <si>
    <t>CEA-GYM-MYE-GYM-ADM-228</t>
  </si>
  <si>
    <t>CEA-GYM-MYE-GYM-ADM-229</t>
  </si>
  <si>
    <t>CEA-GYM-MYE-GYM-ADM-230</t>
  </si>
  <si>
    <t>CEA-GYM-MYE-GYM-ADM-231</t>
  </si>
  <si>
    <t>SILLA GIRATORIA FORRADA EN PLIANA COLOR NEGRO CON GRIS</t>
  </si>
  <si>
    <t>CEA-GYM-MYE-GYM-ADM-232</t>
  </si>
  <si>
    <t>CEA-GYM-MYE-GYM-ADM-233</t>
  </si>
  <si>
    <t>CEA-GYM-MYE-GYM-ADM-234</t>
  </si>
  <si>
    <t>CEA-GYM-MYE-GYM-ADM-235</t>
  </si>
  <si>
    <t>CEA-GYM-MYE-GYM-ADM-236</t>
  </si>
  <si>
    <t xml:space="preserve">CONJUNTO MODULAR mesa radial forrada en termo plastico en prensa membrana acero gris RM, canto </t>
  </si>
  <si>
    <t>CEA-GYM-MYE-GYM-ADM-237</t>
  </si>
  <si>
    <t>CONJUNTO DE ESCRITORIO Cubierta forrada en termo plastico en prensa membrana, can</t>
  </si>
  <si>
    <t>CEA-GYM-MYE-GYM-ADM-238</t>
  </si>
  <si>
    <t>CEA-GYM-MYE-GYM-ADM-239</t>
  </si>
  <si>
    <t>CEA-GYM-MYE-GYM-ADM-240</t>
  </si>
  <si>
    <t>CEA-GYM-MYE-GYM-ADM-241</t>
  </si>
  <si>
    <t>MESA Tipo Bala Peninsula.  FABRICADO en aglomerado solido de 28 mm de espeso de alta resistencia, con moldura.  Credenza con pedestal con llave tres cajones, 2 papeleros y un cajon archivador color platinium, Marca: GEBESA Modelo: 2012204NL</t>
  </si>
  <si>
    <t>CEA-GYM-MYE-GYM-ADM-242</t>
  </si>
  <si>
    <t>CEA-GYM-MYE-GYM-ADM-243</t>
  </si>
  <si>
    <t>CEA-GYM-MYE-GYM-ADM-244</t>
  </si>
  <si>
    <t>PANTALLA PARA PROYECCION</t>
  </si>
  <si>
    <t>CEA-GYM-MYE-GYM-ADM-245</t>
  </si>
  <si>
    <t>CEA-GYM-MYE-GYM-ADM-246</t>
  </si>
  <si>
    <t>CEA-GYM-MYE-GYM-ADM-247</t>
  </si>
  <si>
    <t>CEA-GYM-MYE-GYM-ADM-248</t>
  </si>
  <si>
    <t>CEA-GYM-MYE-GYM-ADM-249</t>
  </si>
  <si>
    <t>CEA-GYM-MYE-GYM-ADM-250</t>
  </si>
  <si>
    <t>ARCHIVERO LB 3 Gavetas</t>
  </si>
  <si>
    <t>CEA-GYM-MYE-GYM-ADM-251</t>
  </si>
  <si>
    <t>CEA-GYM-MYE-GYM-ADM-252</t>
  </si>
  <si>
    <t>CEA-GYM-MYE-GYM-ADM-253</t>
  </si>
  <si>
    <t>PEDESTAL METALICO c/gaveta de archivo, 2 papelera gris RM .40x.58, serie S/N, mod PLZ</t>
  </si>
  <si>
    <t>CEA-GYM-MYE-GYM-ADM-254</t>
  </si>
  <si>
    <t>SILLA APILABLE tubular forrada en pliana color negra</t>
  </si>
  <si>
    <t>CEA-GYM-MYE-GYM-ADM-255</t>
  </si>
  <si>
    <t>CEA-GYM-MYE-GYM-ADM-256</t>
  </si>
  <si>
    <t>FABRICACION DE MUEBLE DE MADERA DE CEDRO</t>
  </si>
  <si>
    <t>CEA-GYM-MYE-GYM-ADM-257</t>
  </si>
  <si>
    <t>CEA-GYM-MYE-GYM-ADM-258</t>
  </si>
  <si>
    <t>CEA-GYM-MYE-GYM-ADM-259</t>
  </si>
  <si>
    <t>CEA-GYM-MYE-GYM-ADM-260</t>
  </si>
  <si>
    <t xml:space="preserve">PEDESTAL METALICO c/gaveta de archivo 2 papeleras gris RM .40X.58X.72 serie </t>
  </si>
  <si>
    <t>CEA-GYM-MYE-GYM-ADM-261</t>
  </si>
  <si>
    <t>CEA-GYM-MYE-GYM-ADM-262</t>
  </si>
  <si>
    <t>SILLON confortable de 2 plazas con asiento y respaldo, color negro marca Riviera Modelo RC-1042/B</t>
  </si>
  <si>
    <t>CEA-GYM-MYE-GYM-ADM-263</t>
  </si>
  <si>
    <t>ESCRITORIO pedestal izq. c/canto piramide 2.14X.91, serie S/N (Papelera )</t>
  </si>
  <si>
    <t>CEA-GYM-MYE-GYM-ADM-264</t>
  </si>
  <si>
    <t>CREDENZA (CEDRO) 4 gavetas, papelera, 2 archiveros c/canto piramide 2.24X0.61, SERIE S/N</t>
  </si>
  <si>
    <t>CEA-GYM-MYE-GYM-ADM-265</t>
  </si>
  <si>
    <t>PUENTE UNION c/figuraciones en U, c/canto piramide 1.06X.61 serie S/N</t>
  </si>
  <si>
    <t>CEA-GYM-MYE-GYM-ADM-266</t>
  </si>
  <si>
    <t>CEA-GYM-MYE-GYM-ADM-267</t>
  </si>
  <si>
    <t>ARCHIVERO 4gavetas de madera 398</t>
  </si>
  <si>
    <t>CEA-GYM-MYE-GYM-ADM-268</t>
  </si>
  <si>
    <t>2 SILLA APILABLES Tubulares, forradas en pliana color negro</t>
  </si>
  <si>
    <t>CEA-GYM-MYE-GYM-ADM-269</t>
  </si>
  <si>
    <t>CEA-GYM-MYE-GYM-ADM-270</t>
  </si>
  <si>
    <t>CEA-GYM-MYE-GYM-ADM-271</t>
  </si>
  <si>
    <t>PEDESTAL METALICO c/gaveta de archivo, 2 paperas gris RM de .40x.58 altura .72, mod PLZ serie s/n</t>
  </si>
  <si>
    <t>CEA-GYM-MYE-GYM-ADM-272</t>
  </si>
  <si>
    <t>CEA-GYM-MYE-GYM-ADM-273</t>
  </si>
  <si>
    <t xml:space="preserve"> sillon con coderas  COLOR NEGRO</t>
  </si>
  <si>
    <t>CEA-GYM-MYE-GYM-ADM-274</t>
  </si>
  <si>
    <t>CEA-GYM-MYE-GYM-ADM-275</t>
  </si>
  <si>
    <t>sillón ejecutivo presidente modelo roma 1</t>
  </si>
  <si>
    <t>CEA-GYM-MYE-GYM-ADM-276</t>
  </si>
  <si>
    <t>CEA-GYM-MYE-GYM-ADM-277</t>
  </si>
  <si>
    <t>CEA-GYM-MYE-GYM-ADM-278</t>
  </si>
  <si>
    <t>ESCRITORIO MODELO Z EN L</t>
  </si>
  <si>
    <t>CEA-GYM-OMYE-GYM-ADM-001</t>
  </si>
  <si>
    <t>CEA-GYM-OMYE-GYM-ADM-002</t>
  </si>
  <si>
    <t>CEA-GYM-OMYE-GYM-ADM-003</t>
  </si>
  <si>
    <t>CEA-GYM-PRSM-GYM-TRNS-0096</t>
  </si>
  <si>
    <t>VEHICULO,  MARCA FORD,TIPO RANGER, PICK UP, MODELO 2011, COLOR BLANCO, SERIE: 8AFER5AD9B6362508, MOVIL # 43</t>
  </si>
  <si>
    <t>CEA-GYM-TECN-GYM-TRNS-0098</t>
  </si>
  <si>
    <t>VEHICULO , MARCA FORD, TIPO RANGER PICK UP , MODELO 2011, COLOR BLANCO OXFORD, PLACA: VC47983, SERIE: 8AFER5AD0B6-326142, MOVIL: 18</t>
  </si>
  <si>
    <t>CEA-GYM-TECN-GYM-TRNS-0099</t>
  </si>
  <si>
    <t>VEHICULO , MARCA FORD, TIPO RANGER PICK UP , MODELO 2009, COLOR BLANCO OXFORD, PLACA: VC47996, SERIE: 8AFDT52D196-215735, MOVIL: 25</t>
  </si>
  <si>
    <t>CEA-GYM-TECN-GYM-TRNS-0100</t>
  </si>
  <si>
    <t>VEHICULO , MARCA VOLKSWAGEN, TIPO: PASSAT, MODELO: 2008, COLOR BLANCO, SERIE: WVWAK73C48E072766, MOVIL: 14</t>
  </si>
  <si>
    <t>CEA-GYM-TECN-GYM-TRNS-0101</t>
  </si>
  <si>
    <t>VEHICULO , MARCA FORD, TIPO F150 PICK UP , MODELO 2006,  SERIE: 3FTRF17256M-A19099, PLACAS: VC47976, MOVIL: 42</t>
  </si>
  <si>
    <t>CEA-GYM-TECN-GYM-TRNS-0102</t>
  </si>
  <si>
    <t>VEHICULO , MARCA FORD, TIPO F150 PICK UP , MODELO 2006,  SERIE: 3FTGF17W36M-A04160, PLACAS: VC47986, MOVIL: 44</t>
  </si>
  <si>
    <t>CEA-GYM-TECN-GYM-TRNS-0104</t>
  </si>
  <si>
    <t>VEHICULO , MARCA FORD, TIPO RANGER PICK UP , MODELO 2011,  SERIE: 8AFER5AD6B6-348128, PLACAS: , MOVIL: 45</t>
  </si>
  <si>
    <t>CEA-GYM-TECN-GYM-TRNS-0105</t>
  </si>
  <si>
    <t>VEHICULO, MARCA: FORD FREESTART, MODELO: 2005, COLOR PLATA, SERIE: 2FMDA52245BA00210, MOVIL # (09) 203</t>
  </si>
  <si>
    <t>CEA-GYM-TECN-GYM-TRNS-0106</t>
  </si>
  <si>
    <t>VEHICULO, MARCA: FORD FREESTART, MODELO: 2005, COLOR PLATA, SERIE: 2FMDA52245BA48712, MOVIL # (11) - 204</t>
  </si>
  <si>
    <t>CEA-GYM-TECN-GYM-TRNS-0107</t>
  </si>
  <si>
    <t>VEHICULO, MARCA: FORD RANGER, MODELO: 2011, COLOR BLANCO, SERIE: BAFER5AD1B6368593, MOVIL # (24) - 205</t>
  </si>
  <si>
    <t>CEA-GYM-COML-GYM-TRNS-0076</t>
  </si>
  <si>
    <t>MOTICLETA MARCA ITALIKA,  TIPO FT-150, MODELO 2007, COLOR ROJO, SERIE CHASIS: LLCLPS2E271B8302, MOVIL: 93</t>
  </si>
  <si>
    <t>CEA-GYM-COML-GYM-TRNS-0122</t>
  </si>
  <si>
    <t>MOTOCICLETA T. TRABAJO ISLO, MODELO 2010, CÓDIGO ADVANCE150, COLOR BLANCO, SERIE: LZSPTCK1XA1100176, MOVIL: 94</t>
  </si>
  <si>
    <t>CEA-GYM-COML-GYM-TRNS-0123</t>
  </si>
  <si>
    <t>MOTOCICLETA T. TRABAJO ISLO, MODELO 2010, CÓDIGO ADVANCE 150, COLOR BLANCO, SERIE: LZSPTCK19A1100122, MOVIL: 95</t>
  </si>
  <si>
    <t>CEA-GYM-COML-GYM-TRNS-0125</t>
  </si>
  <si>
    <t>MOTOCICLETA NUEVA, MARCA ITALIKA, TIPO: FT150,  MODELO: 2011, COLOR: ROJO, SERIE: 3SCPFTEE7B1005461, MOVIL: 97</t>
  </si>
  <si>
    <t>CEA-GYM-COML-GYM-TRNS-0126</t>
  </si>
  <si>
    <t>MOTOCICLETA NUEVA, MARCA ITALIKA, TIPO: FT150, MODELO: 2011, COLOR: NEGRA, SERIE: 3SCPFTEE5B1012506, MOVIL: 98</t>
  </si>
  <si>
    <t>CEA-GYM-COML-GYM-TRNS-0127</t>
  </si>
  <si>
    <t>MOTOCICLETA NUEVA, MARCA ITALIKA, TIPO: FT150, MODELO: 2013, COLOR: ROJO, SERIE: 3SCPFTEE0D1003862, MOVIL: 99</t>
  </si>
  <si>
    <t>CEA-GYM-COML-GYM-TRNS-0128</t>
  </si>
  <si>
    <t>MOTOCICLETA NUEVA, MARCA ITALIKA, TIPO: FT150, MODELO: 2013, COLOR: ROJO No. SERIE: 3SCPFTEE4D1003668, MOVIL: 100</t>
  </si>
  <si>
    <t>CEA-GYM-COML-GYM-TRNS-0130</t>
  </si>
  <si>
    <t>MOTOCICLETA ITALIKA XFT 125 CC AÑO 2012 COLOR AZUL. NUEVA SERIE: 3SCPXFDE4C1003149, MOVIL: 101</t>
  </si>
  <si>
    <t>CEA-GYM-COML-GYM-TRNS-0131</t>
  </si>
  <si>
    <t>MOTOCICLETA ITALIKA AÑO: 2013 COLOR: AZUL PLATA; SERIE: 3SCPFTEE8D1028508, MOVIL: 102</t>
  </si>
  <si>
    <t>CEA-GYM-COML-GYM-TRNS-0132</t>
  </si>
  <si>
    <t>MOTOCICLETA ITALIKA AÑO: 2017COLOR: BLANCO ; SERIE: 3SCPFTEE84H1028429, MOVIL: 151</t>
  </si>
  <si>
    <t>CEA-GYM-COML-GYM-TRNS-0133</t>
  </si>
  <si>
    <t>MOTOCICLETA MARCA ITALIKA,MODELO FT150, AÑO 2017,COLOR ROJO, SERIE: 3SCPFTEE9J1040419, MOVIL: 159</t>
  </si>
  <si>
    <t>CEA-GYM-COML-GYM-TRNS-0134</t>
  </si>
  <si>
    <t xml:space="preserve"> MOTO CARRO,  MARCA: KURAZAI, MODELO: DENKA 200.L, AÑO 2020, COLOR BLANCO,  SERIE: LZSHDMZS8LA000165, MOVIL: 187 </t>
  </si>
  <si>
    <t>CEA-GYM-COML-GYM-TRNS-0135</t>
  </si>
  <si>
    <t xml:space="preserve"> MOTO CARRO, MARCA: KURAZAI, MODELO: DENKA 200.L, AÑO 2020, COLOR BLANCO, SERIE: LZSHDMZS2LA000159, MOVIL: 188</t>
  </si>
  <si>
    <t>CEA-GYM-COML-GYM-TRNS-0136</t>
  </si>
  <si>
    <t xml:space="preserve"> MOTO CARRO, MARCA: KURAZAI, MODELO: DENKA 200.L, AÑO 2020, COLOR BLANCO, SERIE: LZSHDMZS1LA000170, MOVIL: 189</t>
  </si>
  <si>
    <t>CEA-GYM-COML-GYM-TRNS-0137</t>
  </si>
  <si>
    <t xml:space="preserve"> MOTO CARRO, MARCA: KURAZAI, MODELO: DENKA 200.L, AÑO 2020, COLOR BLANCO,  SERIE: LZSHDMZS4LA000163, MOVIL: 192</t>
  </si>
  <si>
    <t>CEA-GYM-COML-GYM-TRNS-0138</t>
  </si>
  <si>
    <t xml:space="preserve"> MOTOCICLETA, MARCA: KURAZAI, MODELO: AUTOMATICA,150CC, AÑO 2020, COLOR ROJO, SERIE: 3K3TAKCD1L1003658, MOVIL: 186 </t>
  </si>
  <si>
    <t>CEA-GYM-COML-GYM-TRNS-0139</t>
  </si>
  <si>
    <t xml:space="preserve"> MOTOCICLETA, MARCA:  KURAZAI, MODELO: AUTOMATICA,150CC, AÑO 2020, COLOR ROJO, SERIE: 3K3TAKCD5L1004070, MOVIL: 185</t>
  </si>
  <si>
    <t>CEA-GYM-COML-GYM-TRNS-0140</t>
  </si>
  <si>
    <r>
      <t xml:space="preserve">MOTOCICLETA ITALIKA FT 150 2023, 150 CC, NEGRA, NO. DE MOTOR LC162FMJ043944E3, REPUVE 5K0B0P1A, NUM. DE SERIE: 3SCK2AET4P1054794 MOVIL  </t>
    </r>
    <r>
      <rPr>
        <b/>
        <sz val="10"/>
        <rFont val="Calibri"/>
        <family val="2"/>
      </rPr>
      <t>214</t>
    </r>
  </si>
  <si>
    <t>CEA-GYM-COML-GYM-TRNS-0141</t>
  </si>
  <si>
    <r>
      <t xml:space="preserve">MOTOCICLETA ITALIKA FT 150 2024, 150 CC, NEGRA, NO. DE MOTOR LC162FMJ110611E3, REPUVE 2KG1D314, NUM. DE SERIE: 3SCK2AET2R1013387 MOVIL </t>
    </r>
    <r>
      <rPr>
        <b/>
        <sz val="10"/>
        <rFont val="Calibri"/>
        <family val="2"/>
      </rPr>
      <t>215</t>
    </r>
  </si>
  <si>
    <t>CEA-GYM-COML-GYM-TRNS-0142</t>
  </si>
  <si>
    <r>
      <t xml:space="preserve">MOTOCICLETA ITALIKA FT 150 2023, 150 CC, NEGRA, NO. DE MOTOR LC162FMJ044235E3, REPUVE 3C7NK7A4, NUM. DE SERIE: 3SCK2AET4P1054696 MOVIL </t>
    </r>
    <r>
      <rPr>
        <b/>
        <sz val="10"/>
        <rFont val="Calibri"/>
        <family val="2"/>
      </rPr>
      <t>216</t>
    </r>
  </si>
  <si>
    <t>CEA-GYM-COML-GYM-TRNS-0143</t>
  </si>
  <si>
    <r>
      <t xml:space="preserve">MOTOCICLETA ITALIKA FT 150 2024, 150 CC, NEGRA, NO. DE MOTOR LC162FMJ065854E3, REPUVE 39ILDM6E, NUM. DE SERIE: 3SCK2AET5R1005106 MOVIL </t>
    </r>
    <r>
      <rPr>
        <b/>
        <sz val="10"/>
        <rFont val="Calibri"/>
        <family val="2"/>
      </rPr>
      <t>217</t>
    </r>
  </si>
  <si>
    <t>CEA-GYM-COML-GYM-TRNS-0144</t>
  </si>
  <si>
    <r>
      <t xml:space="preserve">MOTOCICLETA ITALIKA FT 150 2023, 150 CC, NEGRA, NO. DE MOTOR LC162FMJ043934E3, REPUVE 2FFA2CO2, NUM. DE SERIE: 3SCK2AET5P1054819 MOVIL </t>
    </r>
    <r>
      <rPr>
        <b/>
        <sz val="10"/>
        <rFont val="Calibri"/>
        <family val="2"/>
      </rPr>
      <t>218</t>
    </r>
  </si>
  <si>
    <t>CEA-GYM-COML-GYM-TRNS-0145</t>
  </si>
  <si>
    <r>
      <t xml:space="preserve">MOTOCICLETA ITALIKA FT 150 2023, 150 CC, NEGRA, NO. DE MOTOR LC162FMJ043789E3, REPUVE 5K0B0N29, NUM. DE SERIE: 3SCK2AET4P1054763 MOVIL </t>
    </r>
    <r>
      <rPr>
        <b/>
        <sz val="10"/>
        <rFont val="Calibri"/>
        <family val="2"/>
      </rPr>
      <t>219</t>
    </r>
  </si>
  <si>
    <t>CEA-GYM-COML-GYM-TRNS-0146</t>
  </si>
  <si>
    <r>
      <t xml:space="preserve">MOTOCICLETA ITALIKA FT 150 2023, 150 CC, NEGRA, NO. DE MOTOR LC162FMJ043740E3, REPUVE 5K0BAL4J, NUM. DE SERIE: 3SCK2AET5P1054786 MOVIL </t>
    </r>
    <r>
      <rPr>
        <b/>
        <sz val="10"/>
        <rFont val="Calibri"/>
        <family val="2"/>
      </rPr>
      <t>220</t>
    </r>
  </si>
  <si>
    <t>CEA-GYM-COML-GYM-TRNS-0147</t>
  </si>
  <si>
    <r>
      <t xml:space="preserve">MOTOCICLETA ITALIKA FT 150 2023, 150 CC, NEGRA, NO. DE MOTOR LC162FMJ043769E3, REPUVE 3PPAA7IK, NUM. DE SERIE: 3SCK2AET3P1054768 MOVIL </t>
    </r>
    <r>
      <rPr>
        <b/>
        <sz val="10"/>
        <rFont val="Calibri"/>
        <family val="2"/>
      </rPr>
      <t>221</t>
    </r>
  </si>
  <si>
    <t>CEA-GYM-COML-GYM-TRNS-0148</t>
  </si>
  <si>
    <r>
      <t xml:space="preserve">MOTOCICLETA ITALIKA FT 150 2023, 150 CC, NEGRA, NO. DE MOTOR LC162FMJ044016E3, REPUVE 3N5F9JB7, NUM. DE SERIE: 3SCK2AET4P1054696 MOVIL </t>
    </r>
    <r>
      <rPr>
        <b/>
        <sz val="10"/>
        <rFont val="Calibri"/>
        <family val="2"/>
      </rPr>
      <t>222</t>
    </r>
  </si>
  <si>
    <t>CEA-GYM-COML-GYM-TRNS-0149</t>
  </si>
  <si>
    <r>
      <t xml:space="preserve">MOTOCICLETA ITALIKA FT 150 2023, 150 CC, NEGRA, NO. DE MOTOR LC162FMJ043737E3, REPUVE 3BKDP1GB, NUM. DE SERIE: 3SCK2AET5P1054772 MOVIL </t>
    </r>
    <r>
      <rPr>
        <b/>
        <sz val="10"/>
        <rFont val="Calibri"/>
        <family val="2"/>
      </rPr>
      <t>223</t>
    </r>
  </si>
  <si>
    <t>CEA-GYM-TECN-GYM-MAQN-0006</t>
  </si>
  <si>
    <t>MAQUINA ROTOSONDA DE REVERSA INSTANTANEA PARA GIRAR VARILLAS, CON MOTOR 8 H.P., MARCA: BRIGGS STRATON</t>
  </si>
  <si>
    <t>CEA-GYM-TECN-GYM-MAQN-0007</t>
  </si>
  <si>
    <t>MAQUINA SOLDADORA, MARCA: RAMZA, MODELO 225-N</t>
  </si>
  <si>
    <t>CEA-GYM-TECN-GYM-MAQN-0008</t>
  </si>
  <si>
    <t>AQUATECH MARCA: INTERNATIONAL MODELO: 2005, SERIE CHASIS: 1HTWGADT25J044798, UN MODULO HIDRONEUMATICO PARA DESASOLVE, MARCA AQUATECH, CON CAP. 15 YD3, MODELO: B15, BOMBA DE ALTA PRESIÓN DE 65 G.P.M. A 2,000 PSI CON ACC.</t>
  </si>
  <si>
    <t>CEA-GYM-TECN-GYM-MAQN-0009</t>
  </si>
  <si>
    <t>MACUERNAS PARA DESAZOLVE DE TUBERIA CON MOTOR A GASOLINA DE 85 H.P.</t>
  </si>
  <si>
    <t>CEA-GYM-TECN-GYM-MAQN-0010</t>
  </si>
  <si>
    <t>RETROEXCAVADORA CON BRAZO EXTENSIBLE Y MARTILLO HIDRAULICO, MARCA: CASE, MODELO: 2005, MOTOR DIESEL, BRAZO EXTENSIBLE DE 5.47 METROS, SERIE: N4C381535</t>
  </si>
  <si>
    <t>CEA-GYM-TECN-GYM-MAQN-0011</t>
  </si>
  <si>
    <t>GRÚA ARTICULAD, MARCA HIAB, TIPO: 099 B-3 CLX, CAPACIDAD NOMINAL 8.5 TONELADAS, SERIE:3GBM7H1CX7M106827, COLUMNA Y DOS BRAZOS ARTICULADOS, TRES EXTENSIONES HIDRAULICAS</t>
  </si>
  <si>
    <t>CEA-GYM-TECN-GYM-MAQN-0012</t>
  </si>
  <si>
    <t>MAQUINA DE SOLDAR MODELO 235 AC INFRA</t>
  </si>
  <si>
    <t>CEA-GYM-TECN-GYM-MAQN-0023</t>
  </si>
  <si>
    <t>MAQUINA CORTADORA DE ASFALTO</t>
  </si>
  <si>
    <t>CEA-GYM-TECN-GYM-MAQN-0013</t>
  </si>
  <si>
    <t>MARTILLO HIDRAULICO MARCA: OCTEC MODELO OKT 3450 PARA RETROEXCAVADORA 580M.</t>
  </si>
  <si>
    <t>CEA-GYM-TECN-GYM-MAQN-0014</t>
  </si>
  <si>
    <t>MALACATE MECANICO PARA DESAZOLVE, MARCA: DECARSA, MODELO: INGLES LISTER-PETTER DE 24 HP, SERIE: 19001256TR2A02</t>
  </si>
  <si>
    <t>CEA-GYM-TECN-GYM-MAQN-0015</t>
  </si>
  <si>
    <t>MALACATE MECANICO PARA DESAZOLVE, MARCA: DECARSA, MODELO: INGLES LISTER-PETTER DE 24 HP, SERIE: 19001221TR2A02</t>
  </si>
  <si>
    <t>CEA-GYM-TECN-GYM-HYA-0001</t>
  </si>
  <si>
    <t>GABINETE MARCA NEMA 3R 60X50X25 TECN COLOR AMARILLO CLARO</t>
  </si>
  <si>
    <t>CEA-GYM-TECN-GYM-HYA-0001-1</t>
  </si>
  <si>
    <t>CEA-GYM-TECN-GYM-HYA-0001-2</t>
  </si>
  <si>
    <t>CEA-GYM-TECN-GYM-HYA-0002</t>
  </si>
  <si>
    <t>ESMERILADORA ANG. 7" 2200W 120V</t>
  </si>
  <si>
    <t>CEA-GYM-TECN-GYM-HYA-0003</t>
  </si>
  <si>
    <t>POLIPASTO PARA 5 TONELADAS</t>
  </si>
  <si>
    <t>CEA-GYM-TECN-GYM-HYA-0004</t>
  </si>
  <si>
    <t>MARTILLO DE IMPACTO BOSCH</t>
  </si>
  <si>
    <t>CEA-GYM-TECN-GYM-HYA-0005</t>
  </si>
  <si>
    <t>CEA-GYM-TECN-GYM-HYA-0006</t>
  </si>
  <si>
    <t>VOLTIAMPERIMETRO DE GANCHO MARCA FLUKE 1000 VOLTS 600 A°</t>
  </si>
  <si>
    <t>CEA-GYM-TECN-GYM-HYA-0007</t>
  </si>
  <si>
    <t>ESMERIL ANGULAr DW 7"DWE4557-B3, MARCA BOSCH</t>
  </si>
  <si>
    <t>CEA-GYM-TECN-GYM-EQOT-0016</t>
  </si>
  <si>
    <t>MOTOBOMBA, MARCA: EMCO MONOFASICA 100-N, 1 H.P., MOD.M43DG00A2AA, SERIE: 682FAG0906</t>
  </si>
  <si>
    <t>CEA-GYM-TECN-GYM-EQOT-0017</t>
  </si>
  <si>
    <t>MOTOBOMBA, MARCA: BONASA,  AC51 5M 3.5 H.P.</t>
  </si>
  <si>
    <t>CEA-GYM-TECN-GYM-EQOT-0018</t>
  </si>
  <si>
    <t xml:space="preserve">EQUIPO PARA CORTE Y SOLDADURA, MARCA: SILVER  </t>
  </si>
  <si>
    <t>CEA-GYM-TECN-GYM-EQOT-0019</t>
  </si>
  <si>
    <t>ESMERILADORA ANGULAR DE WALT, MODELO: DW494</t>
  </si>
  <si>
    <t>CEA-GYM-TECN-GYM-EQOT-0019-1</t>
  </si>
  <si>
    <t>ROTOZONDA EQUIPADA CON MOTOR DE 8 H.P., MODELO R-2093-1</t>
  </si>
  <si>
    <t>CEA-GYM-TECN-GYM-EQOT-0019-2</t>
  </si>
  <si>
    <t>COMPRESOR TANQUE 3/4, CATALAGO 156908, PISTOLA PARA COMPRESOR CAT-4141124</t>
  </si>
  <si>
    <t>CEA-GYM-TECN-GYM-EQOT-0019-3</t>
  </si>
  <si>
    <t>MALACATE MODELO: M4082, TIPO: IV VERTICAL INCLINADO</t>
  </si>
  <si>
    <t>CEA-GYM-TECN-GYM-EQOT-0019-4</t>
  </si>
  <si>
    <t>MALACATE VERTICAL, MODELO: 4082, TIPO: IV</t>
  </si>
  <si>
    <t xml:space="preserve">CEA-GYM-TECN-GYM-EQOT-0067 </t>
  </si>
  <si>
    <t>REMOLQUE PARA GRÚA DE CANAL DE 4" CON CARGADORES DOS EJES, LLANTAS 15" GRÚA GIRATORIA DE 180°</t>
  </si>
  <si>
    <t xml:space="preserve">CEA-GYM-TECN-GYM-EQOT-0067-1 </t>
  </si>
  <si>
    <t>MALACATE MODELO M-4082, TIPO II, VERTICAL INCLINADO CON CHASIS UN SOLO EJE, MOTOR DE 16 HP</t>
  </si>
  <si>
    <t xml:space="preserve">CEA-GYM-TECN-GYM-EQOT-0067-2 </t>
  </si>
  <si>
    <t>MALACATES VERTICAL, TIPO II, MOD M-4082 CHASIS DE UN EJE, MOTOR DE 16 H.P.</t>
  </si>
  <si>
    <t xml:space="preserve">CEA-GYM-TECN-GYM-EQOT-0068 </t>
  </si>
  <si>
    <t>MINICAMARA DIGITAL</t>
  </si>
  <si>
    <t>CEA-GYM-TECN-GYM-EQOT-0020</t>
  </si>
  <si>
    <t xml:space="preserve">NIVEL AUTOMATICO, MARCA: SPECTRA-TRIMBLE, MODELO: AL124, SERIE Nº: 800996, CON TRIPIE ESTADAL DE ALUMINIO DE 4M, HERRAMIENTA PARA AJUSTE </t>
  </si>
  <si>
    <t>CEA-GYM-TECN-GYM-EQOT-0021</t>
  </si>
  <si>
    <t>TRANSFORMADOR TRIFÁSICO 13,200-440- 254 V, ENFRIADO EN ACEITE TIPO DISTRIBUCIÓN DE 750KVA, MARCA:  CONTINENTAL ELECTRIC, Nº SERIE:405-15848</t>
  </si>
  <si>
    <t>CEA-GYM-TECN-GYM-EQOT-0022</t>
  </si>
  <si>
    <t>VÁLVULA DE CONTROL DE NIVEL MODULACION Y FLOTADOR VERTICAL DE 16"</t>
  </si>
  <si>
    <t>CEA-GYM-TECN-GYM-EQOT-0022-01</t>
  </si>
  <si>
    <t>CEA-GYM-TECN-GYM-EQOT-0023</t>
  </si>
  <si>
    <t>VÁLVULA REDUCTORA Y SOSTENEDORA DE PRESION DE 10"</t>
  </si>
  <si>
    <t>CEA-GYM-TECN-GYM-EQOT-0024</t>
  </si>
  <si>
    <t>VÁLVULA REDUCTORA DE PRESIÓN DE 4", UN FILTRO GRANDE DE CONTROL 3.8" Y UNA VÁLVULA DE BRONCE 4"</t>
  </si>
  <si>
    <t>CEA-GYM-TECN-GYM-EQOT-0025</t>
  </si>
  <si>
    <t>VÁLVULA REDUCTORA DE PRESION DE 10 PULGADAS</t>
  </si>
  <si>
    <t>CEA-GYM-TECN-GYM-EQOT-0026</t>
  </si>
  <si>
    <t>MOTOBOMBA BONASA AC5615M 3.5 H.P.</t>
  </si>
  <si>
    <t>CEA-GYM-TECN-GYM-EQOT-0026-1</t>
  </si>
  <si>
    <t>LOTE DE LAMPARAS DE MANO</t>
  </si>
  <si>
    <t>CEA-GYM-TECN-GYM-EQOT-0027</t>
  </si>
  <si>
    <t>3 MASCARILLAS  CARA COMPLETA, MARCA SURVIVAIR</t>
  </si>
  <si>
    <t>CEA-GYM-TECN-GYM-EQOT-0027-1</t>
  </si>
  <si>
    <t>TECLE DE DIFERENCIAL DE 2000 KILOGRAMOS MODELO 622</t>
  </si>
  <si>
    <t>CEA-GYM-COML-GYM-EQOT-0028</t>
  </si>
  <si>
    <t>NIVEL AUTOMÁTICO, MODELO: AL232, MARCA: TRIMBLE, Nº SERIE: 805764 (INCLUYE TRIPIE Y ESTADAL DE ALUMINIO DE 4 METROS)</t>
  </si>
  <si>
    <t>CEA-GYM-PRSM-GYM-EQOT-0029</t>
  </si>
  <si>
    <t>DOS ESTADAL DE ALUMINIO 4 METROS</t>
  </si>
  <si>
    <t>CEA-GYM-TECN-GYM-EQOT-0029-1</t>
  </si>
  <si>
    <t>MULTIMETROS DIGITALES DE GANCHO RMS VERDADEROS</t>
  </si>
  <si>
    <t>CEA-GYM-TECN-GYM-EQOT-0029-2</t>
  </si>
  <si>
    <t>CEA-GYM-TECN-GYM-EQOT-0030</t>
  </si>
  <si>
    <t>MULTIMETRO DIGITAL DE GANCHO USO GENERAL, MARCA: FRUKER</t>
  </si>
  <si>
    <t>CEA-GYM-TECN-GYM-EQOT-0046</t>
  </si>
  <si>
    <t>AHORRADOR PROTECTOR DE MOTORES MARCA: POWER PLANER  III, DE 440 VOLTS CADA UNO,  TIPO: L24 150 HP</t>
  </si>
  <si>
    <t>CEA-GYM-TECN-GYM-EQOT-0046-1</t>
  </si>
  <si>
    <t>CEA-GYM-TECN-GYM-EQOT-0046-2</t>
  </si>
  <si>
    <t>CEA-GYM-TECN-GYM-EQOT-0046-3</t>
  </si>
  <si>
    <t>CEA-GYM-TECN-GYM-EQOT-0046-4</t>
  </si>
  <si>
    <t>CEA-GYM-TECN-GYM-EQOT-0031</t>
  </si>
  <si>
    <t>BOMBA DE SUCCION Y DESCARGA AUTOCEBANTES, MARCA: EVANS DE 4" CON MOTOR A GASOLINA, 10 H.P., MODELO: HM100 4X4</t>
  </si>
  <si>
    <t>CEA-GYM-TECN-GYM-EQOT-0031-1</t>
  </si>
  <si>
    <t>TECLE CADENA TRUPPER PARA 3 TONELADAS</t>
  </si>
  <si>
    <t>CEA-GYM-TECN-GYM-EQOT-0032</t>
  </si>
  <si>
    <t>DETECTOR DE FUGAS GEOFONO INSTRUMENTADO, MARCA: GUTTERMANN MESSTECHNIK, MODELO: AQUASCOPE, TIPO: COMBINADO, INCLUYE AMPLIFICADOR AJUSTE AL CINTO, MICROFONO DE PISO, UN MICROFONO DE MANO, UNA BARRA PARA MICROFONO DE PISO, TRES BARRAS DE EXTENSIÓN</t>
  </si>
  <si>
    <t>CEA-GYM-TECN-GYM-EQOT-0033</t>
  </si>
  <si>
    <t>BOMBA AUTO CEBANTES, MARCA: EVANS, MODELO: AC2MGO500R, EQUIPADA CON MOTOR A GASOLINA ROBIN DE 5 H.P., CON SUCCIÓN Y DESCARGA DE 2".</t>
  </si>
  <si>
    <t>CEA-GYM-TECN-GYM-EQOT-0034</t>
  </si>
  <si>
    <t>SISTEMA DE TRATAMIENTO DE AGUA STAR 2</t>
  </si>
  <si>
    <t>CEA-GYM-TECN-GYM-EQOT-0035</t>
  </si>
  <si>
    <t>CLORADOR 10 KILOS, MARCA: WALLACE AND TIERNAN, PARA MONTAJE EN CILINDRO, OPERACIÓN MANUAL, RANGO DE DOSIFICACIÓN DE 48 KGS</t>
  </si>
  <si>
    <t>CEA-GYM-TECN-GYM-EQOT-0036</t>
  </si>
  <si>
    <t>MOTOBOMBA, MARCA: BRIGGS STRATTON, 65 H.P. 2X2</t>
  </si>
  <si>
    <t>CEA-GYM-TECN-GYM-EQOT-0037</t>
  </si>
  <si>
    <t>MAQUINA DE SOLDAR, MARCA: RANGER 10,000 LINCO (USADA )</t>
  </si>
  <si>
    <t>CEA-GYM-TECN-GYM-EQOT-0038</t>
  </si>
  <si>
    <t>CORTADORA DE METAL 14" DEWAL 28,700.00</t>
  </si>
  <si>
    <t>CEA-GYM-TECN-GYM-EQOT-0038-1</t>
  </si>
  <si>
    <t>BOMBA DOSIFICADORA, MCA-LMI 1 GPH, 110 VOLTS, PARA UNA CONTRAPRESIÓN DE 110 PSI</t>
  </si>
  <si>
    <t>CEA-GYM-TECN-GYM-EQOT-0039</t>
  </si>
  <si>
    <t>TALADRO ESTAC DE COL. 3/4  41 H.P.</t>
  </si>
  <si>
    <t>CEA-GYM-TECN-GYM-EQOT-0040</t>
  </si>
  <si>
    <t>VARIADOR DE VELOCIDAD DANFOSS</t>
  </si>
  <si>
    <t>CEA-GYM-TECN-GYM-EQOT-0041</t>
  </si>
  <si>
    <t>TRADUCTOR DE PRESION 150 PSI 4-LOM</t>
  </si>
  <si>
    <t>CEA-GYM-TECN-GYM-EQOT-0042</t>
  </si>
  <si>
    <t xml:space="preserve">EQUIPO PARA ELECTROFUCIONAR CONEXIONES DE POLIETILENO 1/2" HASTA 24" </t>
  </si>
  <si>
    <t>CEA-GYM-TECN-GYM-EQOT-0043</t>
  </si>
  <si>
    <t>VARIOS: LAVADORA PORTÁTIL CON RUEDAS LAP-100, CÓDIGO: 16211</t>
  </si>
  <si>
    <t>CEA-GYM-TECN-GYM-EQOT-0044</t>
  </si>
  <si>
    <t>COMPRESOR, MARCA: EVANS DE 3 H.P., 108 LTS.</t>
  </si>
  <si>
    <t>CEA-GYM-TECN-GYM-EQOT-0045</t>
  </si>
  <si>
    <t>MANGUERAS DE 3/8" PARA COMPRESOR (15 M)</t>
  </si>
  <si>
    <t>CEA-GYM-TECN-GYM-EQOT-0049</t>
  </si>
  <si>
    <t>SUBMONITOR PREMIUM CON APARTARAYOS, MARCA: FRANKLIN ELECTRIC)</t>
  </si>
  <si>
    <t>CEA-GYM-TECN-GYM-EQOT-0050</t>
  </si>
  <si>
    <t>ESMERILADOR ANGULAR DW 7", MODELO: D28494WB3</t>
  </si>
  <si>
    <t>CEA-GYM-TECN-GYM-EQOT-0051</t>
  </si>
  <si>
    <t>CINCO TORRETAS PREVENTIVA DE 48"</t>
  </si>
  <si>
    <t>CEA-GYM-TECN-GYM-EQOT-0052</t>
  </si>
  <si>
    <t>TECLE DE CADENA DE 3 TONELADAS</t>
  </si>
  <si>
    <t>CEA-GYM-TECN-GYM-EQOT-0054</t>
  </si>
  <si>
    <t>ROTOMARTILLO COMBINADO, MODELO: D25253K-QU</t>
  </si>
  <si>
    <t>CEA-GYM-TECN-GYM-EQOT-0059</t>
  </si>
  <si>
    <t>ESMERILADORA ANGULAR 7, 15 AMP, 6500 RPM.</t>
  </si>
  <si>
    <t>CEA-GYM-TECN-GYM-EQOT -0060</t>
  </si>
  <si>
    <t>GENERADOR DE ENERGÍA MARCA: COLEMAN CHAMPION N/V AMARILLO SERV# N / V</t>
  </si>
  <si>
    <t>CEA-GYM-TECN-GYM-EQOT-0061</t>
  </si>
  <si>
    <t>MOTOBOMBA, MARCA: EVANS SAL. 3" DE 7.5 H.P.</t>
  </si>
  <si>
    <t>CEA-GYM-TECN-GYM-EQOT-0062</t>
  </si>
  <si>
    <t>TRANSFORMADOR DE 75 KVA, MARCA: IEM, VOLTS 13200/440/254</t>
  </si>
  <si>
    <t>CEA-GYM-TECN-GYM-EQOT-0063</t>
  </si>
  <si>
    <t>CORTADORA DE PLASMA, MARCA CHICAGO 240 V.</t>
  </si>
  <si>
    <t>CEA-GYM-TECN-GYM-EQOT-0064</t>
  </si>
  <si>
    <t>TECLE PARA 3 TONELADAS</t>
  </si>
  <si>
    <t>CEA-GYM-TECN-GYM-EQOT-0065</t>
  </si>
  <si>
    <t xml:space="preserve">BOMBA DE SUCCIÓN AUTOCENBANTE DE 7.5 H.P. 3X3 </t>
  </si>
  <si>
    <t>CEA-GYM-TECN-GYM-EQOT-0066</t>
  </si>
  <si>
    <t>GENERADOR DE 5.5 KVA DE 10 H.P.</t>
  </si>
  <si>
    <t>CEA-GYM-TECN-GYM-EQOT-0067</t>
  </si>
  <si>
    <t>REMOLQUE, TIPO BATANGA CON CHASIS Y DOBLE EJE, RINES Y LLANTAS  RODADO 17 INCLUYE: TIRON TIPO "A" DE  2 1/2", GATO GIRATORIO C/MANIBELA, LUCES CONECTORES Y PROTECCION CON MAYA  CICLONICA.</t>
  </si>
  <si>
    <t>CEA-GYM-TECN-GYM-EQOT-0067-1</t>
  </si>
  <si>
    <t>SOLDADORA INDUSTRIAL, MARCA: LINCOLN RX-450</t>
  </si>
  <si>
    <t>CEA-GYM-TECN-GYM-EQOT-0067-2</t>
  </si>
  <si>
    <t>MARTILLO ELECTRICO CON DIABLITO</t>
  </si>
  <si>
    <t>CEA-GYM-TECN-GYM-EQOT-0067-3</t>
  </si>
  <si>
    <t>MOTOR A GASOLINA, CUATRO TIEMPOS, 20 H.P., ARRRANQUE ELECTRICO, ENCENDIDO ELECTRICO, 2 CILINDROS, NO SILENCIADOR</t>
  </si>
  <si>
    <t>CEA-GYM-TECN-GYM-EQOT-0067-4</t>
  </si>
  <si>
    <t>MOTOBOMBA 3" DE 9 H.P.</t>
  </si>
  <si>
    <t>CEA-GYM-TECN-GYM-EQOT-0068</t>
  </si>
  <si>
    <t>BAILARINA DE GASOLINA PARA COMPACTAR TIERRA</t>
  </si>
  <si>
    <t>CEA-GYM-TECN-GYM-EQOT-0069</t>
  </si>
  <si>
    <t>BOMBA DOSIFICADORA, 75 ECONO</t>
  </si>
  <si>
    <t>CEA-GYM-TECN-GYM-EQOT-0070</t>
  </si>
  <si>
    <t>CEA-GYM-TECN-GYM-EQOT-0071</t>
  </si>
  <si>
    <t>CEA-GYM-TECN-GYM-EQOT-0072</t>
  </si>
  <si>
    <t>GENERADORA ELECTRICA DE 7500 WATTS</t>
  </si>
  <si>
    <t>CEA-GYM-TECN-GYM-EQOT-0073</t>
  </si>
  <si>
    <t>ROTOMARTILLO ELECTRICO PARA CONCRETO (INCLUYE DIABLITO PARA MOVIMIENTO)</t>
  </si>
  <si>
    <t>CEA-GYM-TECN-GYM-EQOT-0074</t>
  </si>
  <si>
    <t>TRANSFORMADOR DE CORRIENTE DE 440 V A 110 V DE 3KVA</t>
  </si>
  <si>
    <t>CEA-GYM-TECN-GYM-EQOT-0075</t>
  </si>
  <si>
    <t>HIDROLAVADORA PARA CONECTAR MANGUERA PARA 2000 LBS</t>
  </si>
  <si>
    <t>CEA-GYM-TECN-GYM-EQOT-0076</t>
  </si>
  <si>
    <t>TRÁNSITO TOPOGRÁFICO SENCILLO</t>
  </si>
  <si>
    <t>CEA-GYM-TECN-GYM-EQOT-0077</t>
  </si>
  <si>
    <t>NIVEL TOPOGRÁFICO CON TODO Y ESTADAL</t>
  </si>
  <si>
    <t>CEA-GYM-TECN-GYM-EQOT-0078</t>
  </si>
  <si>
    <t>REVOLVEDORA PARA CEMENTO DE GASOLINA</t>
  </si>
  <si>
    <t>CEA-GYM-TECN-GYM-EQOT-0079</t>
  </si>
  <si>
    <t>APARATO DE LAMPARAS PARA LAS REPARACIONES CON REMOLQUE</t>
  </si>
  <si>
    <t>CEA-GYM-TECN-GYM-EQOT-0080</t>
  </si>
  <si>
    <t>MASCARA PARA GASES</t>
  </si>
  <si>
    <t>CEA-GYM-TECN-GYM-EQOT-0081</t>
  </si>
  <si>
    <t>CEA-GYM-TECN-GYM-EQOT-0082</t>
  </si>
  <si>
    <t>CEA-GYM-TECN-GYM-EQOT-0083</t>
  </si>
  <si>
    <t>CEA-GYM-TECN-GYM-EQOT-0084</t>
  </si>
  <si>
    <t>CEA-GYM-TECN-GYM-EQOT-0089</t>
  </si>
  <si>
    <t>PLANTA DE LUZ MARCA BRIAGGS-STRATTON 8000 WATTS</t>
  </si>
  <si>
    <t>CEA-GYM-TECN-GYM-EQOT-0090</t>
  </si>
  <si>
    <t>CEA-GYM-TECN-GYM-EQOT-0091</t>
  </si>
  <si>
    <t>TRANSFORMADOR KVA 440/220/127 VOLTS</t>
  </si>
  <si>
    <t>CEA-GYM-TECN-GYM-EQOT-0092</t>
  </si>
  <si>
    <t>SUBMONITOR MARCA FRANKLIN ELECTRIC MODELO 5860005000 SALIDA 190-600 VOLTS 50/60 HZ 3 FASES</t>
  </si>
  <si>
    <t>CEA-GYM-TECN-GYM-EQOT-0093</t>
  </si>
  <si>
    <t>TECLE 3 TONELADAS (CLM)</t>
  </si>
  <si>
    <t>CEA-GYM-TECN-GYM-EQOT-0094</t>
  </si>
  <si>
    <t>CEA-GYM-TECN-GYM-EQOT-0095</t>
  </si>
  <si>
    <t>MOTOSIERRA DE 20</t>
  </si>
  <si>
    <t>CEA-GYM-TECN-GYM-EQOT-0096</t>
  </si>
  <si>
    <t>MÁQUINA SOLDADORA PORTÁTIL</t>
  </si>
  <si>
    <t>CEA-GYM-TECN-GYM-EQOT-0097</t>
  </si>
  <si>
    <t>EQUIPO DE VIDEO VIGILANCIA CONSISTENTE EN: 12 CÁMARAS MARCA EPCOM 3.6 MM, 600 TVL, DÍA Y NOCHE, 24 LEDS 2 DVR CON PODER DE GRABACIÓN DE HASTA 30 DÍAS 2 MONITOR LG 18.5"</t>
  </si>
  <si>
    <t>CEA-GYM-TECN-GYM-EQOT-0098</t>
  </si>
  <si>
    <t>BAILARINA</t>
  </si>
  <si>
    <t>CEA-GYM-TECN-GYM-EQOT-0099</t>
  </si>
  <si>
    <t>COMPRESOR DE AIRE</t>
  </si>
  <si>
    <t>CEA-GYM-TECN-GYM-EQOT-0100</t>
  </si>
  <si>
    <t>TECLE DE 3 TONELADAS</t>
  </si>
  <si>
    <t>CEA-GYM-TECN-GYM-EQOT-0101</t>
  </si>
  <si>
    <t>POLIPASTO ELECTRICO DE 5 TONELADAS</t>
  </si>
  <si>
    <t>CEA-GYM-TECN-GYM-EQOT-0102</t>
  </si>
  <si>
    <t>MAQUINA SOLDADORA RANGER 250 GXT</t>
  </si>
  <si>
    <t>CEA-GYM-TECN-GYM-EQOT-0103</t>
  </si>
  <si>
    <t>TECLE YALE DE 1 TON.</t>
  </si>
  <si>
    <t>CEA-GYM-TECN-GYM-EQOT-0104</t>
  </si>
  <si>
    <t>MOTOBOMBA PARA AGUA DE 6.5 HP DE 2" DE SALIDA</t>
  </si>
  <si>
    <t>CEA-GYM-TECN-GYM-EQOT-0105</t>
  </si>
  <si>
    <t xml:space="preserve">EQUIPO DE LABORATORIO,DR-1900 HACH PORTABLE,MEDIDOR DE OXIGENO </t>
  </si>
  <si>
    <t>CEA-GYM-TECN-GYM-EQOT-0106</t>
  </si>
  <si>
    <t>GENERADOR DE CORRIENTE, PORTATIL, MARCA: BRIGGS&amp;STATION,MODELO: REV-030614-01, 5000 WATTS, SERIE: 1024021840</t>
  </si>
  <si>
    <t>CEA-GYM-TECN-GYM-EQOT-0107</t>
  </si>
  <si>
    <t>TRANSFORMADOR, MARCA; PROLEC GENERAL ELECTRIC, TR PED 3F 112 5KVA 13200 220 Y/ 127, RADIAL IESS TTP 3F-112, SERIE: PJH019-112-001</t>
  </si>
  <si>
    <t>CEA-GYM-TECN-GYM-EBOM-0001</t>
  </si>
  <si>
    <t>BOMBA CENRTIFUGA MARCA JACUZZI ACOPLADA A MOTOR ELECTRICO DE 15 HP, 3 FASES 220/440 VOLTS MODELO 15DC2</t>
  </si>
  <si>
    <t>CEA-GYM-TECN-GYM-EBOM-0003</t>
  </si>
  <si>
    <t>BOMBA CENTRIFUGA HORIZONTAL MARCA DEMING, MODELO 4358-2 ½",  SUCCION Y 2" DESCARGA, ACOPLADA A MOTOR DE 7.5 HP, DE 3500 R.P.M., 3F, 220/440,  G=6 L.P.S. CDT=50 MTSVOLTS</t>
  </si>
  <si>
    <t>CEA-GYM-TECN-GYM-EBOM-0004</t>
  </si>
  <si>
    <t>BOMBA CENRTIFUGA HORIZONTAL MARCA CUMA K11/2 L-75-2 220/440V, 3500 RPM VAR-4033</t>
  </si>
  <si>
    <t>CEA-GYM-TECN-GYM-EBOM-0005</t>
  </si>
  <si>
    <t>MOTOBOMBA TIPO CARACOL CON CAPACIDAD PARA 15 H.P., 220V. MARCA SIEMENS</t>
  </si>
  <si>
    <t>CEA-GYM-TECN-GYM-EBOM-0006</t>
  </si>
  <si>
    <t>MOTOR BOMBA CENTRIFUGA MARCA U.S. DE 10 HP DE 3510 R.P.M., 230/440 VOLTS 252/12.6 AMP., SERIE: C549AUD3U015R084F</t>
  </si>
  <si>
    <t>CEA-GYM-TECN-GYM-EBOM-0007</t>
  </si>
  <si>
    <t>BOMBA CENTRIFUGA JACUZZI 5DB2, 5HP, 1F 230, MODELO: JAC-5DB2S</t>
  </si>
  <si>
    <t>CEA-GYM-TECN-GYM-EBOM-0008</t>
  </si>
  <si>
    <t>BOMBA CENT. 110/220, 3HP 2X1½, MODELO 6HME300</t>
  </si>
  <si>
    <t>CEA-GYM-TECN-GYM-EBOM-0009</t>
  </si>
  <si>
    <t>EQUIPO DE REBOMBEO PARA LEVANTAR 25 M., DE CARGA TOTAL PARA 120-125 LPS MODELO CERRADO PEERLES</t>
  </si>
  <si>
    <t>CEA-GYM-TECN-GYM-EBOM-0012</t>
  </si>
  <si>
    <t>BOMBA DE 30 HP, CENTRIFUGA CON SUCCION DE 3" Y DESCARGA DE 3½ Y MOTOR TRIFÁSICO,  TIPO US, MARCA BARNER</t>
  </si>
  <si>
    <t>CEA-GYM-TECN-GYM-EBOM-0013</t>
  </si>
  <si>
    <t>MOTOBOMBA, MARCA KHOLER, 4" DE SUCCION Y 16 HP</t>
  </si>
  <si>
    <t>CEA-GYM-TECN-GYM-EBOM-0014</t>
  </si>
  <si>
    <t>MOTOR BRIGGS STRATON, 16 H.P.,  MODELO 326431, TIPO: 0651 SERIE: 269629</t>
  </si>
  <si>
    <t>CEA-GYM-TECN-GYM-EBOM-0016</t>
  </si>
  <si>
    <t>BOMBA CENTRIFUGA, MARCA JACUZZI,15DB2, 15 H.P.</t>
  </si>
  <si>
    <t>CEA-GYM-TECN-GYM-EBOM-0017</t>
  </si>
  <si>
    <t>BOMBA SUMERGIBLE, MARCA JACUZZI, ACOPLADA A MOTOR DE 15 H.P., 3 FASES, 230 VOLTS, SERIE: 03L19-21-2128</t>
  </si>
  <si>
    <t>CEA-GYM-TECN-GYM-EBOM-0022</t>
  </si>
  <si>
    <t>TRES TRAMOS DE TUBOS DE 3"X21 CON COPLE</t>
  </si>
  <si>
    <t>CEA-GYM-TECN-GYM-EBOM-0023</t>
  </si>
  <si>
    <t>MOTOR SUMERGIBLE, 60 H.P., 3-F, 440 V.</t>
  </si>
  <si>
    <t>CEA-GYM-TECN-GYM-EBOM-0024</t>
  </si>
  <si>
    <t>MOTOR SUMERGIBLE, 60 H.P., 3F, 440 V.</t>
  </si>
  <si>
    <t>CEA-GYM-TECN-GYM-EBOM-0025</t>
  </si>
  <si>
    <t>MOTOR SUMERGIBLE, 60 H.P., 3-F, 440 V</t>
  </si>
  <si>
    <t>CEA-GYM-TECN-GYM-EBOM-0026</t>
  </si>
  <si>
    <t>BOMBA CENTRIFUGA, MARCA JACUZZI, ACOPLADA A MOTOR DE 40 H.P., 3 FASES 440 VOLTS, 5" X 4", MODELO: 40DC4</t>
  </si>
  <si>
    <t>CEA-GYM-TECN-GYM-EBOM-0027</t>
  </si>
  <si>
    <t>BOMBA CENTRIFUGA, MARCA JACUZZI, ACOPLADA A MOTOR DE 3 H.P., 3 FASES 220/440 VOLTS, MODELO: 3DB1-½T</t>
  </si>
  <si>
    <t>CEA-GYM-TECN-GYM-EBOM-0028</t>
  </si>
  <si>
    <t>CEA-GYM-TECN-GYM-EBOM-0029</t>
  </si>
  <si>
    <t>SUMINISTRO DE MOTOR-BOMBA HORIZONTAL, TRIFASICA CON MOTOR TRIFASICO HORIZONTAL  DE 30 H.P., A 220 VCA., MARCA U.S., Y BOMBA MARCA: JACUZZI, TIPO: CARACOL PARA 450 G.P.M, Y 70 PSI.</t>
  </si>
  <si>
    <t>CEA-GYM-TECN-GYM-EBOM-0030</t>
  </si>
  <si>
    <t>SUMINISTRO DE MOTOR TRIFASICO PARA OPERAR VERTICAL, TIPO: SUMERGIBLE CON CAPACIDAD PARA 50 H.P., A  440 VCA., MARCA: FRANKLIN ELECTRIC, ACOPLADO A UNA BOMBA MARCA JACUZZI DE 12 PASOS, SUCCION DE 6" Y DESCARGA DE 4", PARA UN GASTO DE 18 LPS., Y UNA CARGA D</t>
  </si>
  <si>
    <t>CEA-GYM-TECN-GYM-EBOM-0048</t>
  </si>
  <si>
    <t>SUMINISTRO DE MOTOR, TIPO: BALA DE 150 H.P., 440 VOLTS, 1800 RPM, INCLUYE FLECHA DE AJUSTE, MOVIMIENTO DE GRÚA Y MANO DE OBRA</t>
  </si>
  <si>
    <t>CEA-GYM-TECN-GYM-EBOM-0049</t>
  </si>
  <si>
    <t>EQUIPO DE BOMBEO, TIPO: TURBINA PARA UN GASTO DE 95-100 L. MODELO: BR-12a, 8 PASOS PARA 232 H.P. A 1760 R.P.M., MARCA: RODASE</t>
  </si>
  <si>
    <t>CEA-GYM-TECN-GYM-EBOM-0050</t>
  </si>
  <si>
    <t>BOMBA MARCA GOULS DE 30 H.P., DE 220V-440V, ACOPLADA A MOTOR MARCA US PH3 DE 3450 R.P.M.</t>
  </si>
  <si>
    <t>CEA-GYM-TECN-GYM-EBOM-0051</t>
  </si>
  <si>
    <t>BOMBA CENTRIFUGA DE: SUCCIÓN 4", DESCARGA 4", CARGA DINAMICA TOTAL 60 MTS, MOTOR 30 H.P., 3 FASES 230-460 V.</t>
  </si>
  <si>
    <t>CEA-GYM-TECN-GYM-EBOM-0052</t>
  </si>
  <si>
    <t>BOMBA CENTRIFUGA: SUCCIÓN 3", DESCARGA 3" CARGA DINAMICA 35 MTS, MOTOR 15 H.P., 3 FASES, 230-460 V</t>
  </si>
  <si>
    <t>CEA-GYM-TECN-GYM-EBOM-0053</t>
  </si>
  <si>
    <t>BOMBA CENTRIFUGA: SUCCIÓN 2", DESCARGA 1½", MONOFÁSICA 230- 115 V, 3 H.P., MARCA: FRANKLIN ELECTRIC, MODELO: DB 1½-K2 ORDER #93127413R083, MOTOR US CAT. 003L11M1B RPM</t>
  </si>
  <si>
    <t>CEA-GYM-TECN-GYM-EBOM-0055</t>
  </si>
  <si>
    <t>BOMBA SUMERGIBLE PARA LODOS DE 30 H.P., 460 V, 20 MCA, MARCA: TBA DE 1750 RPM CON MOTOR MARCA SIEMENS ALTA EFICIENCIA PREMIUM</t>
  </si>
  <si>
    <t>CEA-GYM-COML-GYM-EBOM-0057</t>
  </si>
  <si>
    <t xml:space="preserve">BOMBA SUMERGIBLE PARA AGUAS NEGRAS, DE 08F, MOTOR: ELECTRICO DE 125 H.P., 4 POLOS Y 3 FASES, NÚMERO DE SERIE: 0872 </t>
  </si>
  <si>
    <t>CEA-GYM-COML-GYM-EBOM-0058</t>
  </si>
  <si>
    <t>BOMBA PARA LODOS DE 3 H.P. DE FUERZA, EQUIPADA CON SELLOS MECÁNICOS DOBLES</t>
  </si>
  <si>
    <t>CEA-GYM-COML-GYM-EBOM-0059</t>
  </si>
  <si>
    <t>BOMBA CENTRIFUGA DE 3 H.P., PH1 230/115 VOLTIOS DE 2" PARA UN GASTO DE 80 GPM</t>
  </si>
  <si>
    <t>CEA-GYM-COML-GYM-EBOM-0060</t>
  </si>
  <si>
    <t>BOMBA SUMERGIBLE PARA LODOS DE 125 H.P., 460 V, 20 MCA DE 1750 RPM CON MOTOR ALTA EFICIENCIA PREMIUM</t>
  </si>
  <si>
    <t>CEA-GYM-COML-GYM-EBOM-0061</t>
  </si>
  <si>
    <t>MOTOR FRANKLIN ELECTRIC PAZO 5 BA, 150 H.P., 460 V, 194 A, 3525 RPM 219 MAX A MODELO 2391068504, 3 FASES</t>
  </si>
  <si>
    <t>CEA-GYM-COML-GYM-EBOM-0062</t>
  </si>
  <si>
    <t>BOMBA FRANKLIN CON MOTOR US DE 15 H.P., PARA 45 MTS 3 FASES 220 VOLTS</t>
  </si>
  <si>
    <t>CEA-GYM-COML-GYM-EBOM-0063</t>
  </si>
  <si>
    <t>BOMBA CENTRIFUGA VERTICAL, MARCA: GOULDS ACOPLADA A MOTOR DE 5 H.P., 3 F 60 CPS 230/440 VOLTIOS A 3600 RPM TEFC CAPAZ DE VENCER UNA CDT DE 220 PIES (95 psi) CONTRA UN GASTO DE 60 GMP, MODELO: 10SV6FB30 DE 6 ETAPAS (EQUIVALENTE A MODELO CR8-60 U DE GROUNDF</t>
  </si>
  <si>
    <t>CEA-GYM-COML-GYM-EBOM-0064</t>
  </si>
  <si>
    <t>BOMBA FRANKLYN CON MOTOR US DE 15 H.P., PARA 45 MTS 3 FASES 220 VOLTS (CENTRIFUGA)</t>
  </si>
  <si>
    <t>CEA-GYM-COML-GYM-EBOM-0065</t>
  </si>
  <si>
    <t>CEA-GYM-COML-GYM-EBOM-0067</t>
  </si>
  <si>
    <t>MOTOBOMBA DE 3 X 3 HONDA</t>
  </si>
  <si>
    <t>CEA-GYM-COML-GYM-EBOM-0068</t>
  </si>
  <si>
    <t>CEA-GYM-COML-GYM-EBOM-0069</t>
  </si>
  <si>
    <t>MOTOR MARCA: FRANKLIN 3 X 4  MODELO: FPDB2K3A, 15 H.P., PH 3</t>
  </si>
  <si>
    <t>CEA-GYM-COML-GYM-EBOM-0070</t>
  </si>
  <si>
    <t>BOMBA MARCA: FRANKLIN 3 X 4  MODELO: FPDB2K3A 15 H.P., PH 3</t>
  </si>
  <si>
    <t>CEA-GYM-COML-GYM-EBOM-0071</t>
  </si>
  <si>
    <t>BOMBA PARA LODOS SUMERGIBLES DE 20 H.P., 220 VOLTS PARA 20 MTS.</t>
  </si>
  <si>
    <t>CEA-GYM-COML-GYM-EBOM-0072</t>
  </si>
  <si>
    <t>BOMBA PARA LODOS SUMERGIBLES DE 30 H.P., 440 VOLTS PARA 20 MTS.</t>
  </si>
  <si>
    <t>CEA-GYM-COML-GYM-EBOM-0074</t>
  </si>
  <si>
    <t>MOTOR ELECTRICO VERTICAL, FLECHA HUECA, EFICIENCIA PREMIUM 95% DE 100 H.P., 3 FASES 220/440 VOLTS, 60 CICLOS DESDE 1800 RPM, MARCA: US, MODELO: BF66, No. DE IDENTIFICACION S03 9001810 0005 M 0002</t>
  </si>
  <si>
    <t>CEA-GYM-COML-GYM-EBOM-0075</t>
  </si>
  <si>
    <t>EQUIPO DE BOMBEO CON CUERPO DE TAZONES, TIPO: LUBRICACION AGUA, CAPAZ DE PRODUCIR UN GASTO DE 100 LPS, CON UNA CDT DE 60 MTS, MARCA: GOULDS</t>
  </si>
  <si>
    <t>CEA-GYM-COML-GYM-EBOM-0076</t>
  </si>
  <si>
    <t>BOMBA CENTRIFUGA DE 15 HP EF 220/440 VOLTS PARAV AGUA POTABLE MODELO 15FPDB2-3-T No. De PARTE 9361051. MARCA FRANKLIN</t>
  </si>
  <si>
    <t>CEA-GYM-COML-GYM-EBOM-0077</t>
  </si>
  <si>
    <t>CEA-GYM-COML-GYM-EBOM-0078</t>
  </si>
  <si>
    <t>BOMBA CENTRIGUGA MARCA FPS, ACOPLADA A MOTOR DE 15 HP 3 FASES 230/460 VOLTS, SUCCION 2" Y DESCARGA DE 1.5", MODELO 15FPDC1-1/2</t>
  </si>
  <si>
    <t>CEA-GYM-COML-GYM-EBOM-0079</t>
  </si>
  <si>
    <t>BOMBA PARA LODOS SUMERGIBLES 15 HP IMPEL, 220/440 VOLTS PARA 20 MTS DE CARGA</t>
  </si>
  <si>
    <t>CEA-GYM-COML-GYM-EBOM-0080</t>
  </si>
  <si>
    <t>CEA-GYM-COML-GYM-EBOM-0081</t>
  </si>
  <si>
    <t>MOTOBOMBA CHICA, CON 10 MTS DE MANGUERA</t>
  </si>
  <si>
    <t>CEA-GYM-COML-GYM-EBOM-0082</t>
  </si>
  <si>
    <t>CUERPO DE TAZONES MARCA FAIRBANKS MORSE, TIPO DE LUBRICACION POR AGUA, 100 LPS, CARGA DINAMICA TOTAL 55 MCA, DESCARGA DE 10" DE DIAMETRO</t>
  </si>
  <si>
    <t>CEA-GYM-COML-GYM-EBOM-0083</t>
  </si>
  <si>
    <t>CEA-GYM-COML-GYM-EBOM-0084</t>
  </si>
  <si>
    <t>BOMBA SUMERGIBLE 3 HP 220 V MARCA GOULS PUMP MODELO 1GA81H1GD</t>
  </si>
  <si>
    <t>CEA-GYM-COML-GYM-EBOM-0086</t>
  </si>
  <si>
    <t>CUERPO DE TAZONES MARCA GOULDS 12 CMO, CAPAZ DE 1.030 GPM=65 LPS @ 230" DE CDT DESCARGA 10". CONSTRUCCION EN HIERRO ESMALTADO, IMPULSOR DE BRONCE CON CORTE DE 8.0625, LUBRICACION AGUA.</t>
  </si>
  <si>
    <t>CEA-GYM-COML-GYM-EBOM-0087</t>
  </si>
  <si>
    <t>CUERPO DE TAZONES MARCA GOULDS TX MODELO 12CLC-6, CAPAZ DE PROPORCIONAR UN GASTO DE 951 GPM=60 LPS 344' PÍES = 105 MTS DE CDT, DESCARFA DE 8", CONSTRUCCION DEF HIERRO ESMALTADO, IMPULSOR DE BRONCE CORTE 8.69", LUB.A CEITE.</t>
  </si>
  <si>
    <t>CEA-GYM-COML-GYM-EBOM-0088</t>
  </si>
  <si>
    <t>MOTOBOMBA HONDA 3"</t>
  </si>
  <si>
    <t>CEA-GYM-COML-GYM-EBOM-0089</t>
  </si>
  <si>
    <t xml:space="preserve">CUERPO DE TAZONES MARCA GOULDS TX MODELO 12CMO-4, CAPAZ D EPROPORCIONAR UN GASTO DE 1,030 GPM= 65 LPS 230' PIES DE CDT, DESCARGA DE 10", CONSTRUCCION EN HIERRO ESMALTADO, IMPULSOR DE BRONCE CON CORTE 8.065" </t>
  </si>
  <si>
    <t>CEA-GYM-COML-GYM-EBOM-0090</t>
  </si>
  <si>
    <t>CUERPO DE TAZONES DE 100 LPS, CDT 55 MCA 10".</t>
  </si>
  <si>
    <t>CEA-GYM-COML-GYM-EBOM-0091</t>
  </si>
  <si>
    <t>BOMBA SUIMERGIBLE PARA AGUAS RESIDUALES. MOD. LD-200-754-327-WG DE 75 HP DESC. EN 8" CAPAZ DE DAR Q=30 LPS Y CDT=45 MTS CON CODO DE DESCARGA MCA. IMPEL DE 75 HP 3F 440V PASO DE ESFERA DE 3".</t>
  </si>
  <si>
    <t>CEA-GYM-COML-GYM-EBOM-0092</t>
  </si>
  <si>
    <t>BOMBA SUMERGIBLE PARA AGUAS RESIDUALES MOD. LD-200-754-327WG DE 75 HP DESC. EN 8" CAPAZ DE DAR Q= 30 LPS Y CDT= 45 MTDD CON CODO DE DESCARGA MCA. IMPEL DE 75 HP 3F 440V PASO DE ESFERA DE 3".</t>
  </si>
  <si>
    <t>CEA-GYM-COML-GYM-EBOM-0093</t>
  </si>
  <si>
    <t>BOMBA SUMERGIBLE LIBRICACIÓN AGUA, MODELO 15s 675-15 DESCARGA 13"</t>
  </si>
  <si>
    <t>CEA-GYM-COML-GYM-EBOM-0094</t>
  </si>
  <si>
    <t>MOTOBOMBA, PARA REPARACION DE AGUA Y DRENAJE</t>
  </si>
  <si>
    <t>CEA-GYM-COML-GYM-EBOM-0094-01</t>
  </si>
  <si>
    <t>CEA-GYM-COML-GYM-EBOM-0095</t>
  </si>
  <si>
    <t>BOMBA PUMP END FRANKLIN FPDC1-1/2-K3 #93167413R173 10 - 15 HP 2" X 1.5", 213-215JM, 3500 RPM</t>
  </si>
  <si>
    <t>CEA-GYM-COML-GYM-EBOM-0096</t>
  </si>
  <si>
    <t>MOTOR SUMERGIBLE MCA, FRANKLIN DE 50 HP 3F 440V NO. DE PARTE 2366188125</t>
  </si>
  <si>
    <t>CEA-GYM-COML-GYM-EBOM-0097</t>
  </si>
  <si>
    <t>BOMBA TIPO CAÑON TRIFASICA 220VOLTS DE 2 HP</t>
  </si>
  <si>
    <t>CEA-GYM-COML-GYM-EBOM-0101</t>
  </si>
  <si>
    <t>BOMBA CENTRIFUGA PUMP GOULDS 7BFK1 A315051137 6 3/8", CENT PUMP KIT GOLUDS MBF08033S PLACA 7BF1M5E0 MOTOR US HZTL 15 HP 10708920-100 3F 254 JM 3545 UTE4 (DS89)</t>
  </si>
  <si>
    <t>CEA-GYM-COML-GYM-EBOM-0102</t>
  </si>
  <si>
    <t>CEA-GYM-COML-GYM-EBOM-0103</t>
  </si>
  <si>
    <t>BOMBA CENTRIFUGA PUMP GOULDS 21BFK1 A315051135 8 3/16", MOTOR ADAPTER GOULDS #MBF10D345 PLACA 21BFAQ5G0, MOTOR US HZTL 30 HP 10709680-100 3F 2P 286JM CTE4</t>
  </si>
  <si>
    <t>CEA-GYM-COML-GYM-EBOM-0104</t>
  </si>
  <si>
    <t>CEA-GYM-COML-GYM-EBOM-0105</t>
  </si>
  <si>
    <t>BOMBA CENTRIFUGAPUMP KIT GOULDS BOMBA CENT PUMP KIT GOULDS 7AIK1 A315051134 7 3/16", CENT PUMP KIT GOULDS MAI08033S PLACA 7AI1N2C0, MOTOR US HZTL 20HP AJ56 3485 RPM 254JM D-4 2P APG</t>
  </si>
  <si>
    <t>CEA-GYM-COML-GYM-EBOM-0106</t>
  </si>
  <si>
    <t>BOMBA CENTRIFUGA PUMP KIT GOULDS 78FK1A315051136 7 1/4", ADAPTADOR MOTOR GOULDS MBF10033S PLACA 8BF1M5E0, MOTOR US HZTL 15 HP 10708920-100 3F 254JM 3545 UTE4 (DS89)</t>
  </si>
  <si>
    <t>CEA-GYM-COML-GYM-EBOM-0107</t>
  </si>
  <si>
    <t>BOMBA CENTRIFUGA PUMP KIT GOULDS 12BFK3 A315051438 7 1/16", MOTOR ADAPTER GOULDS #MBF10034S PLACA 12BF1Q5P0MOTOR US HZTL 30 HP 10709680-100 3F 2P 286JM CTE 4</t>
  </si>
  <si>
    <t>CEA-GYM-COML-GYM-EBOM-0108</t>
  </si>
  <si>
    <t>BOMBA CENTRIFUGA PUMP KIT GOULDS 12BFK3 A315051430 7 1/16", MOTOR ADAPTER GOULDS #MBF10034S PLACA 12BF1Q5P0MOTOR US HZTL 30 HP 10709680-100 3F 2P 286JM CTE 5</t>
  </si>
  <si>
    <t>CEA-GYM-COML-GYM-EBOM-0109</t>
  </si>
  <si>
    <t>BOMBA CENTRIFUGA PUMP KIT GOULDS 12BFK3 A315051430 7 1/16", MOTOR ADAPTER GOULDS #MBF10034S PLACA 12BF1Q5P0MOTOR US HZTL 30 HP 10709680-100 3F 2P 286JM CTE 6</t>
  </si>
  <si>
    <t>CEA-GYM-COML-GYM-EBOM-0110</t>
  </si>
  <si>
    <t>BOMBA CENT PUMP KIT GOLUDS 8BFK1 A315051136 7 1/4" ADAPTADOR MOTOR GOLUDS MBF10033S PLACA 8BF1M5E0 MOTOR US HZTL 15 HP 10708920-100 3F 254JM 3545 UTE4 (DS89)</t>
  </si>
  <si>
    <t>CEA-GYM-COML-GYM-EBOM-0111</t>
  </si>
  <si>
    <t>CUERPO DE TAZONES MARCA GOULDS CAPZA DE VENCER UN C. D. T. DE 70M. GASTO  100 L. P. S. MODELO 14RJMC-3, DIAMETRO DE IMPULSOR 9.1875", LUBRICACION EN ACEITE, DESCRAGA DE 10"</t>
  </si>
  <si>
    <t>CEA-GYM-COML-GYM-EBOM-0112</t>
  </si>
  <si>
    <t>CUERPO DE TAZONES MARCA GOULDS CAPZA DE VENCER UN C. D. T. DE 60M. CONTRA UN GASTO DE70 L. P. S. MODELO 12CHC-3, DIAMETRO DE IMPULSOR8.1875", LUBRICACION EN ACEITE, DESCRAGA DE 8"</t>
  </si>
  <si>
    <t>CEA-GYM-COML-GYM-EBOM-0113</t>
  </si>
  <si>
    <t>CUERPO DE TAZONES GOULDS MODELO 11CHC-3 LUBRICACION EN ACEITE, DESCARGA DE 8", PARA UNA C.D.T. DE 60MTS Y 50 L.P.S.</t>
  </si>
  <si>
    <t>CEA-GYM-COML-GYM-EBOM-0114</t>
  </si>
  <si>
    <t>CEA-GYM-COML-GYM-EBOM-0115</t>
  </si>
  <si>
    <t>MOTOR SUMERGIBLE 100 HP SRIE 2396048521 12C19-13-080408</t>
  </si>
  <si>
    <t>CEA-GYM-COML-GYM-EBOM-0116</t>
  </si>
  <si>
    <t>CUERPO DE TAZONES GOULDS 14RJMC-4 ACEITE CORTE 9.82" DESCARGA DE 10"</t>
  </si>
  <si>
    <t>CEA-GYM-COML-GYM-EBOM-0117</t>
  </si>
  <si>
    <t>15 COLUMNAS DE ACERO A53 3.05MTS RRL 8" X 9/32"</t>
  </si>
  <si>
    <t>CEA-GYM-COML-GYM-EBOM-0118</t>
  </si>
  <si>
    <t>15 COPLES DE COLUMNAS DE ACERO  RRL 8"</t>
  </si>
  <si>
    <t>CEA-GYM-COML-GYM-EBOM-0119</t>
  </si>
  <si>
    <t>MOTOR SUMERGIBLE FRANKLIN DE 6" 50HP 460VOLTS. 14G19-07-080018 SERIE # 2366188125</t>
  </si>
  <si>
    <t>CEA-GYM-COML-GYM-EBOM-0120</t>
  </si>
  <si>
    <t>CUERPO DE TAZONES GOULDS TX 14JRLC-3 CORTE DE 3" DESC. 10" A31505913</t>
  </si>
  <si>
    <t>CEA-GYM-COML-GYM-EBOM-0121</t>
  </si>
  <si>
    <t>CUERPO DE TAZONES GOULDS TX 12CHC-3 CORTE DE 7.94" DESC. 8 A31505916</t>
  </si>
  <si>
    <t>CEA-GYM-COML-GYM-EBOM-0122</t>
  </si>
  <si>
    <t>MOTOR SUMERGIBLE FRANKLIN ELECTRIC DE 50 HP EN460 VOLTS,SAND FIGTHER DE 6" DE DIAMETRO</t>
  </si>
  <si>
    <t>CEA-GYM-COML-GYM-EBOM-0123</t>
  </si>
  <si>
    <t>BOMBA  CENTRIFUGA MARCA WDM m GE 1.5C 100 SUCCION DE 2" DE DESCARGA 11/2 DE CONSTRUCCION MONOBLOQUE 3600 RPM 220/440  10 HP</t>
  </si>
  <si>
    <t>CEA-GYM-COML-GYM-EBOM-0124</t>
  </si>
  <si>
    <t>BOMBA  CENTRIFUGA MARCA WDM m GE 1.5B 150 SUCCION DE 2" DE DESCARGA 2 1/2 DE CONSTRUCCION MONOBLOQUE 3600 RPM 220/440  10 HP</t>
  </si>
  <si>
    <t>CEA-GYM-COML-GYM-EBOM-0125</t>
  </si>
  <si>
    <t>BOMBA  CENTRIFUGA MARCA: FRANKLIN, FPS(JACUZZI) MODELO: 2FPDE1 1/2 SUCCION DE 2" DE DESCARGA 2 1/2 DE CONSTRUCCION DE HIERRO VACIADO,DE 2HP,MPULSOR DE BRONCE 220/440 VOLTS 3 FASES GMP-5 LPS-300 LPM 60" PIES DE CDT</t>
  </si>
  <si>
    <t>CEA-GYM-TECN-GYM-EBOM-0126</t>
  </si>
  <si>
    <t>MOTOR SUMERGIBLE, MARCA : ALTAMIRA, MODELO:MSR10/8 1503460, 150 HP TRIFASICO EN 460 VOLTS. 10 PULGADAS DE DIAMETRO EXTERIOR, ACOPLAMIENTO NEMA 8 PLG.,SERIE: 299907</t>
  </si>
  <si>
    <t>CEA-GYM-TECN-GYM-EBOM-0127</t>
  </si>
  <si>
    <t>BOMBA SUMERGIBLE, MARCA: ALTAMIRA, MODELO:KOR70 R1500-4-2, DESCARGA DE 6 PLG. CON ROSCA HEMBRA NPT,VALVULA CHECK INTEGRADA, ACOPLAMIENTO NEMA A 8PLG. S/N SERIE: KOR</t>
  </si>
  <si>
    <t>CEA-GYM-TECN-GYM-EBOM-0128</t>
  </si>
  <si>
    <t xml:space="preserve">BOMBA CENTRIFUGA, MARCA: FRANKLIN, MODELO:2FPDB1-T SERIE:93160376,2HP,3 F ,CONSTRUCCION DE HIERRO,IMPULSOR DE BRONCE,SUCCION DE 1 1/2x 1 PULGADA     </t>
  </si>
  <si>
    <t>CEA-GYM-TECN-GYM-EBOM-0129</t>
  </si>
  <si>
    <t>BOMBA SUMERGIBLE MARCA: IMPEL , MODELO: LD-151-304-245-W 30HP 440/3, SERIE: S/N CON DESCARGA, GUIA DE TUBOS Y SOPORTE SUPERIOR,AGUAS RESIDUALES,</t>
  </si>
  <si>
    <t>CEA-GYM-TECN-GYM-EBOM-0130</t>
  </si>
  <si>
    <t>BOMBA CENTRIFUGA , MARCA: FRANKLIN, MODELO: 20FPDB2-T 93160376, 20HP 3F, SERIE: 17F19-26-02859P</t>
  </si>
  <si>
    <t>CEA-GYM-TECN-GYM-EBOM-0131</t>
  </si>
  <si>
    <t>BOMBA CENTRIFUGA , MARCA: FRANKLIN, MODELO: 20FPDB2-T 93160376, 20HP 3F, SERIE: 18A19-19-00017P</t>
  </si>
  <si>
    <t>CEA-GYM-TECN-GYM-EBOM-0132</t>
  </si>
  <si>
    <t>BOMBA SUMERGIBLE MARCA: IMPEL LU, MODELO:LU-100-104-220-W,  CON CODO DE DESCARGA, GUIA DE TUBOS Y SOPORTE SUPERIOR,AGUAS RESIDUALES 4",220VCA, 10HP</t>
  </si>
  <si>
    <t>CEA-GYM-TECN-GYM-EBOM-0133</t>
  </si>
  <si>
    <t>BOMBA SUMERGIBLE MARCA: IMPEL LU, MODELO LD-151-304-245-W , CON CODO DE DESCARGA, GUIA DE TUBOS Y SOPORTE SUPERIOR,AGUAS RESIDUALES 6",440VCA, 30HP</t>
  </si>
  <si>
    <t>CEA-GYM-TECN-GYM-EBOM-0134</t>
  </si>
  <si>
    <t>BOMBA MODELO:COBA 8/400/3460,MOTOR ELECTRICO DE 40 HP, 460 VOLT 3F ,SERIE: 18060052</t>
  </si>
  <si>
    <t>CEA-GYM-TECN-GYM-EBOM-0135</t>
  </si>
  <si>
    <t>BOMBA MODELO: COBA 8/300/3460, MOTOR ELECTRICO DE 40 HP, 460 VOLT 3F,SERIE: 18060050</t>
  </si>
  <si>
    <t>CEA-GYM-TECN-GYM-EBOM-0136</t>
  </si>
  <si>
    <t>BOMBA COBA 8/600/3460, MOTOR ELECTRICO DE 60 HP, 460 VOLT 3F, SERIE: 188060085</t>
  </si>
  <si>
    <t>CEA-GYM-TECN-GYM-EBOM-0137</t>
  </si>
  <si>
    <t>BOMBA MODELO:COBA 8/600/3460, MOTOR ELECTRICO DE 60 HP, 460 VOLT 3F,SERIE: 18060087</t>
  </si>
  <si>
    <t>CEA-GYM-TECN-GYM-EBOM-0138</t>
  </si>
  <si>
    <t>BOMBA SUMERGIBLE, MARCA: IMPELMEX, MODELO: LD-200-1254-365W4P, 125 HP, 440 V, SERIE: 19792</t>
  </si>
  <si>
    <t>CEA-GYM-TECN-GYM-EBOM-0139</t>
  </si>
  <si>
    <t>BOMBA SUMERGIBLE, MARCA: ALTAMIRA, MODELO: COBA, 40 HP, 460 V, SERIE: 21100908</t>
  </si>
  <si>
    <t>CEA-GYM-TECN-GYM-EBOM-0140</t>
  </si>
  <si>
    <t>BOMBA SUMERGIBLE PARA AGUAS RESIDUALES, MARCA: WDM, MOTOR MARCA: US MOTOR, MODELO: NE 6 750-4-440,ELECTRICO SUMERGIBLE DE 75 HP, 2 FASES, 440 VOLTS. SERIE: M0719R89530.</t>
  </si>
  <si>
    <t>CEA-GYM-TECN-GYM-EBOM-0141</t>
  </si>
  <si>
    <t xml:space="preserve">BOMBA SUMERGIBLE PARA AGUAS LODOSAS, MARCA: PEDROLLO, MODELO: MC30/50 2, DE 3HP, 3 FASES, 230 VOLTS. SERIE: 22AH131. </t>
  </si>
  <si>
    <t>CEA-GYM-TECN-GYM-EBOM-0142</t>
  </si>
  <si>
    <t>BOMBA CENTRIFUGA HORIZONTAL, MARCA: WDM, MODELO: GE 1.5G 100, DE 10 HP, 3FASES, 230/ 460 VOLTS. SUCC Y DESCARGA DE 2" SERIE: M1022T115629.</t>
  </si>
  <si>
    <t>CEA-GYM-TECN-GYM-EBOM-0143</t>
  </si>
  <si>
    <t>BOMBA CENTRIFUGA HORIZONTAL, MARCA: WDM, MODELO: GE 1.5G 100, DE 10 HP, 3FASES, 230/ 460 VOLTS. SUCC Y DESCARGA DE 2" SERIE: M1022T115628.</t>
  </si>
  <si>
    <t>CEA-GYM-TECN-GYM-EBOM-0144</t>
  </si>
  <si>
    <t>BOMBA CENTRIFUGA HORIZONTAL, MARCA: WDM, MODELO: GE 1.5G 100, DE 10 HP, 3FASES, 230/ 460 VOLTS. SUCC Y DESCARGA DE 2" SERIE: M1022T115630.</t>
  </si>
  <si>
    <t>CEA-GYM-TECN-GYM-EBOM-0145</t>
  </si>
  <si>
    <t>BOMBA CENTRIFUGA HORIZONTAL, MARCA: WDM, MODELO: GE 1.5G 100, DE 10 HP, 3FASES, 230/ 460 VOLTS. SUCC Y DESCARGA DE 2" SERIE: M1022T115631.</t>
  </si>
  <si>
    <t>CEA-GYM-TECN-GYM-EBOM-0146</t>
  </si>
  <si>
    <t>BOMBA CENTRIFUGA HORIZONTAL, MARCA: WDM, MODELO: GE 1.5G 150, DE 15 HP, 3FASES, 230/ 460 VOLTS. SUCC Y DESCARGA DE 2" SERIE: M1022T115602.</t>
  </si>
  <si>
    <t>CEA-GYM-TECN-GYM-EBOM-0147</t>
  </si>
  <si>
    <t>BOMBA SUMERGIBLE PARA LODOS, MARCA: AQUAPAK, MODELO: ROBUSTA4 150/323, DESCARGA 4", MOTOR DE 15 HP, 3 FASES, 230 VOLTS, 60 HZ, 3450 RPM, SERIE: 21100005.</t>
  </si>
  <si>
    <t>CEA-GYM-TECN-GYM-EBOM-0148</t>
  </si>
  <si>
    <t>BOMBA SUMERGIBLE PARA ACHIQUE, MARCA: PEDROLLO, IMPULSOR EN ACERO INOX. 316, C/ MOTOR DE 1.5 HP SERIE: 22CAB2130342.</t>
  </si>
  <si>
    <t>CEA-GYM-TECN-GYM-EBOM-0149</t>
  </si>
  <si>
    <t>BOMBA CENTRIFUGA HORIZONTAL, MARCA: PEDROLLO, 15 HP, 3 FASES, 220/440 VOLTS. 2"X2", SERIE: 22UA93190018.</t>
  </si>
  <si>
    <t>CEA-GYM-TECN-GYM-EBOM-0150</t>
  </si>
  <si>
    <t>BOMBA CENTRIFUGA, MARCA: BARNES, MODELO: IC11/4-3-2-1F, 3HP, 230 VOLTS. SERIE: E24712</t>
  </si>
  <si>
    <t>CEA-GYM-TECN-GYM-EBOM-0151</t>
  </si>
  <si>
    <t>BOMBA CENTRIFUGA, MARCA: BARNES, MODELO: IA1-1/2, 5-2 1F, 5HP, 230 VOLTS. SERIE: E22708.</t>
  </si>
  <si>
    <t>CEA-GYM-TECN-GYM-EBOM-0152</t>
  </si>
  <si>
    <t>BOMBA CENTRIFUGA, MARCA: BARNES, MODELO: IC1-1/4-3-2-1F, 3HP, 230 VOLTS. SERIE: E29787.</t>
  </si>
  <si>
    <t>CEA-GYM-TECN-GYM-EBOM-0153</t>
  </si>
  <si>
    <t>BOMBA CENTRIFUGA HORIZONTAL, MARCA: PEDROLLO, 7.5 HP, 3 FASES, 220/440 VOLTS. 2"X2", SERIE: 22A8034</t>
  </si>
  <si>
    <t>CEA-GYM-TECN-GYM-EBOM-0154</t>
  </si>
  <si>
    <t>BOMBA CENTRIFUGA ANTICEBANTE MARCA WDM, MODELO AAG 4, 130 HF, 13 HP A GASOLINA, SUCCION Y DESCARGA DE 4", SERIE: M0623T119399</t>
  </si>
  <si>
    <t>CEA-GYM-TECN-GYM-EBOM-0155</t>
  </si>
  <si>
    <t>CEA-GYM-SIS-ETEL-001</t>
  </si>
  <si>
    <t>CONMUTADOR, MARCA: PANASONIC, MODELO: KX-TGS-824, SERIE: JLCFI010448</t>
  </si>
  <si>
    <t>CEA-GYM-SIS-ETEL-002</t>
  </si>
  <si>
    <t>TELEFONO CELULAR DUAL SIM 64GB 4GB DE RAM  MODELO XT2083-8 SERIE: 355585780524592</t>
  </si>
  <si>
    <t>CEA-GYM-SIS-ETEL-003</t>
  </si>
  <si>
    <t>TELEFONO CELULAR DUAL SIM 64GB 4GB DE RAM  MODELO XT2083-8 SERIE: 355585780522810</t>
  </si>
  <si>
    <t>CEA-GYM-SIS-ETEL-004</t>
  </si>
  <si>
    <t>TELEFONO CELULAR DUAL SIM 64GB 4GB DE RAM  MODELO XT2083-8 SERIE: 355585780520228</t>
  </si>
  <si>
    <t>CEA-GYM-SIS-ETEL-005</t>
  </si>
  <si>
    <t>TELEFONO CELULAR DUAL SIM 64GB 4GB DE RAM  MODELO XT2083-8 SERIE: 355585780521176</t>
  </si>
  <si>
    <t>CEA-GYM-SIS-ETEL-006</t>
  </si>
  <si>
    <t>TELEFONO CELULAR DUAL SIM 64GB 4GB DE RAM  MODELO XT2083-8 SERIE: 355585780514643</t>
  </si>
  <si>
    <t>CEA-GYM-SIS-ETEL-007</t>
  </si>
  <si>
    <t>TELEFONO CELULAR DUAL SIM 64GB 4GB DE RAM  MODELO XT2083-8 SERIE: 355585780520178</t>
  </si>
  <si>
    <t>CEA-GYM-SIS-ETEL-008</t>
  </si>
  <si>
    <t>TELEFONO CELULAR DUAL SIM 64GB 4GB DE RAM  MODELO XT2083-8 SERIE: 355585780528619</t>
  </si>
  <si>
    <t>CEA-GYM-SIS-ETEL-009</t>
  </si>
  <si>
    <t>TELEFONO CELULAR DUAL SIM 64GB 4GB DE RAM  MODELO XT2083-8 SERIE: 355585780532595</t>
  </si>
  <si>
    <t>CEA-GYM-SIS-ETEL-010</t>
  </si>
  <si>
    <t>TELEFONO CELULAR DUAL SIM 64GB 4GB DE RAM  MODELO XT2083-8 SERIE: 355585780532538</t>
  </si>
  <si>
    <t>CEA-GYM-SIS-ETEL-011</t>
  </si>
  <si>
    <t>TELEFONO CELULAR DUAL SIM 64GB 4GB DE RAM  MODELO XT2083-8 SERIE: 355585780532041</t>
  </si>
  <si>
    <t>CEA-GYM-SIS-ETEL-012</t>
  </si>
  <si>
    <t>TELEFONO CELULAR DUAL SIM 64GB 4GB DE RAM  MODELO XT2083-8 SERIE: 355585780516242</t>
  </si>
  <si>
    <t>CEA-GYM-SIS-ETEL-013</t>
  </si>
  <si>
    <t>TELEFONO CELULAR DUAL SIM 64GB 4GB DE RAM  MODELO XT2083-8 SERIE: 355585780516168</t>
  </si>
  <si>
    <t>CEA-GYM-TECN-GYM-EQCL-0001</t>
  </si>
  <si>
    <t>CLORADOR WALLACE &amp; TIERNAN, MOD. S-10K 9 KG/DIA</t>
  </si>
  <si>
    <t>CEA-GYM-TECN-GYM-EQCL-0011</t>
  </si>
  <si>
    <t>CILINDRO PARA GAS CLORO DE TONELADA</t>
  </si>
  <si>
    <t>CEA-GYM-TECN-GYM-EQCL-0012</t>
  </si>
  <si>
    <t>CEA-GYM-TECN-GYM-EQCL-0024</t>
  </si>
  <si>
    <t>CONTENEDOR TIPO JAULA DE 1000 LTS.</t>
  </si>
  <si>
    <t>CEA-GYM-TECN-GYM-EQCL-0028</t>
  </si>
  <si>
    <t>BOMBA DOSIFICADORA PULSA FEDEER</t>
  </si>
  <si>
    <t>CEA-GYM-TECN-GYM-EQCL-0032</t>
  </si>
  <si>
    <t>DOSIFICADOR GAS CLORO MARCA: WALLACE &amp; TIERNAN</t>
  </si>
  <si>
    <t>CEA-GYM-TECN-GYM-EQCL-0034</t>
  </si>
  <si>
    <t>VALVULA REGULADORA MARCA: WALLACE TERNAN,DE VACIO 500 LB / DIA</t>
  </si>
  <si>
    <t>CEA-GYM-TECN-GYM-EQCL-0035</t>
  </si>
  <si>
    <t>CEA-GYM-TECN-GYM-EQCL-0036</t>
  </si>
  <si>
    <t>CEA-GYM-TECN-GYM-EQCL-0037</t>
  </si>
  <si>
    <t>BOMBA CAÑON, MARCA: MODELO: ALTAPRES 08920TB. MULTIPASOS HORIZONTAL, 2HP 3F APG, SERIE: F08D32E1HB8G-4</t>
  </si>
  <si>
    <t>CEA-GYM-TECN-GYM-EQCL-0038</t>
  </si>
  <si>
    <t>POLYPASTO O TECLE DE 3 TONELADAS</t>
  </si>
  <si>
    <t>CEA-GYM-TECN-GYM-EQCL-0039</t>
  </si>
  <si>
    <t>BASCULA ELECTRONICA SOLO G2, MARCA: FORCE FLOW, MODELO: DR20K, PARA 2 CONTENEDORES DE CLORO DE 907 KG, SERIE: FF61713</t>
  </si>
  <si>
    <t>CEA-GYM-TECN-GYM-EQCL-0040</t>
  </si>
  <si>
    <t>BASCULA ELECTRONICA SOLO G2, MARCA: FORCE FLOW, MODELO: DR20K, PARA 2 CONTENEDORES DE CLORO DE 907 KG, SERIE: FF61710</t>
  </si>
  <si>
    <t>CEA-GYM-TECN-GYM-EQCL-0041</t>
  </si>
  <si>
    <t>SISTEMA DE CIERRE AUTOMATICO DE CONTENEDORES DE CLORO, MARCA: HALOGEN, MODELO: DUPLEX MODEL II.</t>
  </si>
  <si>
    <t>CEA-GYM-TECN-GYM-EQCL-0042</t>
  </si>
  <si>
    <t>CEA-GYM-TECN-GYM-EQCL-0043</t>
  </si>
  <si>
    <t>INYECTOR DE VACIO DE 3/4" WALLACE &amp; TIERNAN, MARCA: EVOQUA, MODELO: NOZZLE 120, SERIE: 29-2019</t>
  </si>
  <si>
    <t>CEA-GYM-TECN-GYM-EQCL-0044</t>
  </si>
  <si>
    <t>DOSIFICADOR GAS CLORO, WALLACE &amp; TIERNAN, MODELO: V10K 200 PPD, SERIE: CG1940107-1</t>
  </si>
  <si>
    <t>CEA-GYM-TECN-GYM-EQCL-0045</t>
  </si>
  <si>
    <t>INYECTOR DE VACIO DE 3/4" WALLACE &amp; TIERNAN, MARCA: EVOQUA, MODELO: W3T99144, SERIE:S/N ID: 28-2022 W3T99144</t>
  </si>
  <si>
    <t>CEA-GYM-TECN-GYM-EQCL-0046</t>
  </si>
  <si>
    <t>CEA-GYM-TECN-GYM-EQCL-0047</t>
  </si>
  <si>
    <t>ADAPTADOR PARA MONTAJE DE VALVULA REGULADORA DE VACIO, MARCA: EVOQUA , MODELO: W379954, PIERNA DE GOTEO, FILTRO Y CALENTADOR WALLACE &amp; TIERNAN, SERIE: CH10092184-62</t>
  </si>
  <si>
    <t>CEA-GYM-TECN-GYM-EQCL-0048</t>
  </si>
  <si>
    <t>ADAPTADOR PARA MONTAJE DE VALVULA REGULADORA DE VACIO, MARCA: EVOQUA , MODELO: W379954, PIERNA DE GOTEO, FILTRO Y CALENTADOR WALLACE &amp; TIERNAN, SERIE: CH10095931-37</t>
  </si>
  <si>
    <t>CEA-GYM-TECN-GYM-EQCL-0049</t>
  </si>
  <si>
    <t>ADAPTADOR PARA MONTAJE DE VALVULA REGULADORA DE VACIO, MARCA: EVOQUA , MODELO: W379954, PIERNA DE GOTEO, FILTRO Y CALENTADOR  WALLACE &amp; TIERNAN, SERIE: CH10095931-27</t>
  </si>
  <si>
    <t>CEA-SCS-PRSM-SCS-COMP-0048</t>
  </si>
  <si>
    <t>PRECISION 690 MINI-TOWER DELL CORE XEON PROC 5110  1.60 GHZ,4MB L-2 CACHE,1066 MHZ,CPU, SERIE: CPUDID06D1</t>
  </si>
  <si>
    <t>CEA-SCS-COML-SCS-COMP-0039</t>
  </si>
  <si>
    <t>TICKETERA MARCA: EPSON, MODELO: M129H, IMPRESORA TERMICA, SERIE: J4PG314985</t>
  </si>
  <si>
    <t>CEA-SCS-COML-SCS-COMP-0046</t>
  </si>
  <si>
    <t>CPU MARCA HP, MODELO: PRODESK 600 G2, SERIE: MXL6201W24, MONITOR MARCA: HP, MODELO: V193B, SERIE: 3CQ60410DQ</t>
  </si>
  <si>
    <t>CEA-SCS-COML-SCS-COMP-0047</t>
  </si>
  <si>
    <t>SCANNER MARCA: BROTHER, MODELO: DS-720D, SERIE: S/N  PORTATIL</t>
  </si>
  <si>
    <t>CEA-SCS-COML-SCS-COMP-0048</t>
  </si>
  <si>
    <t>CPU, MARCA: HP, MODELO: PROMINI 260 G9 CI3-1215U, VPN: 6J5A4L # ABM SKU: C3700NZ, SERIE: 8CC23910KN</t>
  </si>
  <si>
    <t>CEA-SCS-COML-SCS-COMP-0049</t>
  </si>
  <si>
    <t>CPU, MARCA: HP, MODELO: PROMINI 260 G9 CI3-1215U, VPN: 6J5A4L # ABM SKU: C3700NZ, SERIE: 8CC25119WD</t>
  </si>
  <si>
    <t>CEA-SCS-COML-SCS-COMP-0050</t>
  </si>
  <si>
    <t>CPU, MARCA: HP, MODELO: PROMINI 260 G9 CI3-1215U, VPN: 6J5A4L # ABM SKU: C3700NZ, SERIE: 8CC25119ZJ</t>
  </si>
  <si>
    <t>CEA-SCS-COML-SCS-COMP-0051</t>
  </si>
  <si>
    <t>CPU, MARCA: HP, MODELO: PROMINI 260 G9 CI3-1215U, VPN: 6J5A4L # ABM SKU: C3700NZ, SERIE: 8CC2301FGS</t>
  </si>
  <si>
    <t>CEA-SCS-COML-SCS-COMP-0052</t>
  </si>
  <si>
    <t>MONITOR, MARCA: LG, 21, 5IN,1920 X 1080, VPN: 22MP410, SKU: 56301F5, SERIE: 208NTVSE5167</t>
  </si>
  <si>
    <t>CEA-SCS-COML-SCS-COMP-0053</t>
  </si>
  <si>
    <t>MONITOR, MARCA: LG, 21, 5IN,1920 X 1080, VPN: 22MP410, SKU: 56301F5, SERIE: 208NTEP98244</t>
  </si>
  <si>
    <t>CEA-SCS-COML-SCS-COMP-0054</t>
  </si>
  <si>
    <t>MONITOR, MARCA: LG, 21, 5IN,1920 X 1080, VPN: 22MP410, SKU: 56301F5, SERIE: 208NTKFE5181</t>
  </si>
  <si>
    <t>CEA-SCS-COML-SCS-COMP-0055</t>
  </si>
  <si>
    <t>MONITOR, MARCA: LG, 21, 5IN,1920 X 1080, VPN: 22MP410, SKU: 56301F5, SERIE: 207NTUWC4230</t>
  </si>
  <si>
    <t>CEA-SC-MYEO-DC-DIR-028</t>
  </si>
  <si>
    <t>SILLON DE 2 PLAZAS MARCA GYM</t>
  </si>
  <si>
    <t>CEA-SC-MYEO-DA-DIR-033</t>
  </si>
  <si>
    <t>MUEBLE PRINTAFORM MOD. 361N</t>
  </si>
  <si>
    <t>CEA-SC-MYEO-DA-DIR-063</t>
  </si>
  <si>
    <t>ESCRITORIO SISTEMA DE OFICINA EN "L"</t>
  </si>
  <si>
    <t>CEA-SC-MYEO-DA-CONT-065</t>
  </si>
  <si>
    <t>CREDENZA DE 2.20 X .50 X .75 CON CAJONERA CON DOS CAJONES UTILITARIOS Y 1 CAJON ARCHIVO Y PUERTAS CORREDIZA COLOR CAFÉ.</t>
  </si>
  <si>
    <t>CEA-SC-MYEO-ADM-DIR-076</t>
  </si>
  <si>
    <t>MESA CIRCULAR MARCA CHERRY</t>
  </si>
  <si>
    <t>CEA-SC-MYEO-DA-DIR-078</t>
  </si>
  <si>
    <t>MESA OVALADA 2.40 MARCA CHERRY</t>
  </si>
  <si>
    <t>CEA-SC-MYEO0000-DA-DCS-079</t>
  </si>
  <si>
    <t>CHECADOR, MARCA: NATIONAL SOFT, ONE MINUTE, SERIE: 3483030260037</t>
  </si>
  <si>
    <t>CEA-SC-MYEO-DA-DCS-080</t>
  </si>
  <si>
    <t>MINISPLIT MARCA: MIRAGE, MODELO: EXF121  2 TON, SERIE: EXF121D8031317753</t>
  </si>
  <si>
    <t>CEA-SC-MYEO-DA-DCS-081</t>
  </si>
  <si>
    <t>MINI SPLIT, MIRAGE, MODELO: EJF261T, SERIE: EJF261T7061900830</t>
  </si>
  <si>
    <t>CEA-SC-OMYEO-DCS-001</t>
  </si>
  <si>
    <t>CEA-SCS-COML-SCS-TRNS-0083</t>
  </si>
  <si>
    <t>MOTOCILCETA MARCA: KURAZAI NEGRA, MODELO: 2015, SERIE: LFFWJO1C6FCB13515, MOVIL: 150</t>
  </si>
  <si>
    <t>CEA SC-MAQ-DT-ALC-003</t>
  </si>
  <si>
    <t xml:space="preserve">CHASIS MARCA: INTERNACIONAL,  MOTOR MARCA: NAVISTAR, 250 HP TRANSMISION 10 VELOCIDADES, SERIE DEL CHASIS: 3HANKAAR95L141643 </t>
  </si>
  <si>
    <t>CEA-SC-OE-DT-AP-001</t>
  </si>
  <si>
    <t>INTERRUPTOR TERMOMAGNETICO DE 3 X 100 AMP 600 VAL, MARCA SQUARE D</t>
  </si>
  <si>
    <t>CEA-SC-OE-DT-ALC-003</t>
  </si>
  <si>
    <t>INTERRUPTOR TERMOMAGNETICO DE 3 X 175 AMP 600 VOL, MARCA SIEMENS</t>
  </si>
  <si>
    <t>CEA-SC-OE-DT-ALC</t>
  </si>
  <si>
    <t>INTERRUPTOR TERMOMAGNETICO 3 X400 AMP  500 VAC MARCA SQUARE D</t>
  </si>
  <si>
    <t>CEA-SC-OE-DT-AP-005</t>
  </si>
  <si>
    <t>DUPLEX MODELO SYS-1533-2, ANTENA DB224, FUENTE DE PODER MARCA ASTRON</t>
  </si>
  <si>
    <t>CEA-SC-OE-DT-AP-009</t>
  </si>
  <si>
    <t>INTERRUPTOR 220 AMPERES</t>
  </si>
  <si>
    <t>CEA-SC-OE-DT-AP-011</t>
  </si>
  <si>
    <t>ARRANCADOR DE 75 HP 440 VOLTS</t>
  </si>
  <si>
    <t>CEA-SC-OE-DT-ALC-017</t>
  </si>
  <si>
    <t>TABLERO DE CONTROL PARA BOMBA 25 HP 440 VOLTS</t>
  </si>
  <si>
    <t>CEA-SC-OE-DT-AP-022</t>
  </si>
  <si>
    <t>INSTALACION DE EQUIPO ELECTRICO PARA ALUMBRADO Y BOMBA DOIFICADORA DE POZO</t>
  </si>
  <si>
    <t>CEA-SC-OE-DT-ALM-023</t>
  </si>
  <si>
    <t>ARRANCADOR MAGNETICO LA61 TAMAÑA 2  5 QUAREA CON BOBINA</t>
  </si>
  <si>
    <t>CEA-SC-OE-DT-AP-024</t>
  </si>
  <si>
    <t>TECLE DE 2 TONELADAS</t>
  </si>
  <si>
    <t>CEA-SC-OE-DT-AP-026</t>
  </si>
  <si>
    <t>AIRE ACONDICIONADO CON CONTROL DE TEMPERATURA AUTOMATICA</t>
  </si>
  <si>
    <t>CEA-SC-OE-DT-AP-027</t>
  </si>
  <si>
    <t>MOTOBOMBA MARCA EVANS SAL. 3" DE 7.5HP</t>
  </si>
  <si>
    <t>CEA-SC-OE-DT-AP-028</t>
  </si>
  <si>
    <t>PLANTA GENERADORA DE 5000 WATS</t>
  </si>
  <si>
    <t>CEA-SC-OE-DT-AP-029</t>
  </si>
  <si>
    <t>ROTOMARTILLO</t>
  </si>
  <si>
    <t>CEA-SC-OE-DT-AP-030</t>
  </si>
  <si>
    <t>GENERADOR DE CORRIENTE DE 8000 WATTS</t>
  </si>
  <si>
    <t>CEA-SC-OE-DT-AP-031</t>
  </si>
  <si>
    <t>REVOLVEDORA PARA CEMENTO J. HONDA</t>
  </si>
  <si>
    <t>CEA-SC-EB-DT-ALC-017</t>
  </si>
  <si>
    <t xml:space="preserve">BOMBA PARA LODOS 7.5 HP PARA 180 PIES Y 90 GAL/MIN BOMBA TRITURADORA </t>
  </si>
  <si>
    <t>CEA-SC-EB-DT-ALC-018</t>
  </si>
  <si>
    <t xml:space="preserve">BOMBA SUMERGIBLE PARA AGUAS NEGRAS, DE 25 HP, 440 V Y SALIDA DE 6" </t>
  </si>
  <si>
    <t>CEA-SC-EB-DT-ALC-019</t>
  </si>
  <si>
    <t xml:space="preserve">BOMBA SUMERGIBLE PARA AGUAS NEGRAS, DE 50 HP, 440 V Y SALIDA DE 8" </t>
  </si>
  <si>
    <t>CEA-SC-EB-DT-ALC-020</t>
  </si>
  <si>
    <t>BOMBA SUMERGIBLE DE 7.5 HP, 440 V SALIDA DE 2".</t>
  </si>
  <si>
    <t>CEA-SC-EB-DT-ALC-021</t>
  </si>
  <si>
    <t>BOMBA SUMERGIBLE, MARCA: ALTAMIRA,MODELO: KORG R-100-7,S/N SERIE</t>
  </si>
  <si>
    <t>CEA-SC-EB-DT-ALC-022</t>
  </si>
  <si>
    <t>MOTOR SUMERGIBLE, MARCA: ALTAMIRA,MODELO: MSR6 103230, SERIE: 30190</t>
  </si>
  <si>
    <t>CEA-SC-EB-DT-ALC-023</t>
  </si>
  <si>
    <t>BOMBA SUMERGIBLE,MODELO:COBA 4/200/3460, SERIE: 18060019,20 HP</t>
  </si>
  <si>
    <t>CEA-SC-EB-DT-ALC-024</t>
  </si>
  <si>
    <t>BOMBA SUMERGIBLE, MODELO:COBA 4/200/3460, SERIE: 18060023, 20HP</t>
  </si>
  <si>
    <t>CEA-SC-EB-DT-ALC-025</t>
  </si>
  <si>
    <t>BOMBA SUMERGIBLE, MARCA: AQUAPAK, MODELO:  ROBUSTA4/100/3230, SERIE: 21050375, 10HP, 3 FASES, 230 VOLTS.</t>
  </si>
  <si>
    <t>CEA-SC-EB-DT-AP-001</t>
  </si>
  <si>
    <t>BOMBA SUMERGIBLE MARCA KSB PARA 30 LPS Y 200 MTS. DE CDT ACOPLADA A MOTOR DE 52 HP. SUMERGIBLE</t>
  </si>
  <si>
    <t>CEA-SC-EB-DT-AP-003</t>
  </si>
  <si>
    <t>MOTOBOMBA BONASA ME-20-15 15 HP</t>
  </si>
  <si>
    <t>CEA-SC-EB-DT-AP-005</t>
  </si>
  <si>
    <t>BOMBA TIPO TURBINA DE 8" DE DIAMETRO, DE 3 PASOS CON TAZONES ·12</t>
  </si>
  <si>
    <t>CEA-SC-EB-DT-AP-006</t>
  </si>
  <si>
    <t>MOTOBOMBA MARGA GOULDS SERIE FR429673, MOTOR MARCA FRANKLIN, MODELO 2391056004 SERIE OOC19-01-0011</t>
  </si>
  <si>
    <t>CEA-SC-EB-DT-AP-007</t>
  </si>
  <si>
    <t>BOMBEO CENTRIFUGA HORIZONTAL MARCA CUMA MOD. K3L25-2 ACOPLADA A MOTOR ELECTRICO DE 25 HP. A 3500 RPM,3 FASES</t>
  </si>
  <si>
    <t>CEA-SC-EB-DT-AP-008</t>
  </si>
  <si>
    <t>JUEGO DE TAZONES DE 3 PASOS CAPAZ DE PRODUCIR UN GASTO DE 70 L.P.S. CONTRA UNA CARGA DINAMICA TOTAL DE 62 MTS</t>
  </si>
  <si>
    <t>CEA-SC-EB-DT-AP-010</t>
  </si>
  <si>
    <t>MOTOR BOMBA CENTRIFUGA 2 HP3,440-220 VOLTS</t>
  </si>
  <si>
    <t>CEA-SC-EB-DT-AP-011</t>
  </si>
  <si>
    <t>BOMBA SUMERGIBLE ENCAPSULADA 4 TAZONES TRES FASES 220 V. 7.5 HP JET REBOMBEO "PENINSULA "</t>
  </si>
  <si>
    <t>CEA-SC-EB-DT-AP-013</t>
  </si>
  <si>
    <t>BOMBA HORIZONTAL,MCA. SIEMENS Y DEMING RESPECTIVAMENTE DE 5 HP TRIFASICA</t>
  </si>
  <si>
    <t>CEA-SC-EB-DT-AP-015</t>
  </si>
  <si>
    <t>BOMBA SUMERGIBLE MARCA GOULDS PUMP DE 3  PASOS CAPAZ DE PRODUCIR UN GASTO DE 850 GPM A 450´C.D.T.</t>
  </si>
  <si>
    <t>CEA-SC-EB-DT-AP-016</t>
  </si>
  <si>
    <t>MOTOR DE LA MARCA FRANKLIN ELECTRICO DE 8" 125 H.P. 3 FASES, 460 VOLTS</t>
  </si>
  <si>
    <t>CEA-SC-EB-DT-AP-017</t>
  </si>
  <si>
    <t>MOTOR MARCA FRANKLIN DE 125 HP PH3 DE 8" EN 469 VOLTS.</t>
  </si>
  <si>
    <t>CEA-SC-EB-DT-AP-018</t>
  </si>
  <si>
    <t>MOTOBOMBA HONDA 1000 LTS. P/S 26 KGS.</t>
  </si>
  <si>
    <t>CEA-SC-EB-DT-AP-019</t>
  </si>
  <si>
    <t>BOMBA TIPO CAÑON TRIFASICA 220VOLTS 2 HP</t>
  </si>
  <si>
    <t>CEA-SC-EB-DT-AP-020</t>
  </si>
  <si>
    <t>BOMBA SUMERGIBLE TX 9RCLC-4 DESC 8" CORTE 6.8125</t>
  </si>
  <si>
    <t>CEA-SC-EB-DT-AP-021</t>
  </si>
  <si>
    <t>MOTOR SUMERGIBLE FRANKLIN 8" 150 HP SERIE #2391068504 460 V 14B19-23-080048</t>
  </si>
  <si>
    <t>CEA-SC-EB-DT-AP-022</t>
  </si>
  <si>
    <t>BOMBA CENTRIFUGA HORIZONTAL MARCA FPS ACOPLADA DIRECTAMENTE A MOTOR 3 HP F 208-230 V. A. 3500 R. P. M. CAPAZ DE VENCER UNA C.D.T. DE 28MTS CONTRA UN GASTO DE 5LPS MODELO 3DB1 1/2 S</t>
  </si>
  <si>
    <t>CEA-SC-EB-DT-AP-023</t>
  </si>
  <si>
    <t>BOMBA CENTRIFUGA HORIZONTAL MARCA FPS ACOPLADA DIRECTAMENTE A MOTOR 1/2 HP 60 CPS 115/230 V. A. 3500 R. P. M. CAPAZ DE VENCER UNA C.D.T. DE 28MTS CONTRA UN GASTO DE 1 LPS MODELO 5H418-5-S TIPO BOOSTER</t>
  </si>
  <si>
    <t>CEA-SC-EB-DT-AP-024</t>
  </si>
  <si>
    <t>BOMBA CENTRIFUGA HORIZONTAL MARCA FPS ACOPLADA DIRECTAMENTE A MOTOR40 HP3F  60 CPS 230/460 V. A. 3500 R. P. M. CAPAZ DE VENCER UNA C.D.T. DE 64MTS CONTRA UN GASTO DE 30 LPS MODELO 40HC4475</t>
  </si>
  <si>
    <t>CEA-SC-EB-DT-AP-025</t>
  </si>
  <si>
    <t>MOTOR SUMERGIBLE FRANKLIN 8" 75 HP 3F 460V SERIE: 2396038521</t>
  </si>
  <si>
    <t>CEA-SC-EB-DT-AP-026</t>
  </si>
  <si>
    <t>MOTOR SUMERGIBLE FRANKLIN DE 6" 10HP 230V 3F 14H19-18-06098A SERIE: 2366028120</t>
  </si>
  <si>
    <t>CEA-SC-EB-DT-AP-027</t>
  </si>
  <si>
    <t>MOTOR SUMERGIBLE FRANKLIN 6" 25 HP NUM. DE SERIE 2366158120 MODELO 14C19-04-06172A</t>
  </si>
  <si>
    <t>CEA-SC-EB-DT-AP-028</t>
  </si>
  <si>
    <t xml:space="preserve">MOTOR SUMERGIBLE FRANKLIN DE 8" 150 HP MODELO:2391068504 460 VOLTS SERIE: 14D19-24-080048 </t>
  </si>
  <si>
    <t>CEA-SC-EB-DT-AP-030</t>
  </si>
  <si>
    <t>MOTOR SUMERGIBLE FRANKLIN 8" 75 HP. 460 V 16D19-11-080548 SERIE: 2396038541</t>
  </si>
  <si>
    <t>CEA-SC-EB-DT-AP-031</t>
  </si>
  <si>
    <t>IMPULSOR FRANKLIN 305410925 HC 44C75</t>
  </si>
  <si>
    <t>CEA-SC-EB-DT-AP-032</t>
  </si>
  <si>
    <t>MOTOBOMBA AUTOCEBANTE 4X4 15HP</t>
  </si>
  <si>
    <t>CEA-SC-EB-DT-AP-033</t>
  </si>
  <si>
    <t>MOTOR SUMERGIBLE, MARCA: COVERCO, 10HP 230V 3F 6", SERIE: 10319976</t>
  </si>
  <si>
    <t>CEA-SC-EB-DT-AP-034</t>
  </si>
  <si>
    <t>MOTOR SUMERGIBLE, MARCA: ALTAMIRA, MODELO: MSR8 753460,75 HP 460V, SERIE: 316759</t>
  </si>
  <si>
    <t>CEA-SC-EB-DT-AP-035</t>
  </si>
  <si>
    <t>BOMBA SUMERGIBLE, MARCA: ALTAMIRA, MODELO: COBA4/75/3230, PARA 7.5HP 4", 3 FASES 230 VOLTS, SERIE: 21070054</t>
  </si>
  <si>
    <t>CEA-SC-EB-DT-AP-036</t>
  </si>
  <si>
    <t>BOMBA SUMERGIBLE, MARCA: AQUAPAK, MODELO: ROBUSTA2/75/3230, PARA 7.5HP 4", 3 FASES 230 VOLTS, SERIE: 21080704</t>
  </si>
  <si>
    <t>CEA-SC-EB-DT-AP-037</t>
  </si>
  <si>
    <t>BOMBA SUMERGIBLE, MARCA: ALTAMIRA, MODELO: COBA6, PARA LODOS, 30HP, DESCARGA 6", 3 FASES, 460 VOLTS, 1750 RPM, 60HZ, SERIE: 21100906.</t>
  </si>
  <si>
    <t>CEA-SC-EB-DT-AP-038</t>
  </si>
  <si>
    <t>BOMBA SUMERGIBLE PARA MARCA: PEDROLLO, MODELO: MC30/50 A, PARA LODOS, 3 HP, DESCARGA 6", 3 FASES, 220 VOLTS, 60HZ, SERIE: 21H125.</t>
  </si>
  <si>
    <t>CEA-SC-EB-DT-AP-039</t>
  </si>
  <si>
    <t>BOMBA AGUAS RESIDUALES, MARCA: ALTAMIRA, MODELO: COBA6/150/3230/ ACOPLADA A MOTOR SUMERGIBLE DE 15 HP, 3 FASES, 220 VOLTS. SERIE: 21090051.</t>
  </si>
  <si>
    <t>CEA-SC-EB-DT-AP-040</t>
  </si>
  <si>
    <t>BOMBA AGUAS RESIDUALES, MARCA: AQUAPAK, MODELO: ROBUSTA4/50/460, ACOPLADA A MOTOR SUMERGIBLE DE 5 HP, 3 FASES, 440 VOLTS. SERIE: 22091206.</t>
  </si>
  <si>
    <t>CEA-SC-EB-DT-AP-041</t>
  </si>
  <si>
    <t>BOMBA AGUAS RESIDUALES, MARCA: AQUAPAK, MODELO: ROBUSTA4/50/3230, DE 5 HP, 3 FASES, 230 VOLTS. PASO SOLIDOS 1,1/4" SERIE: 21101576.</t>
  </si>
  <si>
    <t>CEA-SC-EB-DT-AP-042</t>
  </si>
  <si>
    <t>ELECTROBOMBA SUMERGIBLE PARA AGUAS RESIDUALES MARCA PEDROLLO , C/IMPULSOR DE ACERO INOXIDABLE AISI 440C DE 3 HP, 1 FASE, 230 VOLTS, DESC EN 2 1/2" SERIE: 22AH243</t>
  </si>
  <si>
    <t>CEA-SC-EB-DT-AP-043</t>
  </si>
  <si>
    <t>BOMBA SUMERGIBLE TRITURADORA PARA AGUAS RESIDUALES, MARCA WDM, MODELO NG1.25-20-2-220-1, NUM. DE SERIE: M0923C120580</t>
  </si>
  <si>
    <t>CEA-SC-EC-DT-AP-007</t>
  </si>
  <si>
    <t xml:space="preserve">EQUIPO DE AIRE AUTONOMO DE BAJA PRESION, MARCA: NORTH, MODELO: 2216PSI, SERIE: 83201S, PARA UNA DURACION  DE 30 MINUTOS, ALARMA AUDIBLE,CILINDRO DE FIBRA, MASCARILLA, ARNES DE NYLON, ESTUCHE PLASTICO RIGIDO. </t>
  </si>
  <si>
    <t>CEA-SC-EC-DT-AP-008</t>
  </si>
  <si>
    <t>CLORADOR MARCA: WALLACE &amp; TIERNAN, MODELO: W3T99497, S10K PARA 200KG/DIA, SERIE: CF1824388-16</t>
  </si>
  <si>
    <t>CEA-SC-EC-DT-AP-009</t>
  </si>
  <si>
    <t>CLORADOR MARCA: WALLACE &amp; TIERNAN, MODELO: W3T99497, S10K PARA 200KG/DIA, SERIE: CF1825676-2</t>
  </si>
  <si>
    <t>CEA-SC-EC-DT-AP-010</t>
  </si>
  <si>
    <t>CLORADOR MARCA: WALLACE &amp; TIERNAN, MODELO: W3T99497, S10K PARA 200KG/DIA, SERIE: CF18254388-9</t>
  </si>
  <si>
    <t>CEA-SC-EC-DT-AP-011</t>
  </si>
  <si>
    <t>BOMBA DOSIFICADORA, MARCA: MAGDOS, MODELO: 10211439, 110-240 V AC 50/60 HZ 28 W, SERIE: 102M0020611</t>
  </si>
  <si>
    <t>CEA-SC-EC-DT-AP-012</t>
  </si>
  <si>
    <t>BOMBA DOSIFICADORA, MARCA: MAGDOS, MODELO: 10211439, 110-240 V AC 50/60 HZ 28 W, SERIE: 102M0020621</t>
  </si>
  <si>
    <t>CEA-SC-EC-DT-AP-013</t>
  </si>
  <si>
    <t>BOMBA DOSIFICADORA, MARCA: MAGDOS, MODELO: 10211439, 110-240 V AC 50/60 HZ 28 W, SERIE: 102M0016617</t>
  </si>
  <si>
    <t>CEA-SC-EC-DT-AP-014</t>
  </si>
  <si>
    <t>BOMBA DOSIFICADORA, MARCA: MAGDOS, MODELO: , 110-240 V AC 50/60 HZ 28 W, SERIE: 102M0016634</t>
  </si>
  <si>
    <t>KIT PARA CONTENEDOR GAS CLORO DE 907</t>
  </si>
  <si>
    <t>CEA-SC-EC-DT-AP-016</t>
  </si>
  <si>
    <t>BOMBA CAÑON, MARCA: ALTAPRES, MODELO: 08920TB, MULTIPASOS HORIZONTAL, 2HP 3F APG, SERIE: F08D32E1HB8G-1</t>
  </si>
  <si>
    <t>CEA-SC-EC-DT-AP-017</t>
  </si>
  <si>
    <t>BOMBA CAÑON, MARCA: ALTAPRES, MODELO: 08920TB, MULTIPASOS HORIZONTAL, 2HP 3F APG, SERIE: F08D32E1HB8G-2</t>
  </si>
  <si>
    <t>CEA-SC-EC-DT-AP-018</t>
  </si>
  <si>
    <t>BOMBA CAÑON, MARCA: ALTAPRES, MODELO: 08920TB, MULTIPASOS HORIZONTAL, 2HP 3F APG, SERIE: F08D32E1HB8G-3</t>
  </si>
  <si>
    <t>CEA-SC-EC-DT-AP-019</t>
  </si>
  <si>
    <t>DOSIFICADOR, MARCA: EVOQUA, MODELO: V10K 200 PPD, SERIE: CG1893343-2</t>
  </si>
  <si>
    <t>CEA-SC-EC-DT-AP-020</t>
  </si>
  <si>
    <t xml:space="preserve">INYECTOR DE VACIO DE 3/4" WALLACE &amp; TIERNAN, MARCA: EVOQUA, MODELO: NOZZLE 120, SERIE: 07-2022 </t>
  </si>
  <si>
    <t>CEA-SC-EC-DT-AP-021</t>
  </si>
  <si>
    <t>INYECTOR DE VACIO DE 3/4" WALLACE &amp; TIERNAN, MARCA: EVOQUA, MODELO: NOZZLE 120, SERIE: 34 2020</t>
  </si>
  <si>
    <t>CEA-SC-EC-DT-AP-022</t>
  </si>
  <si>
    <t>INYECTOR DE VACIO DE 3/4" WALLACE &amp; TIERNAN, MARCA: EVOQUA, MODELO: NOZZLE 120, SERIE: 9011</t>
  </si>
  <si>
    <t>CEA-SC-EE-DT-DIR-001</t>
  </si>
  <si>
    <t>ARRANCADOR ESTADO SOLIDO 100 HP, 400 VOLTS. 3 FASES, 4 HILOS,INCLUYE TUBERIA CON DUIT CABLE 2/0 CONECTORES</t>
  </si>
  <si>
    <t>CEA-SC-EE-DT-DIR-002</t>
  </si>
  <si>
    <t>CEA-SC-EE-DT-DIR-003</t>
  </si>
  <si>
    <t>ARRANCADOR ESTADO SOLIDO 100 HP, 400 VOLTS. 3 FASES, 4 HILOS,INCLUYE TUBERIA CON DUIT CABLE 3/0 CONECTORES</t>
  </si>
  <si>
    <t>CEA-SC-EE-DT-DIR-004</t>
  </si>
  <si>
    <t>ARRANCADOR ESTADO SOLIDO 100 HP, 400 VOLTS. 3 FASES, 4 HILOS,INCLUYE INTERRUPTOR TERMOGNETICO DE 3X100 AMP. TUBERIA CONDUIT CABLE CAL. 4,CONECTORES TODO LO NECESARIO</t>
  </si>
  <si>
    <t>CEA-SC-EE-DT-DIR-005</t>
  </si>
  <si>
    <t>TRANSFORMADOR 15 KVA</t>
  </si>
  <si>
    <t>CEA-SC-MED-DT-AP-001</t>
  </si>
  <si>
    <t>MACROMEDIDOR DE 6" SECTORIZACION MARINA REAL</t>
  </si>
  <si>
    <t>CEA-SC-MED-DT-AP-002</t>
  </si>
  <si>
    <t>MACROMEDIDOR DE 6" MARCA CONTAZARA SECTORIZACION VISTA MARINA</t>
  </si>
  <si>
    <t>CEA-SC-MED-DT-AP-003</t>
  </si>
  <si>
    <t>MACROMEDIDOR DE 6" MARCA CONTANZARA AGUA NEGRA CAMPO DE GOLF</t>
  </si>
  <si>
    <t>CEA-SC-MED-DT-AP-004</t>
  </si>
  <si>
    <t>MACROMEDIDOR DE 4" MARCA CONTANZARA PARA INSTALAR EN CAMPO DE GOLF</t>
  </si>
  <si>
    <t>CEA-SC-MED-DT-AP-005</t>
  </si>
  <si>
    <t>MACRO MEDIDOR DE 4" MARCA CONTANZARA PARA SECTORIZACION BAHIA ESMERALDA</t>
  </si>
  <si>
    <t>CEA-SC-ECM-DT-001</t>
  </si>
  <si>
    <t>EQUIPO DE TELEMETRIA CON LOS SIG. COMPONENTES:FIBER GLASS ENCLOSURE WITH POWER, PRESICION RESISTOR, EXTERNAL ANTENA AND CABLE, GRPS PACKET SERV., LIGHTHING ARRESTOR, AIID400GPRS TELEMETRY CONTROLLER</t>
  </si>
  <si>
    <t>CEA-VIC-EC-DC-SIS-002</t>
  </si>
  <si>
    <t xml:space="preserve">CPU  MARCA OMNIRED SERIE COEY-S0057 MONITOR MARCA ARGON SERIE:940510288 MCA. BTC MOD 8110M SERIE: E5XKBP10920U MOUSE MARCA BTC 0207004549 </t>
  </si>
  <si>
    <t>CEA-VIC-EC-DC-SIS-001</t>
  </si>
  <si>
    <t>CPU AMD DURON SIN  NUMERO SERIE ARMADA, MONITOR MARCA SAMSUNG SERIE:Q15HCET9070SF TECLADO, CHICONY SERIE: 112007108 MOUSE MARCA GENIUS SERIE:90444448</t>
  </si>
  <si>
    <t>CEA-VIC-EC-ADM-DIR-003</t>
  </si>
  <si>
    <t xml:space="preserve">CPU MARCA LANIX  SERIE:00508225317 MONITOR LANIX SERIE: 412MXGL1W279 </t>
  </si>
  <si>
    <t>CEA-VIC-EC-DC-SIS-004</t>
  </si>
  <si>
    <t>CPU MARCA LANIX  SERIE:00045-596-427229 MONITOR LANIX SERIE: 506LX1700350 TECLADO MARCA LANIX SERIE: 4K93802167B MOUSE MARCA LANIX SERIE:200507001776</t>
  </si>
  <si>
    <t>CEA-VIC-EC-DC-SIS-005</t>
  </si>
  <si>
    <t>IMPRESORA EPSON LX-300, SERIE: ETUY042380</t>
  </si>
  <si>
    <t>CEA-VIC-EC-DC-SIS-006</t>
  </si>
  <si>
    <t>CALCULADORA FAMA FTL-6012 12 DIG.</t>
  </si>
  <si>
    <t>CEA-VIC-EC-SIS-007</t>
  </si>
  <si>
    <t>IMPRESORA SAMSUNG MOD. ML-1610 CON CABLE USB</t>
  </si>
  <si>
    <t>CEA-VIC-EC-SIS-008</t>
  </si>
  <si>
    <t xml:space="preserve">CALCULADORA PRINTAFORM </t>
  </si>
  <si>
    <t>CEA-VIC-EC-DA-CON-001</t>
  </si>
  <si>
    <t>TELEFONO FAX MARCA PANASONIC MODELO KX-FT21A</t>
  </si>
  <si>
    <t>CEA-VIC-EC-ADM-DIR-002</t>
  </si>
  <si>
    <t>ESCRITORIO EJECUTIVO DE MADERA  COLOR CAFÉ CON 2 Y 3  CAJONES LATERALES</t>
  </si>
  <si>
    <t>CEA-VIC-EC-DA-CON-003</t>
  </si>
  <si>
    <t>ESCRITORIO EJECUTIVO DE FIERRO  COLOR AZUL CON  2  CAJONES LATERALES Y UNA GAVETA</t>
  </si>
  <si>
    <t>ESCRITORIO SECRETARIAL METALICO COLOR AZUL CON  3  CAJONES LATERALES Y UNA GAVETA</t>
  </si>
  <si>
    <t>ARCHIVERO METALICO DE 4 GAVETAS COLOR AZUL</t>
  </si>
  <si>
    <t>CEA-VIC-EC-DA-CON-006</t>
  </si>
  <si>
    <t xml:space="preserve">SILLA COLOR CAFÉ CON PATAS CROMADAS </t>
  </si>
  <si>
    <t>CEA-VIC-EC-ADM-DIR-007</t>
  </si>
  <si>
    <t>CEA-VIC-EC-DA-CON-008</t>
  </si>
  <si>
    <t>SILLA SECRETARIAL</t>
  </si>
  <si>
    <t>CEA-VIC-EC-DC-SIS-009</t>
  </si>
  <si>
    <t>MESA DE TRABAJO DE MADERA COLOR CAFÉ</t>
  </si>
  <si>
    <t>CEA-VIC-EC-DA-CON-010</t>
  </si>
  <si>
    <t>CHAROLA METALICA COLOR AZUL</t>
  </si>
  <si>
    <t>CEA-VIC-EC-DA-CON-011</t>
  </si>
  <si>
    <t>FAX  MARCA PANASONIC COLOR NEGRO</t>
  </si>
  <si>
    <t>CEA-VIC-EC-DA-CON-012</t>
  </si>
  <si>
    <t>AIRE ACONDICIONADO MARCA YORK 1 1/2 TON.</t>
  </si>
  <si>
    <t>CEA-VIC-EC-DA-CON-013</t>
  </si>
  <si>
    <t>AIRE ACONDICIONADO DE VENTANA MARCASUPERMATIC MODELO S-AA-170 DE UNA TONELADA</t>
  </si>
  <si>
    <t>CEA-VIC-EC-DA-CON-014</t>
  </si>
  <si>
    <t>RELOJ CHECADOR MODELO MARCA ARMADO TCX-11 SERIE: 3140081289</t>
  </si>
  <si>
    <t>CEA-VIC-EC-ADM-DIR-015</t>
  </si>
  <si>
    <t>MINISPLIT MIRAGE DE 1 TON. MODELO SM SERIE: 812507420/812503433 SERIE:812500720/812507502</t>
  </si>
  <si>
    <t>CEA-EMP-ADMN-EMP-COMP-0151</t>
  </si>
  <si>
    <t>MONITOR MARCA: PANACER, MODELO: LW1768A, SERIE: U421203270.</t>
  </si>
  <si>
    <t>CEA-EMP-PRSM-EMP-COMP-0157</t>
  </si>
  <si>
    <t>CPU MARCA: HP, MODELO: COMPAQ DC 7600, SERIE: MXJ6120C2P, MONITOR MARCA: HP, MODELO: L1506, SERIE: CNC5411YF3.</t>
  </si>
  <si>
    <t>CEA-EMP-PRSM-EMP-COMP-0158</t>
  </si>
  <si>
    <t>CPU, MARCA: HP,  MODELO: COMPAQ DC7600, SERIE: MXL6420C2D, INTEL INSIDE,  MONITOR, MARCA: HP, MODELO: L1506, SERIE: CN631P85X</t>
  </si>
  <si>
    <t>CEA-EMP-TECN-EMP-COMP-0159</t>
  </si>
  <si>
    <t>CPU, MARCA: HP, MODELO: COMPAQ DC7600, CELERON 1.8, SERIE: MXJ6420C2J, MONITOR, MARCA: HP, MODELO: L1506, SERIE: CNC631P8HL.</t>
  </si>
  <si>
    <t>CEA-EMP-COML-EMP-COMP-0160</t>
  </si>
  <si>
    <t>CPU MARCA: HP, MODELO: COMPAQ DC 7600, NO. DE SERIE: MXJ6420C2B, MINTEL INSIDE, MONITOR: MARCA: HP, MODELO: L1506, SERIE: CNC5411YDB.</t>
  </si>
  <si>
    <t>CEA-EMP-COML-EMP-COMP-0161</t>
  </si>
  <si>
    <t xml:space="preserve">CPU MARCA: LANIX TITAN, MODELO: 2700 786N, SERIE: 612343122, MONITOR: LANIX, MODELO: 786N, SERIE: WN1L0690001085, 17". 
</t>
  </si>
  <si>
    <t>CEA-EMP-COML-EMP-COMP-0168</t>
  </si>
  <si>
    <t>TICKETERA MARCA: EPSON, MODELO: M129H,  TMT881V-101, IMPRESORA TERMICA, SERIE: J4PG315625</t>
  </si>
  <si>
    <t>CEA-EMP-PRSM-EMP-COMP-0572</t>
  </si>
  <si>
    <t>DISCOS DUROS, MARCA: HP, MODELO: BF0728A4CB, SERIE: SGD547G21F</t>
  </si>
  <si>
    <t>CEA-EMP-PRSM-EMP-COMP-0572-1</t>
  </si>
  <si>
    <t>DISCOS DUROS, MARCA: HP, MODELO: BF0728A4CB, SERIE: SGD547G216</t>
  </si>
  <si>
    <t>CEA-EMP-COML-EMP-COMP-0665</t>
  </si>
  <si>
    <t>CPU MARCA: HP, MODELO: COMPAQ  D220MT, SERIE: MXD4310830, MONITOR: MARCA: LG, MODELO: W193451, SERIE: 002UXHB3G025</t>
  </si>
  <si>
    <t>CEA-EMP-TECN-EMP-COMP-0666</t>
  </si>
  <si>
    <t>CPU MARCA: HP, MODELO: COMPAQ D220 MT, PROC. 2.8 GHZ D.D. RAM 256 NS SERIE: MXD431042L, MONITOR MARCA: LANIX, MODELO: 57500 SERIE: CNC4260CNS</t>
  </si>
  <si>
    <t>CEA-EMP-COML-EMP-COMP-0667</t>
  </si>
  <si>
    <t>CPU MARCA: LANIX, MODELO: CORP 3140, SERIE: 00508225305,  MONITOR MARCA: LANIX, MODELO: L-N7105, SERIE: 506LX1700358.</t>
  </si>
  <si>
    <t>CEA-EMP-COML-EMP-COMP-0563</t>
  </si>
  <si>
    <t>CPU MARCA: LANIX, MODELO: MINI TORRE 4010, SERIE: 10068687, MICROPROCESADOR INTEL CELERON, MONITOR MARCA: ACER, MODELO: P166HQL, SERIE: MMLTJAA00250700B028501, PANTALLA 19"</t>
  </si>
  <si>
    <t>CEA-EMP-COML-EMP-COMP-0561</t>
  </si>
  <si>
    <t>TICKETERA MARCA: EPSON, MODELO: M129H, IMPRESORA TERMICA DE TICKET, TM-T88IV-084, SERIE: J4MG037515</t>
  </si>
  <si>
    <t>CEA-EMP-ADMN-EMP-COMP-0562</t>
  </si>
  <si>
    <t xml:space="preserve">CPU MARCA: INTEL DUAL, MODELO: CORE E5300 2.60GHZ. 1GB RAM, SERIE: 2340681005132, MONITOR MARCA: BENQ, MODELO: ET-0025-TA, SERIE: ETGB910134019, 18.5", </t>
  </si>
  <si>
    <t>CEA-EMP-COML-EMP-COMP-0564</t>
  </si>
  <si>
    <t>CHECADOR DIGITAL, MARCA: NATIONAL SOFT, MARCA: ON THE MINUTE, SERIE: 3483030260179</t>
  </si>
  <si>
    <t>CEA-EMP-COML-EMP-COMP-0564-1</t>
  </si>
  <si>
    <t>CAJA ACRILICA PARA CHECADOR</t>
  </si>
  <si>
    <t>CEA-EMP-COML-EMP-COMP-0564-2</t>
  </si>
  <si>
    <t>CHECADOR DIGITAL, MARCA: NATIONAL SOFT, MARCA: ON THE MINUTE, SERIE: 3480581300063</t>
  </si>
  <si>
    <t>CEA-EMP-COML-EMP-COMP-0564-3</t>
  </si>
  <si>
    <t>CEA-EMP-COML-EMP-COMP-0663</t>
  </si>
  <si>
    <t>CPU MARCA:  ACER VERITON, MODELO: VM490G, PROCESADOR INTEL, SERIE: PSVAPO30040330A43D2700, MONITOR MARCA: HP, MODELO: L1506, SERIE: CNC631P81X</t>
  </si>
  <si>
    <t>CEA-EMP-COML-EMP-COMP-0565</t>
  </si>
  <si>
    <t>MONITOR MARCA: ACER MODELO: S211HL, SERIE: ETLP30D002044022BA8510</t>
  </si>
  <si>
    <t>CEA-EMP-COML-EMP-COMP-0675</t>
  </si>
  <si>
    <t>NO-BRAKE, MARCA: APC, MODELO: BR1000300G, SERIE: 3B1047X09801</t>
  </si>
  <si>
    <t>CEA-EMP-COML-EMP-COMP-0676</t>
  </si>
  <si>
    <t>MONITOR MARCA: COMPAQ, MODELO:S 5500, SERIE: 243BM28SD680</t>
  </si>
  <si>
    <t>CEA-EMP-COML-EMP-COMP-0677</t>
  </si>
  <si>
    <t xml:space="preserve">IMPRESORA, MARCA:  SAMSUNG, MODELO: XPRESS M2070W, 21 PPM, MULTIFUNCIONAL , NEGRO, SERIE: 06YCB8KGACOO6WX </t>
  </si>
  <si>
    <t>CEA-EMP-COML-EMP-COMP-0678</t>
  </si>
  <si>
    <t>PLOOTER MARCA: HP, MODELO: DESINGJET 800 SERIE: SG56HB201X, IMPRESORA DE GRAN FORMATO, CARRETE 42"</t>
  </si>
  <si>
    <t xml:space="preserve">CEA-EMP-COML-EMP-COMP-0679   </t>
  </si>
  <si>
    <t xml:space="preserve">TICKETERA MARCA: EPSON, MODELO: TMT88V-084, IMPRESORA TERMICA, SERIAL/USB 300M/S 3" 810M, SERIE: MXDF717386 </t>
  </si>
  <si>
    <t>CEA-EMP-COML-EMP-COMP-0679-01</t>
  </si>
  <si>
    <t>TICKETERA MARCA: EPSON, MODELO: TMT88V-084, IMPRESORA TERMICA, SERIAL/USB 300M/S 3" 810M, SERIE: MXDF704068</t>
  </si>
  <si>
    <t>CEA-EMP-COML-EMP-COMP-0680</t>
  </si>
  <si>
    <t>MONITOR MARCA: VORAGO, MODELO: W18-200, SERIE: 5660815182854,  18.5 INCH</t>
  </si>
  <si>
    <t>CEA-EMP-COML-EMP-COMP-0681</t>
  </si>
  <si>
    <t>CPU MARCA HP, MODELO: PRODESK 600 G2, SERIE: MXL6201W1Q, MONITOR MARCA: HP, MODELO: V193B, SERIE: 3CQ60410DM</t>
  </si>
  <si>
    <t>CEA-EMP-COML-EMP-COMP-0682</t>
  </si>
  <si>
    <t>CPU MARCA HP, MODELO: PRODESK 600 G2, SERIE: MXL6201W1R, MONITOR MARCA: HP, MODELO: V193B, SERIE: 3CQ60410F5</t>
  </si>
  <si>
    <t>CEA-EMP-COML-EMP-COMP-0683</t>
  </si>
  <si>
    <t>CPU MARCA HP, MODELO: PRODESK 600 G2, SERIE: MXL6201W23, MONITOR MARCA: HP, MODELO: V193B, SERIE: 3CQ60410FF</t>
  </si>
  <si>
    <t>CEA-EMP-COML-EMP-COMP-0684</t>
  </si>
  <si>
    <t>CPU MARCA HP, MODELO: PRODESK 600 G2, SERIE: MXL6201W1W, MONITOR MARCA: HP, MODELO: V193B, SERIE: 3CQ60410FM</t>
  </si>
  <si>
    <t>CEA-EMP-COML-EMP-COMP-0686</t>
  </si>
  <si>
    <t>CPU  MARCA:HP, MODELO: ALL-IN-ONE-24-G216LA, DESKTOP,CORE13/ 6GB/1TB/24, SERIE: 8CC7290J7Q, MONITOR TODO EN UNO</t>
  </si>
  <si>
    <t>CEA-EMP-COML-EMP-COMP-0687</t>
  </si>
  <si>
    <t>CPU  MARCA:HP, MODELO: ALL-IN-ONE-24-G216LA, DESKTOP,CORE13/ 6GB/1TB/24, SERIE: 8CC7290J2V, MONITOR TODO EN UNO</t>
  </si>
  <si>
    <t>CEA-EMP-COML-EMP-COMP-0688</t>
  </si>
  <si>
    <t>SCANNER MARCA BROTHER, MODELO: DS-720D , SERIE: U63567H7U112863</t>
  </si>
  <si>
    <t>CEA-EMP-COML-EMP-COMP-0689</t>
  </si>
  <si>
    <t>IMPRESORA, MARCA: EPSON, MODELO: L575, MULTIFUNCIONAL, SERIE: W98Y038688</t>
  </si>
  <si>
    <t>CEA-EMP-COML-EMP-COMP-0690</t>
  </si>
  <si>
    <t>CPU, COMPUTADORA ALL IN ONE, MARCA: HP, MODELO: DESKTOP-20-r-126la, SERIE: 4CI535105Y</t>
  </si>
  <si>
    <t>CEA-EMP-COML-EMP-COMP-0691</t>
  </si>
  <si>
    <t>CPU, MARCA: HP, MODELO: PROMINI 260 G9 CI3-1215U, VPN: 6J5A4L # ABM SKU: C3700NZ, SERIE: 8CC25119S6</t>
  </si>
  <si>
    <t>CEA-EMP-COML-EMP-COMP-0692</t>
  </si>
  <si>
    <t>CPU, MARCA: HP, MODELO: PROMINI 260 G9 CI3-1215U, VPN: 6J5A4L # ABM SKU: C3700NZ, SERIE: 8CC25119Z4</t>
  </si>
  <si>
    <t>CEA-EMP-COML-EMP-COMP-0693</t>
  </si>
  <si>
    <t>CPU, MARCA: HP, MODELO: PROMINI 260 G9 CI3-1215U, VPN: 6J5A4L # ABM SKU: C3700NZ, SERIE: 8CC25119Z0</t>
  </si>
  <si>
    <t>CEA-EMP-COML-EMP-COMP-0694</t>
  </si>
  <si>
    <t>CPU, MARCA: HP, MODELO: PROMINI 260 G9 CI3-1215U, VPN: 6J5A4L # ABM SKU: C3700NZ, SERIE: 8CC2301FL0</t>
  </si>
  <si>
    <t>CEA-EMP-COML-EMP-COMP-0695</t>
  </si>
  <si>
    <t>CPU, MARCA: HP, MODELO: PROMINI 260 G9 CI3-1215U, VPN: 6J5A4L # ABM SKU: C3700NZ, SERIE: 8CC25119V1</t>
  </si>
  <si>
    <t>CEA-EMP-COML-EMP-COMP-0696</t>
  </si>
  <si>
    <t>MONITOR, MARCA: LG, 21, 5IN,1920 X 1080, VPN: 22MP410, SKU: 56301F5, SERIE: 208NTUW98246</t>
  </si>
  <si>
    <t>CEA-EMP-COML-EMP-COMP-0697</t>
  </si>
  <si>
    <t>MONITOR, MARCA: LG, 21, 5IN,1920 X 1080, VPN: 22MP410, SKU: 56301F5, SERIE: 208NTTQE5177</t>
  </si>
  <si>
    <t>CEA-EMP-COML-EMP-COMP-0698</t>
  </si>
  <si>
    <t>MONITOR, MARCA: LG, 21, 5IN,1920 X 1080, VPN: 22MP410, SKU: 56301F5, SERIE: 208NTTQ98217</t>
  </si>
  <si>
    <t>CEA-EMP-COML-EMP-COMP-0699</t>
  </si>
  <si>
    <t>MONITOR, MARCA: LG, 21, 5IN,1920 X 1080, VPN: 22MP410, SKU: 56301F5, SERIE: 207NTHMC4193</t>
  </si>
  <si>
    <t>CEA-EMP-COML-EMP-COMP-0700</t>
  </si>
  <si>
    <t>MONITOR, MARCA: LG, 21, 5IN,1920 X 1080, VPN: 22MP410, SKU: 56301F5, SERIE: 208NTWGE5161</t>
  </si>
  <si>
    <t>CEA-EMP-COML-EMP-COMP-0701</t>
  </si>
  <si>
    <t>CPU, MARCA: DELL, VOSTRO D17S, INTEL 12VA, GENERACION 13-12100.
No. ID 24908727063</t>
  </si>
  <si>
    <t>CEA-EMP-COML-EMP-COMP-0702</t>
  </si>
  <si>
    <t>CPU, MARCA: DELL, VOSTRO D17S, INTEL 12VA, GENERACION 13-12100.
No. ID 25691428119.</t>
  </si>
  <si>
    <t>CEA-EMP-COML-EMP-COMP-0703</t>
  </si>
  <si>
    <t>CPU, MARCA: DELL, VOSTRO D17S, INTEL 12VA, GENERACION 13-12100.
No. ID 18438846231.</t>
  </si>
  <si>
    <t>CEA-EMP-COML-EMP-COMP-0704</t>
  </si>
  <si>
    <t>CPU, MARCA: DELL, VOSTRO D17S, INTEL 12VA, GENERACION 13-12100.
No. ID 29322757911.</t>
  </si>
  <si>
    <t>CEA-EMP-COML-EMP-COMP-0705</t>
  </si>
  <si>
    <t>CPU, MARCA: DELL, VOSTRO D17S, INTEL 12VA, GENERACION 13-12100.
No. ID No.ID 5438618391.</t>
  </si>
  <si>
    <t>CEA-EMP-COML-EMP-COMP-0706</t>
  </si>
  <si>
    <t>MONITOR, MARCA DELL LED 19.5” COLOR NEGRO, No.ID 34530079071</t>
  </si>
  <si>
    <t>CEA-EMP-COML-EMP-COMP-0707</t>
  </si>
  <si>
    <t>MONITOR, MARCA DELL LED 19.5” COLOR NEGRO, No.ID 29266722399.</t>
  </si>
  <si>
    <t>CEA-EMP-COML-EMP-COMP-0708</t>
  </si>
  <si>
    <t>MONITOR, MARCA DELL LED 19.5” COLOR NEGRO, No.ID 33859818975</t>
  </si>
  <si>
    <t>CEA-EMP-COML-EMP-COMP-0709</t>
  </si>
  <si>
    <t>MONITOR, MARCA DELL LED 19.5” COLOR NEGRO, No.ID 10602269535</t>
  </si>
  <si>
    <t>CEA-EMP-COML-EMP-COMP-0710</t>
  </si>
  <si>
    <t>MONITOR, MARCA DELL LED 19.5” COLOR NEGRO, No.ID 3022069215.</t>
  </si>
  <si>
    <t>CEA-EMP-COML-EMP-COMP-0711</t>
  </si>
  <si>
    <t>IMPRESORA TERMICA DIRECTA ZEBRA, ZQ630, MONOCROMO, 230DPI, SERIE: XXRBJ221500828</t>
  </si>
  <si>
    <t>CEA-EMP-COML-EMP-COMP-0712</t>
  </si>
  <si>
    <t>IMPRESORA TERMICA DIRECTA ZEBRA, ZQ630, MONOCROMO, 230DPI, SERIE: XXRBJ221500827</t>
  </si>
  <si>
    <t>CEA-EMP-COML-EMP-COMP-0713</t>
  </si>
  <si>
    <t>IMPRESORA TERMICA DIRECTA ZEBRA, ZQ630, MONOCROMO, 230DPI, SERIE: XXRBJ221500823</t>
  </si>
  <si>
    <t>CEA-EMP-COML-EMP-COMP-0714</t>
  </si>
  <si>
    <t>IMPRESORA TERMICA DIRECTA ZEBRA, ZQ630, MONOCROMO, 230DPI, SERIE: XXRBJ221500640</t>
  </si>
  <si>
    <t>CEA-EMP-COML-EMP-COMP-0715</t>
  </si>
  <si>
    <t>SERVIDOR MARCA DELL, MODELO POWEREDGE T350, CON PROCESADOR INTEL XEON E-2356G 3.2GHZ, SERIE: GG8NCX3</t>
  </si>
  <si>
    <t>CEA-EMP-COML-EMP-COMP-0716</t>
  </si>
  <si>
    <t>IMPRESORA PLOTTER MARCA HP, MODELO DESINGNJET T650 36, SERIE: CN3434M055.</t>
  </si>
  <si>
    <t>CEA-EMP-COML-EMP-COMP-0717</t>
  </si>
  <si>
    <t>IMPRESORA, MARCA HP, MODELO DESKJET INK ADVANTAGE 2374, COLOR BLANCO, CON ESCANNER, SERIE: CN340421QS.</t>
  </si>
  <si>
    <t>CEA-EMP-PRSM-EMP-MOBI-0403</t>
  </si>
  <si>
    <t>ESCRITORIO GEBESA 1.52 SUB-EJECUTIVO</t>
  </si>
  <si>
    <t>CEA-EMP-MYEO-DA-CONT-002</t>
  </si>
  <si>
    <t>ARCHIVERO MELAMINA 2 GAVETAS MUNHER</t>
  </si>
  <si>
    <t>CEA-EMP-MYEO-CONT-008</t>
  </si>
  <si>
    <t xml:space="preserve">ESCRITORIO VERTICAL PARA COMPUTADORA, MARCA: PRINTAFORM, MODELO: S-108P </t>
  </si>
  <si>
    <t>CEA-EMP-COML-EMP-MOBI-0269 -A</t>
  </si>
  <si>
    <t>SILLA VISITANTES REQUIEZ RE-1035, RE-1036</t>
  </si>
  <si>
    <t>CEA-EMP-COML-EMP-MOBI-0269 -B</t>
  </si>
  <si>
    <t>CEA-EMP-MYEO-DC-SIST-021</t>
  </si>
  <si>
    <t>CALCULADORA MARCA: PRINTAFORM, MODELO: 1422, SERIE: 6C02307</t>
  </si>
  <si>
    <t>CEA-EMP-MYEO-DC-SIST-022</t>
  </si>
  <si>
    <t>CALCULADORA MARCA: PRINTAFORM, MODELO: 1422, SERIE: 6C02308</t>
  </si>
  <si>
    <t>CEA-EMP-MYEO-DC-SIST-023</t>
  </si>
  <si>
    <t>CALCULADORA MARCA: PRINTAFORM, MODELO: 1422, SERIE: 6C02309</t>
  </si>
  <si>
    <t>CEA-EMP-MYEO-DA-CONT-028</t>
  </si>
  <si>
    <t>ESCRITORIO SECRETARIAL L/T 1.20 X 60</t>
  </si>
  <si>
    <t>CEA-EMP-MYEO-DT-031</t>
  </si>
  <si>
    <t>ESCRITORIO SECRETARIAL L/T 1.20X60</t>
  </si>
  <si>
    <t>CEA-EMP-MYEO-DT-SEC-033</t>
  </si>
  <si>
    <t>CEA-EMP-MYEO-DC-CAJ-038</t>
  </si>
  <si>
    <t>ARCHIVERO MELAMINA 3 GAVETAS</t>
  </si>
  <si>
    <t>CEA-EMP-COML-EMP-MOBI-0218-A</t>
  </si>
  <si>
    <t>SILLA TAPIZADA VISITANTE, AZUL</t>
  </si>
  <si>
    <t>CEA-EMP-COML-EMP-MOBI-0218-B</t>
  </si>
  <si>
    <t>CEA-EMP-COML-EMP-MOBI-0218-C</t>
  </si>
  <si>
    <t>CEA-EMP-COML-EMP-MOBI-0218-D</t>
  </si>
  <si>
    <t>CEA-EMP-MYEO-DA-ATU-050</t>
  </si>
  <si>
    <t>ESCRITORIO SECRETARIAL RECONST.</t>
  </si>
  <si>
    <t>CEA-EMP-MYEO-DC-CAJ-051</t>
  </si>
  <si>
    <t>CEA-EMP-COML-EMP-MOBI-0221</t>
  </si>
  <si>
    <t>ARCHIVERO 2-GAVETAS T/OFICIO</t>
  </si>
  <si>
    <t>CEA-EMP-COML-EMP-MOBI-0238</t>
  </si>
  <si>
    <t>MESA GAVETA MULTIUSOS</t>
  </si>
  <si>
    <t>CEA-EMP-COML-EMP-MOBI-0240</t>
  </si>
  <si>
    <t>CREDENZA METALICA DE 1.80 MTS</t>
  </si>
  <si>
    <t>CEA-EMP-MYEO-FS-043</t>
  </si>
  <si>
    <t>SILLA  VISITANTE NUEVA TAPIZADA EN PLIANA 100%</t>
  </si>
  <si>
    <t>CEA-EMP-PRSM-EMP-MOBI-0295</t>
  </si>
  <si>
    <t>CHAROLA PAPELERA DVC 2 NIVELES</t>
  </si>
  <si>
    <t>CEA-EMP-COML-EMP-MOBI-0297</t>
  </si>
  <si>
    <t>ANAQUEL FIERO DE 5 ENTREPAÑOS</t>
  </si>
  <si>
    <t>CEA-EMP-COML-EMP-MOBI-0297-1</t>
  </si>
  <si>
    <t>CEA-EMP-MYEO-DT-SEC-068</t>
  </si>
  <si>
    <t xml:space="preserve">CHAROLA PAPELERA DVD EN MADERA 2 NIVELES </t>
  </si>
  <si>
    <t>CEA-EMP-MYEO-FS-056</t>
  </si>
  <si>
    <t>GUILLOTINA TRIMER 38*38</t>
  </si>
  <si>
    <t>CEA-EMP-COML-EMP-MOBI-0243</t>
  </si>
  <si>
    <t>GABINETE ATX, MELAMINA Y CROMADO 60 X 40</t>
  </si>
  <si>
    <t>CEA-EMP-MYEO-DC-CAJ-073</t>
  </si>
  <si>
    <t xml:space="preserve">ARCHIVERO MELAMINA 2 GAVETAS </t>
  </si>
  <si>
    <t>CEA-EMP-MYEO-DT-DIRTEC-074</t>
  </si>
  <si>
    <t>ARCHIVERO MELAMINA DE 2 GAVETAS</t>
  </si>
  <si>
    <t>CEA-EMP-PRSM-EMP-MOBI-0270</t>
  </si>
  <si>
    <t>MESA DE MADERA PRINTAFORM 60 X 40</t>
  </si>
  <si>
    <t>CEA-EMP-COML-EMP-MOBI-0274</t>
  </si>
  <si>
    <t>MONITOR Acer DE 15.6"</t>
  </si>
  <si>
    <t>CEA-EMP-MYEO-DC-SIST-089</t>
  </si>
  <si>
    <t>CEA-EMP-COML-EMP-MOBI-0279</t>
  </si>
  <si>
    <t>CEA-EMP-COML-EMP-MOBI-0280</t>
  </si>
  <si>
    <t xml:space="preserve">SILLA SECRETARIAL </t>
  </si>
  <si>
    <t>CEA-EMP-COML-EMP-MOBI-0285</t>
  </si>
  <si>
    <t>FAX PANASONIC KX-FHD332  S:4ABWA039156</t>
  </si>
  <si>
    <t>CEA-EMP-COML-EMP-MOBI-0316</t>
  </si>
  <si>
    <t>ESCRITORIO MADERA MUNHER</t>
  </si>
  <si>
    <t>CEA-EMP-MYEO-DT-SEC-105</t>
  </si>
  <si>
    <t>LOCKER P/PAPELERIA</t>
  </si>
  <si>
    <t>CEA-EMP-MYEO-DC-CONT-103</t>
  </si>
  <si>
    <t xml:space="preserve">GABINETE </t>
  </si>
  <si>
    <t>CEA-EMP-ADMN-EMP-MOBI-0307</t>
  </si>
  <si>
    <t>SILLON PIEL COLOR NEGRO</t>
  </si>
  <si>
    <t>CEA-EMP-MYEO-DC-CAJ-131</t>
  </si>
  <si>
    <t>SUMADORA CASIO HEAVY DUTY DR-210  12 DIG.</t>
  </si>
  <si>
    <t>CEA-EMP-COML-EMP-MOBI-0292</t>
  </si>
  <si>
    <t>CEA-EMP-PRSM-EMP-MOBI-1130</t>
  </si>
  <si>
    <t>MINI SPLIT  MIRAGE, MODELO:1.5 TON. MODLO: SMEC1821W, 1.5 TONELADA, SERIE: SMEC1821W803700378</t>
  </si>
  <si>
    <t>CEA-EMP-COML-EMP-MOBI-1175</t>
  </si>
  <si>
    <t xml:space="preserve">ARCHIVERO MELAMINA CON 4 GAVETAS </t>
  </si>
  <si>
    <t>CEA-EMP-COML-EMP-MOBI-1176</t>
  </si>
  <si>
    <t>LIBRERO 1.20 X 1.30 CON ENTREPAÑOS</t>
  </si>
  <si>
    <t>CEA-EMP-COML-EMP-MOBI-1177</t>
  </si>
  <si>
    <t>PENINSULA 1.60 MTS CON LATERAL,PEDESTAL, PORTA MESA PARA CAFÉ</t>
  </si>
  <si>
    <t>CEA-EMP-COML-EMP-MOBI-1178</t>
  </si>
  <si>
    <t>PENINSULA 1.60 MTS CON LATERAL, PEDESTAL, PORTA MESA PARA CAFÉ</t>
  </si>
  <si>
    <t>CEA-EMP-COML-EMP-MOBI-1179</t>
  </si>
  <si>
    <t>CEA-EMP-COML-EMP-MOBI- 1180</t>
  </si>
  <si>
    <t>CEA-EMP-COML-EMP-MOBI-1181</t>
  </si>
  <si>
    <t>CEA-EMP-COML-EMP-MOBI-1182</t>
  </si>
  <si>
    <t>CEA-EMP-COML-EMP-MOBI-1183</t>
  </si>
  <si>
    <t>CEA-EMP-COML-EMP-MOBI-1184</t>
  </si>
  <si>
    <t>MESA PARA CAFÉ</t>
  </si>
  <si>
    <t>CEA-EMP-COML-EMP-MOBI-1185</t>
  </si>
  <si>
    <t>CEA-EMP-COML-EMP-MOBI-1186</t>
  </si>
  <si>
    <t>GABINETE CON PUERTAS PARA MESA DE CAFÉ</t>
  </si>
  <si>
    <t>CEA-EMP-COML-EMP-MOBI-1187</t>
  </si>
  <si>
    <t>SILLA SECRETARIAL EN COLOR NARANJA R. REC</t>
  </si>
  <si>
    <t>CEA-EMP-COML-EMP-MOBI-1190</t>
  </si>
  <si>
    <t>SILLA SECRETARIAL EN COLOR NARANJA  R. REC</t>
  </si>
  <si>
    <t>CEA-EMP-COML-EMP-MOBI-1191</t>
  </si>
  <si>
    <t>CEA-EMP-COML-EMP-MOBI-1194</t>
  </si>
  <si>
    <t xml:space="preserve">ARCHIVERO MELAMINA CON 4 GAVETAS ATN CLIENTES </t>
  </si>
  <si>
    <t>CEA-EMP-COML-EMP-MOBI-1195</t>
  </si>
  <si>
    <t>CEA-EMP-COML-EMP-MOBI-1196</t>
  </si>
  <si>
    <t>CEA-EMP-COML-EMP-MOBI-1197</t>
  </si>
  <si>
    <t>PENINSULA 1.90 CON LATERAL Y PED. TRIPLE</t>
  </si>
  <si>
    <t>CEA-EMP-COML-EMP-MOBI-1198</t>
  </si>
  <si>
    <t>PENINSULA 1.40 CON LATERAL Y PED. TRIPLE</t>
  </si>
  <si>
    <t>CEA-EMP-COML-EMP-MOBI-1199</t>
  </si>
  <si>
    <t>MOD. RECEP.  2.40 C/2 PEDESTAL, CAJ. Y LATERAL</t>
  </si>
  <si>
    <t>CEA-EMP-COML-EMP-MOBI-1200</t>
  </si>
  <si>
    <t>ESCRITORIO 1.20 X .60 C/CAJ. COLGANTE</t>
  </si>
  <si>
    <t>CEA-EMP-COML-EMP-MOBI-1201</t>
  </si>
  <si>
    <t>ESCRITORIO C/CAJON COLGANTE Y FALDON</t>
  </si>
  <si>
    <t>CEA-EMP-COML-EMP-MOBI-1202</t>
  </si>
  <si>
    <t>ESCRITORIO C/CAJ. COLGANTE Y FALDON</t>
  </si>
  <si>
    <t>CEA-EMP-COML-EMP-MOBI-1203</t>
  </si>
  <si>
    <t>MAMPARA ADICIONAL DE 1.10 X .60</t>
  </si>
  <si>
    <t>CEA-EMP-COML-EMP-MOBI-1204</t>
  </si>
  <si>
    <t>CEA-EMP-COML-EMP-MOBI-1205</t>
  </si>
  <si>
    <t>CEA-EMP-COML-EMP-MOBI-1206</t>
  </si>
  <si>
    <t>CEA-EMP-COML-EMP-MOBI-1207</t>
  </si>
  <si>
    <t>CEA-EMP-COML-EMP-MOBI-1208</t>
  </si>
  <si>
    <t>CEA-EMP-COML-EMP-MOBI-1209</t>
  </si>
  <si>
    <t>CEA-EMP-COML-EMP-MOBI-1210</t>
  </si>
  <si>
    <t>CEA-EMP-COML-EMP-MOBI-1213</t>
  </si>
  <si>
    <t>MINI SPLIT MARCA: ECONAIRE, MODELO: ECO-12C, 1 TONELADA, SERIE: C101190890210409120088</t>
  </si>
  <si>
    <t>CEA-EMP-COML-EMP-MOBI-1214</t>
  </si>
  <si>
    <t>MINI SPLIT MARCA: ECONAIRE, MODELO: ECO-12C, 1 TONELADA, SERIE: C101190890210409120477</t>
  </si>
  <si>
    <t>CEA-EMP-COML-EMP-MOBI-1216</t>
  </si>
  <si>
    <t>MINI SPLIT MARCA: MIRAGE,  MODELO EXF121D, 1 TONELADA, SERIE: EXF121D8011403443</t>
  </si>
  <si>
    <t>CEA-EMP-COML-EMP-MOBI-1218</t>
  </si>
  <si>
    <t>MINI SPLIT, MARCA: LG, MODELO: SJ242CD, 1 TR S.F PURE 220 V, 111TAWM10977,  SERIE: 003KAYP0066</t>
  </si>
  <si>
    <t>CEA-EMP-COML-EMP-MOBI-1219</t>
  </si>
  <si>
    <t>AIRE ACONDICIONADO DE VENTANA, MARCA: MIRAGE, MODELO: MACC2421J, ABSOLUT EFFICIENT, 2 TONELADAS, SERIE: MACC2421J8051200063</t>
  </si>
  <si>
    <t>CEA-EMP-COML-EMP-MOBI-1222</t>
  </si>
  <si>
    <t>BOCINA, BAFLE, MODELO: OHMS, SERIE: SC1560, BOCINA INTEGRADA 15"</t>
  </si>
  <si>
    <t>CEA-EMP-COML-EMP-MOBI-1223</t>
  </si>
  <si>
    <t>MINI SPLIT MARCA: MIRAGE X2, MODELO: EXF121F, 1 TONELADA, SERIE: EXF121F7021702874</t>
  </si>
  <si>
    <t>CEA-EMP-COML-EMP-MOBI-1224</t>
  </si>
  <si>
    <t>MINI SPLIT MARCA: MIRAGE X2, MODELO: EXF261F, 2.0 TON SOLO FRIO 10.5 SEER, SERIE:EXF2617041703359</t>
  </si>
  <si>
    <t>CEA-EMP-COML-EMP-MOBI-1225</t>
  </si>
  <si>
    <t>MINI SPLIT MARCA: MIRAGE X2, MODELO: EXF181F, 1.50 TON SOLO FRIO,SERIE:EXF181F7041703506</t>
  </si>
  <si>
    <t>CEA-EMP-COML-EMP-MOBI-1226</t>
  </si>
  <si>
    <t>ARCHIVERO METALICO, MEDIDAS DE 0.45X0.72X.063CM, DOS GAVETAS, COLOR ARENA</t>
  </si>
  <si>
    <t>CEA-EMP-COML-EMP-MOBI-1227</t>
  </si>
  <si>
    <t>CEA-EMP-COML-EMP-MOBI-1228</t>
  </si>
  <si>
    <t>AIRE DE VENTANA , MARCA: MIRAGE  BLU, MODELO: MACC2421N, SERIE: 804162185W</t>
  </si>
  <si>
    <t>CEA-EMP-COML-EMP-MOBI-1229</t>
  </si>
  <si>
    <t>MINI SPLIT MARCA MIRAGE, MODELO ELC181H S:ELC181H44042103648</t>
  </si>
  <si>
    <t>CEA-EMP-COML-EMP-MOBI-1230</t>
  </si>
  <si>
    <t>SILLON DE VISITA, BASE DE ACERO TUBULAR TIPO TRINEO, COLOR NEGRO. MARCA REQUIEZ MODELO. RE-1221</t>
  </si>
  <si>
    <t>CEA-EMP-COML-EMP-MOBI-1231</t>
  </si>
  <si>
    <t>CEA-EMP-COML-EMP-MOBI-1232</t>
  </si>
  <si>
    <t>CEA-EMP-COML-EMP-MOBI-1233</t>
  </si>
  <si>
    <t>ARCHIVERO LB 4 GAVETAS MOD. 398</t>
  </si>
  <si>
    <t>CEA-EMP-COML-EMP-MOBI-1234</t>
  </si>
  <si>
    <t>SILLA DE TRABAJO EN TELA COLOR NEGRO, MARCA REQUIEZ MODELO RS-460</t>
  </si>
  <si>
    <t>CEA-EMP-COML-EMP-MOBI-1235</t>
  </si>
  <si>
    <t>SILLON FIJO DE VISITA COLOR NEGRO. MARCA REQUIEZ, MODELO RE-1225</t>
  </si>
  <si>
    <t>CEA-EMP-COML-EMP-MOBI-1236</t>
  </si>
  <si>
    <t>CONJUNTO DE ESCRITORIO MODULO AR, MESA RADIAL FORRADA EN TERMO PLASTICO EN PRENSA MEMBRANA ACERO GRIS RM, CANTO.</t>
  </si>
  <si>
    <t>CEA-EMP-COML-EMP-MOBI-1237</t>
  </si>
  <si>
    <t>CONFORTABLE DE TRES PLAZAS TIPO HOLANDA</t>
  </si>
  <si>
    <t>CEA-EMP-COML-EMP-MOBI-1238</t>
  </si>
  <si>
    <t>SILLON DE VISITA, BASE DE ACERO TUBULAR TIPO TRINEO COLOR NEGRO. MARCA REQUIEZ MODELO RE-1221</t>
  </si>
  <si>
    <t>CEA-EMP-COML-EMP-MOBI-1239</t>
  </si>
  <si>
    <t>CONJUNTO DE ESCRITORIO, MESA RADIAL FORRADA EN TERMON PLASTICO EN PRESA MEMBRANA ACERO GRIS RM CANTO</t>
  </si>
  <si>
    <t>CEA-EMP-COML-EMP-MOBI-1240</t>
  </si>
  <si>
    <t>CONJUNTO DE ESCRITORIO MEDULAR MESA FORRADA EN TERMOPLASTICO EN PRENSA DE MEMBRANA IAQUIERDA</t>
  </si>
  <si>
    <t>CEA-EMP-COML-EMP-MOBI-1241</t>
  </si>
  <si>
    <t>SILLAS APILABLES TUBULARES. FORRADAS EN PLIANA COLOR NEGRO</t>
  </si>
  <si>
    <t>CEA-EMP-COML-EMP-MOBI-1242</t>
  </si>
  <si>
    <t>SILLA DE VISITA CON BRAZOS DE ACERO TUBULAR TIPO TRINEO ASIENTO Y RESPALDO CON ESPUMA DE POLIURETANO FLEXIBLE MODELO: RE-1095 MARCA REQUIEZ</t>
  </si>
  <si>
    <t>CEA-EMP-COML-EMP-MOBI-1243</t>
  </si>
  <si>
    <t>SILLON DE VISITA, BASE DE ACERO TUBULAR TIPO TRINEO, COLOR NEGRO. MARCA REQUIEZ MODELO: RE-1221</t>
  </si>
  <si>
    <t>CEA-EMP-COML-EMP-MOBI-1244</t>
  </si>
  <si>
    <t>MESA DE 60X90 CON PORTA TECLADO EN MELANINA COLOR ENCINO</t>
  </si>
  <si>
    <t>CEA-EMP-COML-EMP-MOBI-1245</t>
  </si>
  <si>
    <t>PEDESTAL METALICO FIJO C/GAVETA DE ARCHIVO 2 PAPELERAS GRIS RM .40X.58X.72 SERIE S/N MOD PLZ</t>
  </si>
  <si>
    <t>CEA-EMP-COML-EMP-MOBI-1246</t>
  </si>
  <si>
    <t>SILLON EJECUTIVO RESPALDO BAJO, ASIENTO Y RESPALDO TAPIZADO EN TELA MODELO RE-1221 MARCA REQUIEZ</t>
  </si>
  <si>
    <t>CEA-EMP-COML-EMP-MOBI-1247</t>
  </si>
  <si>
    <t>PEDESTAL METALICO C/GAVETA DE ARCHIVO, 2 PAPELERA GRIS MEDIDA FRENTE .40 FONDO .58 Y ALT .72 MOD PLZ</t>
  </si>
  <si>
    <t>CEA-EMP-COML-EMP-MOBI-1248</t>
  </si>
  <si>
    <t>CEA-EMP-COML-EMP-MOBI-1249</t>
  </si>
  <si>
    <t>SILLON DE VISITA, BASE DE ACERO TUBULAR TIPO TRINEO, COLOR NEGRO, CARCA REQUIEZ MODELO: RE-1221</t>
  </si>
  <si>
    <t>CEA-EMP-COML-EMP-MOBI-1250</t>
  </si>
  <si>
    <t>CEA-EMP-COML-EMP-MOBI-1251</t>
  </si>
  <si>
    <t>PEDESTAL METALICO C/GAVETA DE ARCHIVO Y 2 PAPELERAS GRIS RM MOD. PLZ</t>
  </si>
  <si>
    <t>CEA-EMP-COML-EMP-MOBI-1252</t>
  </si>
  <si>
    <t>PANTALLA TRIPLE MARCA KINGSTONE</t>
  </si>
  <si>
    <t>CEA-EMP-COML-EMP-MOBI-1253</t>
  </si>
  <si>
    <t>4 ESTANTES METALICOS</t>
  </si>
  <si>
    <t>CEA-EMP-COML-EMP-MOBI-1254</t>
  </si>
  <si>
    <t>MINI SPLIT MIRAGE XLIFE 2TON 220V MODELO ELF261H, SERIE ELF261H44042304585.</t>
  </si>
  <si>
    <t>CEA-EMP-EBR-DT-CAP-004</t>
  </si>
  <si>
    <t xml:space="preserve">TRANSFORMADOR 112 KVA S:105638 19 TRAMOS X21TT 3" </t>
  </si>
  <si>
    <t>CEA-EMP-EBR-DT-CAP-005</t>
  </si>
  <si>
    <t xml:space="preserve">TRANSFORMADOR  CONTINENTAL S: 400340510 ARRANC. A TENSION PLENA SIEMENS S:3FT48 INTERRUPTOR 100 AMP. SIEMENS </t>
  </si>
  <si>
    <t>CEA-EMP-EBR-DT-CAP-006</t>
  </si>
  <si>
    <t>TRANSFORMADOR IEM S:7212068</t>
  </si>
  <si>
    <t>CEA-EMP-EBR-DT-CAP-014</t>
  </si>
  <si>
    <t>VALVULA CHECK VERTICAL</t>
  </si>
  <si>
    <t>CEA-EMP-EBR-DT-CAP-014-01</t>
  </si>
  <si>
    <t>VALVULAS CHECK VERTICAL</t>
  </si>
  <si>
    <t>CEA-EMP-EBR-DT-CAP-018</t>
  </si>
  <si>
    <t>VALVULA CHECK 4"</t>
  </si>
  <si>
    <t>CEA-EMP-EBR-DT-CAP-019</t>
  </si>
  <si>
    <t>TRANSFORMADOR, MARCA: EMSA, MODELO: 3F, 45KVA 13200-220/127 VOLTS./POSTE TRIF 45.</t>
  </si>
  <si>
    <t>CEA-EMP-EBR-DT-CAP-020</t>
  </si>
  <si>
    <t>CEA-EMP-EBR-DT-CAP-021</t>
  </si>
  <si>
    <t>SUBMONITOR ESTANDAR MARCA FRANKLIN PARA MOTOR FRAN, CONNECT, SERIE: 000022712</t>
  </si>
  <si>
    <t>CEA-EMP-ET-DC-CORT-007</t>
  </si>
  <si>
    <t>VEHICULO MARCA: NISSAN, MODELO: 1998 COLOR  BLANCO SERIE : 3N1CD15S8WK017442, MOVIL: 118</t>
  </si>
  <si>
    <t>CEA-EMP-ET-DCA-010</t>
  </si>
  <si>
    <t>REMOLQUE RODANTE 3 MTS LARGO, 2 MTS ANCHO EQ. ELECTRICO 110 Y 220 V PLACAS: UN-63770</t>
  </si>
  <si>
    <t>CEA-EMP-ET-DT-AP-026</t>
  </si>
  <si>
    <t>MOTOCICLETA MARCA ITALIKA,MODELO FT150, AÑO 2017, COLOR ROJO, SERIE: 3SCPFTEE9J1037918, MOVIL: 160</t>
  </si>
  <si>
    <t>CEA-EMP-COM-TRNS-030</t>
  </si>
  <si>
    <t>AUTOMOVIL PICK UP F250, FORD, MODELO 2006, 8 CILINDROS, 2 PUERTAS, COLOR BLANCO, MOTOR DE GASOLINA, SERIE 3FTGF17W56MA04161</t>
  </si>
  <si>
    <t>CEA-EMP-TEC-TRNS-031</t>
  </si>
  <si>
    <t>AUTOMOVIL PICK UP F150, FORD, MODELO 2007, 8 CILINDROS, 2 PUERTAS, COLOR BLANCO, MOTOR DE GASOLINA, SERIE 3FTGF17237MA33284</t>
  </si>
  <si>
    <t>CEA-EMP-MAQ-ALC-015</t>
  </si>
  <si>
    <t>AQUATECH 10 YD3,SERIE: 3HAMSADR4L421030</t>
  </si>
  <si>
    <t>CEA-EMP-MAQ-ALC-016</t>
  </si>
  <si>
    <t>GENERADORA ELECTRICA DE 5500 WATTS</t>
  </si>
  <si>
    <t>CEA-EMP-MAQ-ALC-017</t>
  </si>
  <si>
    <t>REVOLVEDORA DE CEMENTO PARA UN SACO</t>
  </si>
  <si>
    <t>CEA-EMP-MAQ-ALC-018</t>
  </si>
  <si>
    <t>TRANSFORMADOR TRIFASICO DE 10 KVA, 13200 VOLTS, 440/254, TIPO POSTE-COSTA</t>
  </si>
  <si>
    <t>CEA-EMP-MAQ-ALC-019</t>
  </si>
  <si>
    <t>CONTENEDOR NODRISA DE 4000 LTS.</t>
  </si>
  <si>
    <t>CEA-EMP-HYA-AP-005</t>
  </si>
  <si>
    <t>MOTOBOMBA 01 HP.</t>
  </si>
  <si>
    <t>CEA-EMP-HYA-FS-006</t>
  </si>
  <si>
    <t>ARRANCADOR 10/20 HP</t>
  </si>
  <si>
    <t>CEA-EMP-HYA-FS-008</t>
  </si>
  <si>
    <t>MOTOBOMBA IND. 2 HPP 2X2</t>
  </si>
  <si>
    <t>CEA-EMP-HYA-FS-010</t>
  </si>
  <si>
    <t>LOTE DE HERRAMIENTAS ESPECIALES PARA TALLER DE MEDIDORES</t>
  </si>
  <si>
    <t>CEA-EMP-HYA-FS-011</t>
  </si>
  <si>
    <t>MARTILLO ELECTRICO</t>
  </si>
  <si>
    <t>CEA-EMP-HYA-FS-012</t>
  </si>
  <si>
    <t>COMPRESOR DE AIRE (JGO DE MANGUERAS Y CONEXIONES)</t>
  </si>
  <si>
    <t>CEA-EMP-HYA-FS-013</t>
  </si>
  <si>
    <t>PERTIGA TELESCOPICA DE ALTA TENSION HAS 45 KV 12 MTS DE LARGO</t>
  </si>
  <si>
    <t>CEA-EMP-HYA-FS-014</t>
  </si>
  <si>
    <t>MAQUINA DE SOLDAR 220 VOLTS</t>
  </si>
  <si>
    <t>CEA-EMP-HYA-FS-015</t>
  </si>
  <si>
    <t>TORRE DE ILUMINACIÓN HONDA 2 LÁMPARAS</t>
  </si>
  <si>
    <t>CEA-EMP-HYA-FS-016</t>
  </si>
  <si>
    <t>COMPACTADORA MANUAL 30X30 JOPER 4 HP</t>
  </si>
  <si>
    <t>CEA-EMP-EQ-RAD-CO-001</t>
  </si>
  <si>
    <t xml:space="preserve">CELULAR MARCA MOTOROLA, MODELO: XT2083-8, SERIE: 355585780520178 </t>
  </si>
  <si>
    <t>CEA-EMP-EQ-RAD-CO-002</t>
  </si>
  <si>
    <t>CELULAR MARCA MOTOROLA, MODELO: XT2083-8, SERIE: 355585780520176</t>
  </si>
  <si>
    <t>CEA-EMP-EQ-RAD-CO-003</t>
  </si>
  <si>
    <t>CELULAR MARCA MOTOROLA, MODELO: XT2083-8, SERIE: 355585780522810</t>
  </si>
  <si>
    <t>CEA-EMP-EQ-RAD-CO-004</t>
  </si>
  <si>
    <t>CELULAR MARCA MOTOROLA, MODELO: XT2083-8, SERIE: 355585780524592</t>
  </si>
  <si>
    <t>CEA-EMP-EBR-DT-CAP-001</t>
  </si>
  <si>
    <t>BOMBA SUMERGIBLE  75 HP GOULD PUMPS 8RJLG/6</t>
  </si>
  <si>
    <t>CEA-EMP-EBR-DT-CAP-002</t>
  </si>
  <si>
    <t>MOTOR SUMERGIBLE FRANKLIN E. S:114906006 BOMBA SUMERGIBLE 50 HP FRANKLIN E. S: 338710983299F17</t>
  </si>
  <si>
    <t>CEA-EMP-EBR-DT-CAP-003</t>
  </si>
  <si>
    <t xml:space="preserve"> BOMBA SUMERGIBLE 50 HP FRANKLIN E. S: 338710983299F17</t>
  </si>
  <si>
    <t>CEA-EMP-EBR-DT-CAP-007</t>
  </si>
  <si>
    <t>BOMBA CENTRIFUGA 220-440 MOTOR ELEC. 10 HP 3 FASES</t>
  </si>
  <si>
    <t>CEA-EMP-EBR-DT-CAP-009</t>
  </si>
  <si>
    <t>BOMBA SUMERGIBLE JACUZZI ELECTRICAL K433A</t>
  </si>
  <si>
    <t>CEA-EMP-EBR-DT-CAP-012</t>
  </si>
  <si>
    <t>BOMBA SUMERGIBLE MODELO: 1ORJBLC-4 (04 PASOS) DESCARGA DE 8" DIAM.</t>
  </si>
  <si>
    <t>CEA-EMP-EBR-DT-CAP-013</t>
  </si>
  <si>
    <t xml:space="preserve">SUB-MONITOR ESTANDAR              </t>
  </si>
  <si>
    <t>CEA-EMP-EBR-DT-CAP-015</t>
  </si>
  <si>
    <t>MOTOR TRIFASICO 60 HP 440 Vca. PARA 3450 RPM FRANKLIN</t>
  </si>
  <si>
    <t>CEA-EMP-EBR-DT-CAP-016</t>
  </si>
  <si>
    <t>MOTOR MARCA FLANKLIN ELECTRIC SUMERGIBLE 60 HP 440 VCA TRIFASICO 320 FT.</t>
  </si>
  <si>
    <t>CEA-EMP-EBR-DT-CAP-017</t>
  </si>
  <si>
    <t>BOMBA 20 LPS VS CARGA 120 MTS</t>
  </si>
  <si>
    <t>SUBMONITOR PREMIUM CON APARTARAYOS.</t>
  </si>
  <si>
    <t>MOTOR       50 HP SUMERGIBLE PARA 460 V. TRIFASICO 3700 RPM.</t>
  </si>
  <si>
    <t>MOTOR DE 60 H.P. EN 440 VOLT</t>
  </si>
  <si>
    <t>CEA-EMP-EBR-DT-CAP-022</t>
  </si>
  <si>
    <t>MOTOR SUMERGIBLE DE 75 H.P. CONECTADO EN 440 VOLTS</t>
  </si>
  <si>
    <t>CEA-EMP-EBR-DT-CAP-023</t>
  </si>
  <si>
    <t>CEA-EMP-EBR-EMP-001</t>
  </si>
  <si>
    <t>MOTOR SUMERGIBLE 100 HP FRANLIN 460 V 126 AMPS 3525 RPM MODELO 2396D48521</t>
  </si>
  <si>
    <t>CEA-EMP-EBR-EMP-002</t>
  </si>
  <si>
    <t>MOTOR SUMERGIBLE FRANKLIN DE 50 HP, 460 VOLTS DIAM. 6" Y BOMBA SUMERGIBLE MCA AS-PUMPS MOD. 7ASL/4 DE CUATRO PASOS TAZONES EN FOFO IMPULSORES EN  BRONCE DESC. EN 6" INCLUYE VALVULA CHECK DE 6" PARA BOMBA</t>
  </si>
  <si>
    <t>CEA-EMP-EBR-EMP-003</t>
  </si>
  <si>
    <t>MOTOR SUMERGIBLE FRANKLIN ELECTRIC 100 HP 460 VOLTS MODELO 2396048521</t>
  </si>
  <si>
    <t>CEA-EMP-EBR-EMP-004</t>
  </si>
  <si>
    <t>BOMBA FRANKLIN FDPB3</t>
  </si>
  <si>
    <t>CEA-EMP-EBR-EMP-005</t>
  </si>
  <si>
    <t>MOTOR FRANKLIN 2366198125 60 HP 460 VOLTS</t>
  </si>
  <si>
    <t>CEA-EMP-EBR-EMP-006</t>
  </si>
  <si>
    <t>40 COPLES DE ACERO ROSCADO C-40 PARA COLUMNA DE BOMBEO DE 8"</t>
  </si>
  <si>
    <t>CEA-EMP-EBR-EMP-007</t>
  </si>
  <si>
    <t>25 TRAMOS DE FLECHA DE ACERO DE 1 11/16" X 10" DE DIAMETRO</t>
  </si>
  <si>
    <t>CEA-EMP-EBR-EMP-008</t>
  </si>
  <si>
    <t>15 TRAMOS DE FLECHA DE ACERO DE 1 11/16" X 10" DE DIAMETRO</t>
  </si>
  <si>
    <t>CEA-EMP-EBR-EMP-009</t>
  </si>
  <si>
    <t>80 TRAMOS DE COBRE FLECHA DE ACERO DE 2 1/2 X 5" DE DIAMETRO</t>
  </si>
  <si>
    <t>CEA-EMP-EBR-EMP-010</t>
  </si>
  <si>
    <t>40 COPLES DE ACERO PARA FLECHA DE 1 11/16"</t>
  </si>
  <si>
    <t>CEA-EMP-EBR-EMP-011</t>
  </si>
  <si>
    <t>80 CHUMACERAS PARA FLECHA DE 2 1/2" X 1 11/16" DE DIAMETRO</t>
  </si>
  <si>
    <t>CEA-EMP-EBR-EMP-012</t>
  </si>
  <si>
    <t>80 ESTABILIZADORES "ARAÑAS" DE 2 1/2 X 8"</t>
  </si>
  <si>
    <t>CEA-EMP-EBR-EMP-013</t>
  </si>
  <si>
    <t>CUERPO DE TAZONES MARCA AS-PUMPS MODELO 12ASMS-5 DE 5 PASOS TAZONES EN FOFO E IMPULSORES EN BRONCE DESCARGA EN 8" LUBRICACIONES EN ACEITE</t>
  </si>
  <si>
    <t>CEA-EMP-EBR-EMP-014</t>
  </si>
  <si>
    <t>15 TUBOS DE ACERO ROSCADO C-40 DE COLUMNA DE BOMBEO DE 8" X 1</t>
  </si>
  <si>
    <t>CEA-EMP-EBR-EMP-015</t>
  </si>
  <si>
    <t>25 TUBO DE ACERO ROSCADO C-40 DE COLUMNA DE BOMBEO DE 8" X 1"</t>
  </si>
  <si>
    <t>CEA-EMP-EBR-EMP-016</t>
  </si>
  <si>
    <t>MOTOR SUMERGIBLE FRANKLIN ELECTRIC 6" 60 HP</t>
  </si>
  <si>
    <t>CEA-EMP-EBR-EMP-017</t>
  </si>
  <si>
    <t>MOTOR SUMREGIBLE, MARCA: ALTAMIRA, MODELO: MSX6503460. SERIE: 37200806437, DE 50 HP, 460 VOLTS. ACOPLAMIENTO NEMA 6".</t>
  </si>
  <si>
    <t>CEA-EMP-EB-DT-CAP-007</t>
  </si>
  <si>
    <t>BOMBA PARA 90 LPS PARA UN MOTOR DE 150 HP PARA UNA CARGA DINAMICA TOTAL DE 85 MT</t>
  </si>
  <si>
    <t>CEA-EMP-EB-DT-CAP-008</t>
  </si>
  <si>
    <t>SUMINISTRO DE EQUIPO DE BOMBEO PARA AGUAS RESIDUALES, RESERVA C-3, C7</t>
  </si>
  <si>
    <t>CEA-EMP-EB-DT-CAP-0101</t>
  </si>
  <si>
    <t>MOTOR SUMERGIBLE DE 50 H.P. EN 440 VOLTS</t>
  </si>
  <si>
    <t>CEA-EMP-EB-DT-CAP-011</t>
  </si>
  <si>
    <t>EQUIPO DE BOMBEO SUMERGIBLE DE 4O HP PARA UN GASTO DE 10 LPS CDT 140 MCA</t>
  </si>
  <si>
    <t>CEA-EMP-EB-DT-CAP-012</t>
  </si>
  <si>
    <t>MOTOR FRANKLIN ELECTRIC 60 H.P.  PH3 440 VOLTS</t>
  </si>
  <si>
    <t>CEA-EMP-EB-DT-CAP-013</t>
  </si>
  <si>
    <t>MOTOR DE ARRANQUE DELCO</t>
  </si>
  <si>
    <t>CEA-EMP-EB-DT-CAP-014</t>
  </si>
  <si>
    <t>BOMBA CENTRIFUGA MARCA FRANKLIN EN 2 H.P. 110/220 VOLTS, MONOFASICA, DESCARGA DE 2" PARA 4 KG DE PRESION Y MANEJO DE CLORO</t>
  </si>
  <si>
    <t>CEA-EMP-EB-DT-CAP-015</t>
  </si>
  <si>
    <t>MOTOR SUMERGIBLE FRANKLIN 100 H.P. 440 VOLTS 8"</t>
  </si>
  <si>
    <t>CEA-EMP-EB-DT-CAP-016</t>
  </si>
  <si>
    <t>MOTOBOMBA DE 3" 6 H.P. OKLAND</t>
  </si>
  <si>
    <t>CEA-EMP-EB-DT-CAP-017</t>
  </si>
  <si>
    <t>BOMBA CENTRIFUGA HORIZONTAL, PARA MANEJAR UN GASTO DE 5 LPS, CON CARGA DINAMICA TOTAL DE 3 KG/CM2 Y ACOPLADA CON MOTOR ELECTRICO DE 230 VOLTS. MONOFASICO</t>
  </si>
  <si>
    <t>CEA-EMP-EB-DT-CAP-018</t>
  </si>
  <si>
    <t>BOMBA CON MOTOR 15HP Y BOMBA DE 15 MCA PARA 47 IPS TIPO BUSTER</t>
  </si>
  <si>
    <t>CEA-EMP-EB-DT-CAP-019</t>
  </si>
  <si>
    <t>BOMBA CENTRÍFUGA HORIZONTAL MCA BERCKELEY DE 7.5 HP 1F 230 V</t>
  </si>
  <si>
    <t>CEA-EMP-EB-DT-CAP-020</t>
  </si>
  <si>
    <t>MOTOR SUMERGIBLE FRANKLIN 6" 50 HP SERIE 2366188125 460VOLT 14C19-04-080268</t>
  </si>
  <si>
    <t>CEA-EMP-EB-DT-CAP-021</t>
  </si>
  <si>
    <t>BOMBA SUMERGIBLE GOULDS TX 9RCLC-3 CORTE 6.38" DESC 8"</t>
  </si>
  <si>
    <t>CEA-EMP-EB-DT-CAP-022</t>
  </si>
  <si>
    <t>BOMBA SUMERGIBLE GOULDS TX 8RJLC-6 DESC 6" CORTE 5.25" DIAMETRO MAYOR</t>
  </si>
  <si>
    <t>CEA-EMP-EB-DT-CAP-023</t>
  </si>
  <si>
    <t>MOTOR SUMERGIBLE FRANKLIN 100 HP # 2396048521</t>
  </si>
  <si>
    <t>CEA-EMP-EB-DT-CAP-024</t>
  </si>
  <si>
    <t>SUBMONITOR PREMIUM FRANKLIN #5860005100</t>
  </si>
  <si>
    <t>CEA-EMP-EB-DT-CAP-025</t>
  </si>
  <si>
    <t>VALVULA CHECK GOULDS 6" #CV06FF</t>
  </si>
  <si>
    <t>CEA-EMP-EB-DT-CAP-026</t>
  </si>
  <si>
    <t>CEA-EMP-EB-DT-CAP-027</t>
  </si>
  <si>
    <t>TAZONES GOULDS TX 14RHMC-2 CORTE 9.875" SERIE A315050910</t>
  </si>
  <si>
    <t>CEA-EMP-EB-DT-CAP-028</t>
  </si>
  <si>
    <t>TAZONES GOULDS TX 12CHC-3 CORTE 7.94" SERIE A315059011</t>
  </si>
  <si>
    <t>CEA-EMP-EB-DT-CAP-029</t>
  </si>
  <si>
    <t>MOTOR SUMERGIBLE FRANKLIN 6" 50 HP SERIE 2366188125 460VOLT 14C19-04-08018</t>
  </si>
  <si>
    <t>CEA-EMP-EB-DT-CAP-030</t>
  </si>
  <si>
    <t>BOMBA SUMERGIBLE SERIE: 325STS50D6A1264 DESC. 4" 12 PASOS</t>
  </si>
  <si>
    <t>CEA-EMP-EB-DT-CAP-031</t>
  </si>
  <si>
    <t>CUERPOS DE TAZONES GOULDS DESCARGAS DE 10", 8" Y 4"</t>
  </si>
  <si>
    <t>CEA-EMP-EB-DT-CAP-032</t>
  </si>
  <si>
    <t>CUERPOS DE TAZONES GOULDS</t>
  </si>
  <si>
    <t>CEA-EMP-EB-DT-CAP-033</t>
  </si>
  <si>
    <t xml:space="preserve">SUBMONITOR PREMIUM FRANKLIN  </t>
  </si>
  <si>
    <t>CEA-EMP-EB-DT-CAP-034</t>
  </si>
  <si>
    <t>BOMBA MULTIETAPAS 1.5HP MONOF 110/220 VOLT</t>
  </si>
  <si>
    <t>CEA-EMP-EB-DT-CAP-035</t>
  </si>
  <si>
    <t>EQUIPO DE RIEGO AUTOCONTROL 3X3 7.5HP</t>
  </si>
  <si>
    <t>CEA-EMP-EBR-EMP-036</t>
  </si>
  <si>
    <t>EQUIPO DE BOMBEO AGUAS NEGRAS, MARCA: ALTAMIRA, MODELO: 8/400/3460 SERIE: 18060048</t>
  </si>
  <si>
    <t>CEA-EMP-EBR-EMP-037</t>
  </si>
  <si>
    <t>EQUIPO DE BOMBEO AGUAS NEGRAS, MARCA: ALTAMIRA, MODELO: ROBUSTA 4/50/3230, SERIE: 18040260</t>
  </si>
  <si>
    <t>CEA-EMP-EBR-EMP-038</t>
  </si>
  <si>
    <t>EQUIPO DE BOMBEO AGUAS NEGRAS, MARCA: ALTAMIRA, MODELO: COBA 8/300/3460, SERIE: 16100001</t>
  </si>
  <si>
    <t>CEA-EMP-EBR-EMP-039</t>
  </si>
  <si>
    <t>EQUIPO DE BOMBEO AGUAS NEGRAS, MARCA: ALTAMIRA, MODELO: COBA 4/200/3460, SERIE: 18060020</t>
  </si>
  <si>
    <t>CEA-EMP-EBR-EMP-040</t>
  </si>
  <si>
    <t>EQUIPO DE BOMBEO AGUAS NEGRAS, MARCA: ALTAMIRA, MODELO: COBA 8/300/3460, SERIE: 16110002</t>
  </si>
  <si>
    <t>CEA-EMP-EBR-EMP-041</t>
  </si>
  <si>
    <t>EQUIPO DE BOMBEO AGUAS NEGRAS, MARCA: ALTAMIRA, MODELO: ROBUSTA 4/50/3230, SERIE: 18040247</t>
  </si>
  <si>
    <t>CEA-EMP-EBR-EMP-042</t>
  </si>
  <si>
    <t>MOTOR SUMERGIBLE MARCA:ALTAMIRA,MODELO: 75 H.P. EN 460 VOLTS, ACOPLAMIENTO DE 8", SERIE: 301257</t>
  </si>
  <si>
    <t>CEA-EMP-EBR-EMP-043</t>
  </si>
  <si>
    <t>BOMBA SUMERGIBLE MARCA: ALTAMIRA, MODELO: KOR40R750-4-2A GASTO DE 30LTS. SERIE: S/N</t>
  </si>
  <si>
    <t>CEA-EMP-EBR-EMP-044</t>
  </si>
  <si>
    <t>MOTOR ELECTRICO SUMERGIBLE MARCA: ALTAMIRA, MODELO: MSRT6 503460, 50 HP, 460 VOLT. ,SERIE: 21M06L2519/202111</t>
  </si>
  <si>
    <t>CEA-EMP-EBR-EMP-045</t>
  </si>
  <si>
    <t>BOMBA SUMERGIBLE MARCA: ALTAMIRA, MODELO: KOR15R400-12, SERIE: S/N</t>
  </si>
  <si>
    <t>CEA-EMP-EBR-EMP-046</t>
  </si>
  <si>
    <t>MOTOR SUMERGIBLE, MARCA: ALTAMIRA, MODELO: MSX6 503460, 50 HP, 3 FASES, 460 VOLTS,SERIE: 37213030592.</t>
  </si>
  <si>
    <t>CEA-EMP-EBR-EMP-047</t>
  </si>
  <si>
    <t>BOMBA SUMERGIBLE, MARCA: ALTAMIRA 20 LPS, MODELO: KOR20 R400-10, ACOPLE 6", DESCARGA EN 4", SERIE: 100311751.</t>
  </si>
  <si>
    <t>CEA-EMP-EBR-EMP-048</t>
  </si>
  <si>
    <t>BOMBA SUMERGIBLE PARA LODOS, MARCA: AQUAPAK, MODELO: ROBUSTA4 150, DESCARGA EN 4", IMPULSOR EN HIERRO FUNDIDO, 15 HP, 3 FASES, 230 VOLTS, 60HZ, 3450 RPM.</t>
  </si>
  <si>
    <t>CEA-EMP-EBR-EMP-049</t>
  </si>
  <si>
    <t>BOMBA AGUAS RESIDUALES, MARCA: ALTAMIRA, MODELO: COBA6/150/3460, ACOPLADA A MOTOR DE 15 HP, 3 FASES, 440 VOLTS. SERIE: 22100027.</t>
  </si>
  <si>
    <t>CEA-EMP-EBR-EMP-050</t>
  </si>
  <si>
    <t>BOMBA AGUAS RESIDUALES, MARCA: PEDROLLO, MODELO: MC20-50, ACOPLADA A MOTOR DE 2 HP, 3 FASES, 220 VOLTS. SERIE: 21AH315.</t>
  </si>
  <si>
    <t>CEA-EMP-EBR-EMP-051</t>
  </si>
  <si>
    <t>BOMBA SUM. ALTAMIRA 100HP AC. INNOX. 8", SERIE X 100HP 3X460V</t>
  </si>
  <si>
    <t>CEA-EMP-EBR-EMP-052</t>
  </si>
  <si>
    <t>BOMBA CENTRIFUGA DE MEDIANA PRESION MARCA BARNES, SUCCION DE 2", DESCARGA DE 1.5", INTEGRADA A MOTOR ELECTRICO HORIZONTAL 3HP, 3 FASES, 230/460 VOLTS, 60HZ, SERIE: E38849</t>
  </si>
  <si>
    <t>CEA-EMP-ECL-EMP-004</t>
  </si>
  <si>
    <t>CLORADOR S10K PARA 200 KG/DIA MARCA: WALLACE &amp; TIERNAN (COMPLETA)</t>
  </si>
  <si>
    <t>CEA-EMP-ECL-EMP-005</t>
  </si>
  <si>
    <t>BOMBA CAÑON, MARCA: ALTAPRES, MODELO: 08920TB. MULTIPASOS HORIZONTAL, 2HP 3F APG, SERIE: F08D32E1HB8G-5</t>
  </si>
  <si>
    <t>CEA-EMP-ECL-EMP-006</t>
  </si>
  <si>
    <t>DOSIFICADOR GAS CLORO WALLACE &amp; TIERNAN, MARCA: EVOQUA, MODELO: V10K 200PPD. SERIE: CG1940107-3</t>
  </si>
  <si>
    <t>CEA-EMP-ECL-EMP-007</t>
  </si>
  <si>
    <t xml:space="preserve">INYECTOR DE VACIO DE 3/4" WALLACE &amp; TIERNAN, MARCA: EVOQUA, MODELO: W3T99144, NUMERO ID: 28-2022 </t>
  </si>
  <si>
    <t>CEA-EMP-ECL-EMP-008</t>
  </si>
  <si>
    <t>CEA-EMP-ECL-EMP-009</t>
  </si>
  <si>
    <t>UNIDAD DE CONTROL 5", WALLECE &amp; TIERNAN, MARCA: EVOCUA, MODELO: S10K, SERIE: W2T11124</t>
  </si>
  <si>
    <t>CEA-EMP-ECL-EMP-010</t>
  </si>
  <si>
    <t>UNIDAD DE CONTROL 5", WALLECE &amp; TIERNAN, MARCA: EVOCUA, MODELO: S10K, SERIE: AHS4646</t>
  </si>
  <si>
    <t>CEA-EMP-ECL-EMP-011</t>
  </si>
  <si>
    <t>ROTAMETRO COMPLETO DE 200 LBS/DIA, NUMERO ID: W3T100265</t>
  </si>
  <si>
    <t>CEA-EMP-ECL-EMP-012</t>
  </si>
  <si>
    <t>CEA-EMP-ECL-EMP-013</t>
  </si>
  <si>
    <t>TOTAL BIENES MUEBLES</t>
  </si>
  <si>
    <t>CEA/HMO/TERRENO/001</t>
  </si>
  <si>
    <t xml:space="preserve">TERRENO URBANO </t>
  </si>
  <si>
    <t>CEA/HMO/TERRENO/002</t>
  </si>
  <si>
    <t>ALMACENES Y BODEGAS</t>
  </si>
  <si>
    <t>CEA/HMO/TERRENO/003</t>
  </si>
  <si>
    <t>LABORATORIO</t>
  </si>
  <si>
    <t>CEA-GYM (BIENES INMUEBLES )</t>
  </si>
  <si>
    <t>CEA-SC (BIENES INMUEBLES )</t>
  </si>
  <si>
    <t>CEA/CAN/ADMN/CAN/TURB/0001</t>
  </si>
  <si>
    <t>TERRENEO UBICADO EN AVE. SINALOA CON TANQUE DE ALMACENAMIENTO</t>
  </si>
  <si>
    <t>CEA/CAN/ADMN/CAN/TURB/0002</t>
  </si>
  <si>
    <t>TERRENEO UBICADO EN RANCHO TRES PUERTAS (POZO 4 OJO DE AGUA)</t>
  </si>
  <si>
    <t>CASETAS</t>
  </si>
  <si>
    <t>CEA-EMPALME (BIENES INMUEBLES )</t>
  </si>
  <si>
    <t>CEA-HERMOSILLO (BIENES INMUEBLES )</t>
  </si>
  <si>
    <t>GPE QUIJADA NC1575 MI PATRIA</t>
  </si>
  <si>
    <t>EL ROBLE C176/1</t>
  </si>
  <si>
    <t>SUPROYCO C134/278</t>
  </si>
  <si>
    <t>CONS EN NN 2632/2023 IHSERV23-63</t>
  </si>
  <si>
    <t>SANTA ROSA C140/20</t>
  </si>
  <si>
    <t>LILIANA GUZMAN EDIHUADQ23-9/</t>
  </si>
  <si>
    <t>ROBERTO RIVERA EDIHUADQ23-74</t>
  </si>
  <si>
    <t>SERV MILLENIALS EDIHUSERV23-58 C134/289</t>
  </si>
  <si>
    <t>CONSTR GULTAR C134/21</t>
  </si>
  <si>
    <t xml:space="preserve">EL ROBLE PROMAYACO </t>
  </si>
  <si>
    <t>ALEJANDRO ALCALAR 22-04</t>
  </si>
  <si>
    <t>CONS ING SOL C134/252 GYMS</t>
  </si>
  <si>
    <t>CASME C152/191 SAN CARLOS</t>
  </si>
  <si>
    <t>HEAVY WORKS IHUOB23-46 C152/214</t>
  </si>
  <si>
    <t>EBSA IHUOB23-57 C134/293</t>
  </si>
  <si>
    <t>GM IHUOB23-34 C134/275</t>
  </si>
  <si>
    <t>WACOVE IHUOB23-60 C134/279</t>
  </si>
  <si>
    <t>MNAR IHOB23-59 C152/213</t>
  </si>
  <si>
    <t>HIGTH TENSILE IHUOBB23-62 C134/292</t>
  </si>
  <si>
    <t>HEAVY WORKS C134/294</t>
  </si>
  <si>
    <t>CONS OB EST C134/277</t>
  </si>
  <si>
    <t>AP PREF C152/217</t>
  </si>
  <si>
    <t>GF ING Y CONST C152/216</t>
  </si>
  <si>
    <t>CONST DE SON IHUOB23-70</t>
  </si>
  <si>
    <t>DES EKUAR IHUOB23-62 C134/301</t>
  </si>
  <si>
    <t>CONS OB ET IHUOB23-81 C134/300</t>
  </si>
  <si>
    <t>IMTA C135/332 CONV 02-022</t>
  </si>
  <si>
    <t>CONST 54 IHUOB23-37 C152/209</t>
  </si>
  <si>
    <t>VYYDAAYC IHUOB23-41 C152/210</t>
  </si>
  <si>
    <t>LB PROCESOS IHUOB23-38 C134/282</t>
  </si>
  <si>
    <t>CASME IHUOB23-39 C152/211</t>
  </si>
  <si>
    <t>IMG PROY HID C152/212</t>
  </si>
  <si>
    <t>EQ Y PROD QUIM IHUADQ23-51 C134/288</t>
  </si>
  <si>
    <t>RT CONDUCC 22-17</t>
  </si>
  <si>
    <t>JH ROMERO C154/18</t>
  </si>
  <si>
    <t>INBAS C154/020</t>
  </si>
  <si>
    <t>DES REG ESP C154-023</t>
  </si>
  <si>
    <t>UNISON C154/034</t>
  </si>
  <si>
    <t>GUSTAVO OBREGON C154-035</t>
  </si>
  <si>
    <t>GRUPO MESIS C154-033</t>
  </si>
  <si>
    <t>TESIA C15/033</t>
  </si>
  <si>
    <t>PROM ESTA PAC C154-033</t>
  </si>
  <si>
    <t>LC PROY C154/39 TRAMO 7</t>
  </si>
  <si>
    <t>SIT COM C154/39 TRAMO 8</t>
  </si>
  <si>
    <t>BABASAC C154/38 TRAMO 6</t>
  </si>
  <si>
    <t>DIST Y CONST COBRE C154/42</t>
  </si>
  <si>
    <t>DAESA INGENIERIA C154/43 23-11</t>
  </si>
  <si>
    <t>DAESA INGENIERIA C154/43 23-10</t>
  </si>
  <si>
    <t>DR51 CONST IHUOB23-19 C154/44</t>
  </si>
  <si>
    <t>PROY Y COST VIRGO C154/40</t>
  </si>
  <si>
    <t>TALWIWI IHUOB23-15 C154/40</t>
  </si>
  <si>
    <t>DR51 CONST C154/44</t>
  </si>
  <si>
    <t>AGRI DRAIN C154/47</t>
  </si>
  <si>
    <t>ARGNAS C154/43</t>
  </si>
  <si>
    <t>ALEJANDRO ALC C154/49</t>
  </si>
  <si>
    <t>DEPROYCO C154/37</t>
  </si>
  <si>
    <t>ROBLE LEASING C154/44</t>
  </si>
  <si>
    <t>JUAN MENDOZA C154/46</t>
  </si>
  <si>
    <t>SOL ING Y CONST C154/43</t>
  </si>
  <si>
    <t>TESIA C154/44</t>
  </si>
  <si>
    <t>CW METAL C154/44</t>
  </si>
  <si>
    <t>VYYDAAYAC C154/45</t>
  </si>
  <si>
    <t>ARQ Y DIS C154/37</t>
  </si>
  <si>
    <t>CLAMI C154/49</t>
  </si>
  <si>
    <t>MO OBRAS C154/49</t>
  </si>
  <si>
    <t>SUP Y CONT LEYZA C154/49</t>
  </si>
  <si>
    <t>JH ROMERO C154/49</t>
  </si>
  <si>
    <t xml:space="preserve">MATCO 1816/2023 </t>
  </si>
  <si>
    <t xml:space="preserve">EQ E INOV 1816/2023 </t>
  </si>
  <si>
    <t>IMTA CONV -01-2023</t>
  </si>
  <si>
    <t>DESALADORA GUAYMAS EMPALME</t>
  </si>
  <si>
    <t>CEA/CAN/BOMB/CAN/CAPT/0001</t>
  </si>
  <si>
    <t>EQUIPO SUMERGUIBLE JACUZZI</t>
  </si>
  <si>
    <t>MOTOR 50 HP FRANKLIN</t>
  </si>
  <si>
    <t>CEA/CAN/BOMB/CAN/CAPT/0002</t>
  </si>
  <si>
    <t>BOMBA SUMERGIBLE 6" 4 PASOS GOULDS</t>
  </si>
  <si>
    <t>CEA/CAN/BOMB/CAN/CAPT/0003</t>
  </si>
  <si>
    <t>CEA/CAN/BOMB/CAN/CAPT/0004</t>
  </si>
  <si>
    <t>MOTOR FRANKLIN</t>
  </si>
  <si>
    <t>CEA/CAN/BOMB/CAN/CAPT/0005</t>
  </si>
  <si>
    <t>CEA/CAN/BOMB/CAN/CAPT/0006</t>
  </si>
  <si>
    <t>REPOSICION DE DE EQUIPO ELECTROMECANICO EN SISTEMA DE AGUA POTABLE EN CANANEA</t>
  </si>
  <si>
    <t>CEA/CAN/BOMB/CAN/CAPT/0007</t>
  </si>
  <si>
    <t>REHABILITACION DE FUENTES DE CAPTACION P/AGUA POTABLE EN CANANEA</t>
  </si>
  <si>
    <t>CEA/CAN/BOMB/CAN/CAPT/0008</t>
  </si>
  <si>
    <t>PROYECTO EJECUTIVO PARA NUEVA ZONA DE CAPTACION Y SU INTEGRACION AL SISTEMA ACTUAL EN CANANEA</t>
  </si>
  <si>
    <t>CEA/CAN/BOMB/CAN/CAPT/0009</t>
  </si>
  <si>
    <t>SUMINISTRO E INSTALACION DE EQUIPOS DE REBOMBEO (DE 1000 H.P. Y 500 H.P.) EN LA PLANTA DE REBOMBEO EL RIITO Y SUMINISTRO E INSTALACION DE 5 EQUIPOS DE BOMBEO MARCA GOULDS, IMPULSADAS CON MOTOR FRANKLIN, PARA EL SUMINISTRO DE AGUA POTABLE A LA CIUDAD DE CANANEA, SON.</t>
  </si>
  <si>
    <t>CEA/CAN/BOMB/CAN/CAPT/0010</t>
  </si>
  <si>
    <t>EN LOS POZOS 10 Y 11 SE INSTALARON SUBESTACIONES ELECTRICAS, MANTENIMIENTO A LA LINEA ELECTRICA DE TODOS LOS POZOS, INTERRUPTOR DE POTENCIA, RELEVADORES, EQUIPO ELECTRICO DE PROTECCION Y CONTROL, TECHUMBRE EN POZOS 9, 10 Y 11, SUMINISTRO DE MOTOR ELECTRICO DE 1000 HP, REPARACION DE MOTOR ELECTRICO 500 HP Y REPARACION DE TRANSFORMADOR</t>
  </si>
  <si>
    <t>CEA/CAN/BOMB/CAN/CAPT/0011</t>
  </si>
  <si>
    <t>SUMINISTRO E INSTALACION DE SUBESTACIONES ELECTRICAS EN LOS POZOS 5,6,7,8 Y 9,  EQUIPO DE BOMBEO EN POZO 1, MEDIDORES DE FLUJO EN POZOS 2, 5 Y 7 Y SUMINISTRO E INSTALACION DE ARRANCADORES, INTERRUPTORES, GABINETES Y ACCESORIOS DE CONTROL EN LOS POZOS DEL 1 AL 9</t>
  </si>
  <si>
    <t>CEA/CAN/BOMB/CAN/CAPT/0012</t>
  </si>
  <si>
    <t>CONEXIÓN PUESTA EN MARCHA DE LINEA DE 3" 200ML Y 28ML DE 4", 4 CAJAS DE VALVULAS, CONEXIONES ESPECIALES Y VALVULAS CONTROL PARA TANQUE DE FUCASA, ASI COMO REHABILITACION DE TECHUMBRE DEL TANQUE DE REBOMBEO EN EL RIITO, 163 M2 DE LAMINA GALVANIZADA, PINTURA Y REPARACIONES EN LA ESTRUCTURA METALICA</t>
  </si>
  <si>
    <t>CEA/CAN/BOMB/CAN/LCON/0001</t>
  </si>
  <si>
    <t>INTERCONEXION Y REFORZAMIENTO EN LAS COLONIAS MESA SUR, AYUNTAMIENTO Y LEYES DE REFORMA EN EL MUNICIPIO DE CANANEA.</t>
  </si>
  <si>
    <t>CEA/CAN/BOMB/CAN/LCON/0002</t>
  </si>
  <si>
    <t>3 VALVULAS REDUCTORAS DE PRESION Y CONTROLADORA DE FLUJO, MODELO 1130 PARA 8.8 KG/CM2(125LBS) DE 6" DE DIAM.</t>
  </si>
  <si>
    <t>3 VALVULAS REDUCTORAS DE PRESION Y CONTROLADORA DE FLUJO, MODELO 1130 PARA 8.8 KG/CM2(125LBS) DE 4" DE DIAM.</t>
  </si>
  <si>
    <t>4 EMPAQUE DE PLOMO DE 6" DIAM.</t>
  </si>
  <si>
    <t>2 EMPAQUE DE PLOMO DE 10" DIAM.</t>
  </si>
  <si>
    <t>2 REDUCCION DE FO.FO. DE 10"X6" DE DIAM.</t>
  </si>
  <si>
    <t>2 BRIDA DE ACERO SOLDABLE DE 10" DE DIAM.</t>
  </si>
  <si>
    <t>32 TORNILLO DE 3/4 X 3 1/2</t>
  </si>
  <si>
    <t>44 TORNILLO DE 5/8 X 3</t>
  </si>
  <si>
    <t>2 BRIDA DE ACERO SOLDABLE DE 6" DE DIAM.</t>
  </si>
  <si>
    <t>2 EMPAQUE DE PLOMO DE 4" DIAM.</t>
  </si>
  <si>
    <t>2 JGOS DE BRIDA A.S. DE 4", SOLDABLE</t>
  </si>
  <si>
    <t>CEA/CAN/BOMB/CAN/TALM/0001</t>
  </si>
  <si>
    <t>Sectorización del sistema de agua potable en Cananea</t>
  </si>
  <si>
    <t>CEA/CAN/BOMB/CAN/TALM/0002</t>
  </si>
  <si>
    <t>Rehabiliatcion del sistema de agua potable y construccion del tanque elevado para almacenamiento de agua potable en Cananea</t>
  </si>
  <si>
    <t>CEA/CAN/BOMB/CAN/RDIS/0001</t>
  </si>
  <si>
    <t>REHABILITACION DE LA RED SECUNDARIA DE AGUA POTABLE</t>
  </si>
  <si>
    <t>CEA/CAN/BOMB/CAN/RDIS/0002</t>
  </si>
  <si>
    <t>REHABILITACION DE LINEA DE 4" EN CALLEJON ALLENDE ENTRE 8Y 15 ESTE DE LA LOCALIDAD DE CANANEA</t>
  </si>
  <si>
    <t>CEA/CAN/BOMB/CAN/RDIS/0003</t>
  </si>
  <si>
    <t>REHABILITACION DE LINEA DE 4" EN CALLEJON ALLENDEENTRE 16 Y 22 ESTEDE LA LOCALIDAD DE CANANEA</t>
  </si>
  <si>
    <t>CEA/CAN/BOMB/CAN/RDIS/0004</t>
  </si>
  <si>
    <t>REHABILITACION EN LINEA DE 4" EN CALLEJON HIDALGO ENTRE2 Y 3 Y ENTRE 3 Y 5 OESTE DE LA LOCALIDA DE CANANEA</t>
  </si>
  <si>
    <t>CEA/CAN/BOMB/CAN/RDIS/0005</t>
  </si>
  <si>
    <t>REHABILITACION DE LINEA DE 4" EN CALLEJON PESQUEIRA ENTRE PRIMERA Y SEGUNDA OESTE EN LA LOCALIDAD DE CANANEA</t>
  </si>
  <si>
    <t>CEA/CAN/BOMB/CAN/RDIS/0006</t>
  </si>
  <si>
    <t>REHABILITACION DE LINEA DE 4" EN AVENIDA OBREGON ENTRE QUINTA Y CATORCEAVA ESTE EN LA LOCALIDAD DE CANANEA</t>
  </si>
  <si>
    <t>CEA/CAN/BOMB/CAN/RDIS/0007</t>
  </si>
  <si>
    <t xml:space="preserve">REHABILITACION DE LINEA DE 4" EN AVE. JALISCO ENTRE PRIMERA Y SEGUNDA ESTE, EN LA LOCALIDAD DE CANANEA </t>
  </si>
  <si>
    <t>CEA/CAN/BOMB/CAN/RDIS/0008</t>
  </si>
  <si>
    <t xml:space="preserve">REHABILITACION DE LINEA DE 3" EN CALLEJON MORELOS ENTRE PRIMERA Y CUARTA ESTE, EN LA LOCALIDAD DE CANANEA </t>
  </si>
  <si>
    <t>CEA/CAN/BOMB/CAN/RDIS/0009</t>
  </si>
  <si>
    <t xml:space="preserve">REHABILITACION DE LINEA DE AGUA POTABLE EN CALLE NIÑOS HEROES EN LA LOCALIDAD DE CANANEA </t>
  </si>
  <si>
    <t>CEA/CAN/BOMB/CAN/RDIS/0010</t>
  </si>
  <si>
    <t xml:space="preserve">REHABILITACION DE LINEA DE 3" EN CALLE PEDRO L. DIAZ, COL. STA. TERESA EN LA LOCALIDAD DE CANANEA </t>
  </si>
  <si>
    <t>CEA/CAN/BOMB/CAN/RDIS/0011</t>
  </si>
  <si>
    <t xml:space="preserve">REHABILITACION DE LINEA DE 3" EN CALLE PEDRO FCO. V. CORONADO EN LA LOCALIDAD DE CANANEA </t>
  </si>
  <si>
    <t>CEA/CAN/BOMB/CAN/RDIS/0012</t>
  </si>
  <si>
    <t xml:space="preserve">REHABILITACION DE LINEA DE 2" EN CALLE  FCO. I. MADERO ENTRE PRIMERA Y TERCERA ESTE EN LA LOCALIDAD DE CANANEA </t>
  </si>
  <si>
    <t>CEA/CAN/BOMB/CAN/RDIS/0013</t>
  </si>
  <si>
    <t xml:space="preserve">REHABILITACION DE LINEA DE 4" EN AVE. NUEVO LEON  ENTRE 2 Y 5 OESTE Y ENTRE 5 Y 6 ESTE EN LA LOCALIDAD DE CANANEA </t>
  </si>
  <si>
    <t>CEA/CAN/BOMB/CAN/RDIS/0014</t>
  </si>
  <si>
    <t xml:space="preserve">REHABILITACION DE LINEA DE 4" EN VARIAS CALLES EN LA LOCALIDAD DE CANANEA </t>
  </si>
  <si>
    <t>CEA/CAN/BOMB/CAN/RDIS/0015</t>
  </si>
  <si>
    <t xml:space="preserve">REHABILITACION DE LINEA DE 4" EN AVE. CHIAPAS ENTRE TERCERA Y QUINTA Y AVE. JALISCO ENTREPRIMERA Y QUINTA OESTE EN LA LOCALIDAD DE CANANEA </t>
  </si>
  <si>
    <t>CEA/CAN/BOMB/CAN/PBOM/0001</t>
  </si>
  <si>
    <t>BOMBA DE 200 HP 65LTS/SEG A 140M DE 6¨</t>
  </si>
  <si>
    <t>CEA/CAN/BOMB/CAN/PBOM/0002</t>
  </si>
  <si>
    <t>BOMBA DE 150 HP 50LTS/SEG A 140M DE 6¨</t>
  </si>
  <si>
    <t>CEA/CAN/BOMB/CAN/PBOM/0003</t>
  </si>
  <si>
    <t>PROTECCION DEL POZO 4 DEL RIO</t>
  </si>
  <si>
    <t>CEA/CAN/BOMB/CAN/SUB/0001</t>
  </si>
  <si>
    <t>EQUIPAMIENTO Y ELECTRIFICACION DE 
REBOMBEOS BOOSTER EN LAS COLONIAS AYUNTAMIENTO, MESA SU Y EL HOYO EN EL MUNICIPIO DE CANANEA, SONORA</t>
  </si>
  <si>
    <t>CEA/CAN/BOMB/CAN/SUB/0002</t>
  </si>
  <si>
    <t>INTERRUPTOR TERMOMAGNÉTICO 600V 400A</t>
  </si>
  <si>
    <t>CEA/CAN/BOMB/CAN/ERAD/0001</t>
  </si>
  <si>
    <t>RADIO MOTOROLA</t>
  </si>
  <si>
    <t>CEA/CAN/BOMB/CAN/ERAD/0002</t>
  </si>
  <si>
    <t>CEA/CAN/BOMB/CAN/ERAD/0003</t>
  </si>
  <si>
    <t>PANEL SOLAR 50</t>
  </si>
  <si>
    <t>CEA/CAN/BOMB/CAN/ERAD/0004</t>
  </si>
  <si>
    <t>BATERIA DE 23 PLACAS</t>
  </si>
  <si>
    <t>CEA/CAN/BOMB/CAN/ERAD/0005</t>
  </si>
  <si>
    <t>PANEL SOLAR DE 53 WATTS</t>
  </si>
  <si>
    <t>CEA/CAN/BOMB/CAN/ERAD/0006</t>
  </si>
  <si>
    <t>MICROFONO DE SOLAPA MOTOROLA</t>
  </si>
  <si>
    <t>CEA/CAN/BOMB/CAN/ERAD/0007</t>
  </si>
  <si>
    <t>BATERIA PARA RADIO KENWOOD</t>
  </si>
  <si>
    <t>CEA/CAN/BOMB/CAN/ERAD/0008</t>
  </si>
  <si>
    <t>CEA/CAN/BOMB/CAN/ERAD/0009</t>
  </si>
  <si>
    <t>RADIO PORTATIL MOTOROLA</t>
  </si>
  <si>
    <t>CEA/CAN/BOMB/CAN/ERAD/0010</t>
  </si>
  <si>
    <t>CEA/CAN/BOMB/CAN/ERAD/0011</t>
  </si>
  <si>
    <t>CEA/CAN/BOMB/CAN/ERAD/0012</t>
  </si>
  <si>
    <t>PANEL SOLAR SOLAREX</t>
  </si>
  <si>
    <t>CEA/CAN/BOMB/CAN/ERAD/0013</t>
  </si>
  <si>
    <t>REPETIDOR KENWOOD</t>
  </si>
  <si>
    <t>CEA/CAN/BOMB/CAN/ERAD/0014</t>
  </si>
  <si>
    <t>FILTRO SYS</t>
  </si>
  <si>
    <t>CEA/CAN/BOMB/CAN/ERAD/0015</t>
  </si>
  <si>
    <t>ANTENA OMNIDIRECCIONAL DE 7Db DE GANANCIA, 6MTS.</t>
  </si>
  <si>
    <t>CEA/CAN/BOMB/CAN/ERAD/0016</t>
  </si>
  <si>
    <t>TORRE CON BASE Y COPLE, INCLUYE ACCESORIOS, DE 21MTS. APROX</t>
  </si>
  <si>
    <t>CEA/CAN/BOMB/CAN/ERAD/0017</t>
  </si>
  <si>
    <t>LUZ DE OBSTRUCCION DE
FOTOCELDA</t>
  </si>
  <si>
    <t>CEA/CAN/BOMB/CAN/ERAD/0018</t>
  </si>
  <si>
    <t>2 RADIOS PARA UNIDADES
MOVILES, 2 CANALES, 45 WATTS MOTOROLA</t>
  </si>
  <si>
    <t>CEA/CAN/BOMB/CAN/ERAD/0019</t>
  </si>
  <si>
    <t>6 RADIOS PORTATILES, 
5 WATTS DE POTENCIA, MOTOROLA</t>
  </si>
  <si>
    <t>CEA/CAN/BOMB/CAN/ERAD/0020</t>
  </si>
  <si>
    <t>2 ANTENAS PARA 
UNIDADES MOVILES DE ALTA GANANCIA</t>
  </si>
  <si>
    <t>CEA/CAN/BOMB/CAN/ERAD/0021</t>
  </si>
  <si>
    <t>RADIO MOVIL KENWOOD</t>
  </si>
  <si>
    <t>CEA/CAN/BOMB/CAN/ERAD/0022</t>
  </si>
  <si>
    <t>RADIO PORTATIL KENWOOD</t>
  </si>
  <si>
    <t>CEA/CAN/BOMB/CAN/ERAD/0023</t>
  </si>
  <si>
    <t>RADIO MOBIL KENWOOD</t>
  </si>
  <si>
    <t>CEA/CAN/BOMB/CAN/ERAD/0024</t>
  </si>
  <si>
    <t>CEA/CAN/BOMB/CAN/ERAD/0025</t>
  </si>
  <si>
    <t>CEA/CAN/BOMB/CAN/ERAD/0026</t>
  </si>
  <si>
    <t>CEA/CAN/BOMB/CAN/ERAD/0027</t>
  </si>
  <si>
    <t>CEA/CAN/BOMB/CAN/ERAD/0028</t>
  </si>
  <si>
    <t>CEA/CAN/BOMB/CAN/PREB/0001</t>
  </si>
  <si>
    <t>REPARACION , MANTENIMIENTO Y 
REHABILITACION GENERAL DE LA
BATERIA DE POZOS QUE 
ALIMENTAN EL REBOMBEO EL RIO, EN EL MUNICIPIO DE CANANEA, SONORA</t>
  </si>
  <si>
    <t>CEA/CAN/BOMB/CAN/PREB/0002</t>
  </si>
  <si>
    <t>REPARACION, MANTENIMIENTO Y REHABILITACION GENERAL DE LA ESTACION DE REBOMBEO EL RIO, EN EL MUNICIPIO DE CANANEA.</t>
  </si>
  <si>
    <t>CEA/CAN/BOMB/CAN/SHID/0001</t>
  </si>
  <si>
    <t>CONSTRUCCION DE 5 CAJAS DE VALVULAS REGULADORAS Y MEDIDORES DE FLUJO EN LOS SECTORES 6 AL 10, ASI COMO SUMINISTRO E INSTALACION DE 1047 ML DE TUBERIA DE 4" PVC HDCO COMO LINEAS DE REFUERZO EN LA RED.</t>
  </si>
  <si>
    <t>CEA/CAN/BOMB/CAN/SHID/0002</t>
  </si>
  <si>
    <t>CONSTRUCCION DE 5 CAJAS DE VALVULAS REGULADORAS Y MEDIDORES DE FLUJO EN LOS SECTORES 21 AL 26, ASI COMO SUMINISTRO E INSTALACION DE 1350 ML DE TUBERIA DE  PVC HDCO COMO LINEAS DE REFUERZO DE ESTOS SECTORES.</t>
  </si>
  <si>
    <t>CEA/CAN/BOMB/CAN/SHID/0003</t>
  </si>
  <si>
    <t>CONSTRUCCION DE 5 CAJAS DE VALVULAS CON SUS RESPECTIVAS CAJAS REGULADORAS DE PRESION Y MEDIDORES DE FLUJO, ASI COMO REFUERZOS CON TUBERIAS DE PVC HDCO EN 897 ML DE 4", 270ML Y 397 ML DE 3"</t>
  </si>
  <si>
    <t>CEA/CAN/BOMB/CAN/SHID/0004</t>
  </si>
  <si>
    <t>CONSTRUCCION DE 5 CAJAS DE VALVULAS CON SUS RESPECTIVAS CAJAS REGULADORAS DE PRESION Y MEDIDORES DE FLUJO, ASI COMO REFUERZOS CON TUBERIAS DE PVC HDCO EN 444ML DE 4", 270ML EN 6", 153 ML DE 8" Y 80ML EN 10"</t>
  </si>
  <si>
    <t>CEA/CAN/BOMB/CAN/SHID/0005</t>
  </si>
  <si>
    <t>CONSTRUCCION DE 5 CAJAS DE VALVULAS REGULADORAS Y MEDIDORES DE FLUJO EN LOS SECTORES 16 AL 20, ASI COMO EL SUMINISTRO E INSTALACION DE 1105 ML DE TUBERIA DE 4" DE PVC HDCO COMO LINEAS DE REFUERZO EN LA RED.</t>
  </si>
  <si>
    <t>CEA/CAN/BOMB/CAN/RESI/0001</t>
  </si>
  <si>
    <t>REHABILITACION DE LA RED DE AGUA POTABLE EN CANANEA</t>
  </si>
  <si>
    <t>CEA/CAN/BOMB/CAN/RESI/0002</t>
  </si>
  <si>
    <t>CEA/CAN/BOMB/CAN/RESI/0003</t>
  </si>
  <si>
    <t>CEA/CAN/BOMB/CAN/RESI/0004</t>
  </si>
  <si>
    <t>CEA/CAN/BOMB/CAN/RESI/0005</t>
  </si>
  <si>
    <t>CEA/CAN/BOMB/CAN/PCFE/0001</t>
  </si>
  <si>
    <t>SISTEMA DE PROTECCION CONTRA FENOMENOS TRANSITORIOS EN CANANEA</t>
  </si>
  <si>
    <t>CEA/CAN/BOMB/CAN/IMIC/0001</t>
  </si>
  <si>
    <t>INSTALACION DE MACROMEDIDORES Y VALVULAS DE CONTROL EN CANANEA</t>
  </si>
  <si>
    <t>CEA/CAN/BOMB/CAN/IMIC/0002</t>
  </si>
  <si>
    <t>INSTALACION DE MICROMEDIDORES  EN CANANEA</t>
  </si>
  <si>
    <t>CEA/CAN/BOMB/CAN/ATA/0001</t>
  </si>
  <si>
    <t>RED DE ALCANTARILLADO EN LA CALLE AZTECA A LA TURQUEZA, COL.VALLE DORADO.</t>
  </si>
  <si>
    <t>CEA/CAN/BOMB/CAN/ATA/0002</t>
  </si>
  <si>
    <t>RED DE ALCANTARILLADO EN FRACC. NUEVO CANANEA</t>
  </si>
  <si>
    <t>CEA/CAN/BOMB/CAN/COL/0001</t>
  </si>
  <si>
    <t>SUMINISTRO E INSTALACION DE 1496 METROS DE TUBERIA DE PVC DE 10" Y 302 METROS DE TUBERIA ESTRUPACK DE 10" Y DE 28 POZOS DE VISITA PREFABRICADOS</t>
  </si>
  <si>
    <t>CEA/CAN/BOMB/CAN/COL/0002</t>
  </si>
  <si>
    <t>SUMINISTRO E INSTALACION DE TUBERIA DE PVC DE 10" Y 266 METROS DE TUBERIA ESTRUPACK DE 10" Y 14", Y DE 45 POZOS DE VISITA PREFABRICADOS</t>
  </si>
  <si>
    <t>CEA/CAN/BOMB/CAN/COL/0003</t>
  </si>
  <si>
    <t>SUMINISTRO E INSTATALCION DE 2395 METROS DE TUBERIA ESTRUPACK DE 10" RD-41</t>
  </si>
  <si>
    <t>CEA/CAN/BOMB/CAN/COL/0004</t>
  </si>
  <si>
    <t>SUMINISTRO E INSTALACION DE TUBERIAS DE DRENAJE 2254 MLPC DE 10" Y CERCO DE MALLA CICLONICA 1331 ML</t>
  </si>
  <si>
    <t>CEA/CAN/BOMB/CAN/PLANB/0001</t>
  </si>
  <si>
    <t xml:space="preserve">EFICIENTAR LOS EQUIPOS DE BOMBEO </t>
  </si>
  <si>
    <t>CEA/CAN/BOMB/CAN/SUBEE/0001</t>
  </si>
  <si>
    <t>MEJORAMIENTO DEL SISTEMA ELECTRICO DE PLANTAS DE BOMBEO</t>
  </si>
  <si>
    <t>CEA/CAN/BOMB/CAN/LOXI/0001</t>
  </si>
  <si>
    <t>CONSTRUCCION LAGUNA DE OXIDACION</t>
  </si>
  <si>
    <t>CEA/CAN/BOMB/CAN/SANE/0001</t>
  </si>
  <si>
    <t>PROYECTO DE TRATAMIENTO DE AGUA NEGRAS EN CANANEA</t>
  </si>
  <si>
    <t>CAPTACION</t>
  </si>
  <si>
    <t>TRATAMIENTO DE AGUAS</t>
  </si>
  <si>
    <t>ACUEDUCTOS</t>
  </si>
  <si>
    <t>LINEAS DE CONDUCCION</t>
  </si>
  <si>
    <t>TANQUES DE ALMACENAMIENTO</t>
  </si>
  <si>
    <t>LINEAS DE ALIMENTACION</t>
  </si>
  <si>
    <t>RED DE DISTRIBUCION</t>
  </si>
  <si>
    <t>PLANTAS DE BOMBEO</t>
  </si>
  <si>
    <t>LINEAS DE TRANSM ELECT</t>
  </si>
  <si>
    <t>SUBESTACION ELECTRICA</t>
  </si>
  <si>
    <t>TOMAS DOMICIALIARIAS</t>
  </si>
  <si>
    <t>DIFERENCIA EN OBRAS DE OPERACIÓN</t>
  </si>
  <si>
    <t>ATARJEA</t>
  </si>
  <si>
    <t>POZOS DE VISITA</t>
  </si>
  <si>
    <t>DESCARGA DOMICILIARIA</t>
  </si>
  <si>
    <t>COLECTORES</t>
  </si>
  <si>
    <t>LINEA DE TRANSMISION</t>
  </si>
  <si>
    <t>SUB ESTACION ELECTRICA</t>
  </si>
  <si>
    <t>PLANTAS DE TRATAMIENTO</t>
  </si>
  <si>
    <t>EMISORES</t>
  </si>
  <si>
    <t>LAGUNA DE OXIDACION</t>
  </si>
  <si>
    <t>OTROS</t>
  </si>
  <si>
    <t>OBRAS EN OPERACIÓN AGUA P</t>
  </si>
  <si>
    <t>DIF EN OBRAS DE OPERAC ALCANT</t>
  </si>
  <si>
    <t>INVERSION DIRECCION GENERAL</t>
  </si>
  <si>
    <t>TRATAMIENTO DE AGUA</t>
  </si>
  <si>
    <t>LINEA DE CONDUCCION</t>
  </si>
  <si>
    <t>OBRAS EN OPERACIÓN ALCANTARILLADO</t>
  </si>
  <si>
    <t xml:space="preserve">OBRAS EN OPERACIÓN AGUA </t>
  </si>
  <si>
    <t>OBRAS EN OPERACION ALCANTARILLADO</t>
  </si>
  <si>
    <t>TOTAL BIENES INMUEBLES</t>
  </si>
  <si>
    <t>SERVICIOS PERSONALES</t>
  </si>
  <si>
    <t>REMUNERACIONES AL PERSONAL DE CARÁCTER PERMANENTE</t>
  </si>
  <si>
    <t>SUELDOS BASE AL PERSONAL PERMANENTE</t>
  </si>
  <si>
    <t>SUELDOS</t>
  </si>
  <si>
    <t>SUELDO DIFERENCIAL POR ZONA</t>
  </si>
  <si>
    <t>REMUNERACIONES DIVERSAS</t>
  </si>
  <si>
    <t>REMUNERACIONES POR SUSTITUCION DE PERSONAL</t>
  </si>
  <si>
    <t>RIESGO LABORAL</t>
  </si>
  <si>
    <t>AYUDA PARA HABITACIÓN</t>
  </si>
  <si>
    <t>AYUDA PARA DESPENSA</t>
  </si>
  <si>
    <t>AYUDA PARA ENERGIA ELECTRICA</t>
  </si>
  <si>
    <t>REMUNERACIONES AL PERSONAL DE CARÁCTER TRANSITORIO</t>
  </si>
  <si>
    <t>HONORARIOS ASIMILABLES A SALARIOS</t>
  </si>
  <si>
    <t>HONORARIOS</t>
  </si>
  <si>
    <t>SUELDOS BASE AL PERSONAL EVENTUAL</t>
  </si>
  <si>
    <t>REMUNERACIONES ADICIONALES Y ESPECIALES</t>
  </si>
  <si>
    <t>PRIMAS POR AÑOS DE SERVICIOS EFECTIVOS PRESTADOS</t>
  </si>
  <si>
    <t>PRIMAS Y ACREDITACIONES POR AÑOS DE SERVICIOS
EFECTIVOS PRESTADOS</t>
  </si>
  <si>
    <t xml:space="preserve">PRIMAS DE VACACIONES, DOMINICAL Y GRATIFICACIÓN DE FIN DE AÑO
</t>
  </si>
  <si>
    <t>PRIMAS DE VACACIONES Y DOMINICAL</t>
  </si>
  <si>
    <t>AGUINALDO O GRATIFICACION DE FIN DE AÑO</t>
  </si>
  <si>
    <t>COMPENSACION POR AJUSTE DE CALENDARIO</t>
  </si>
  <si>
    <t>COMPENSACION POR BONO NAVIDEÑO</t>
  </si>
  <si>
    <t>HORAS EXTRAORDINARIAS</t>
  </si>
  <si>
    <t>REMUNERACIONES POR HORAS EXTRAORDINARIAS</t>
  </si>
  <si>
    <t>COMPENSACIONES</t>
  </si>
  <si>
    <t>ESTIMULOS AL PERSONAL DE CONFIANZA</t>
  </si>
  <si>
    <t>SEGURIDAD SOCIAL</t>
  </si>
  <si>
    <t>APORTACIONES DE SEGURIDAD SOCIAL</t>
  </si>
  <si>
    <t>OTRAS PRESTACIONES DE SEGURIDAD SOCIAL</t>
  </si>
  <si>
    <t>APORTACIONES POR SERVICIO MEDICO DEL
ISSSTESON</t>
  </si>
  <si>
    <t>APORTACIONES AL SISTEMA PARA EL RETIRO</t>
  </si>
  <si>
    <t>PAGAS POR DEFUNCION, PENSIONES Y JUBILACIONES</t>
  </si>
  <si>
    <t>APORTACIONES PARA SEGUROS</t>
  </si>
  <si>
    <t>SEGURO POR RETIRO ESTATAL</t>
  </si>
  <si>
    <t>OTRAS APORTACIONES DE SEGUROS COLECTIVOS</t>
  </si>
  <si>
    <t>SEGUROS POR DEFUNCION FAMILIAR</t>
  </si>
  <si>
    <t>OTRAS PRESTACIONES SOCIALES Y ECONÓMICAS</t>
  </si>
  <si>
    <t>CUOTAS PARA EL FONDO DE AHORRO Y FONDO DE TRABAJO</t>
  </si>
  <si>
    <t>APORTACIONES AL FONDO DE AHORRO DE LOS
TRABAJADORES</t>
  </si>
  <si>
    <t>INDEMNIZACIONES</t>
  </si>
  <si>
    <t>INDEMNIZACIONES AL PERSONAL</t>
  </si>
  <si>
    <t>PAGO DE LIQUIDACIONES</t>
  </si>
  <si>
    <t>SENTENCIAS LABORALES</t>
  </si>
  <si>
    <t>PRESTACIONES CONTRACTUALES</t>
  </si>
  <si>
    <t>DIAS ECONOMICOS Y DE DESCANSO OBLIGATORIOS
NO DISFRUTADOS</t>
  </si>
  <si>
    <t>BONO PARA DESPENSA</t>
  </si>
  <si>
    <t>AYUDA PARA GUARDERIA A MADRES TRABAJADORAS</t>
  </si>
  <si>
    <t>APOYO PARA ÚTILES ESCOLARES</t>
  </si>
  <si>
    <t>APOYO PARA DESARROLLO Y CAPACITACIÓN</t>
  </si>
  <si>
    <t>COMPENSACION ESPECIFICA A PERSONAL DE BASE</t>
  </si>
  <si>
    <t>AYUDA PARA SERVICIO DE TRANSPORTE</t>
  </si>
  <si>
    <t>COMPENSACIÓN EN APOYO A LA DISCAPACIDAD</t>
  </si>
  <si>
    <t>BONO DE DIA DE MADRES</t>
  </si>
  <si>
    <t>BONO POR ANIVERSARIO SINDICAL</t>
  </si>
  <si>
    <t>BONO DEL DÍA DEL PADRE</t>
  </si>
  <si>
    <t>APOYO PARA COMPRA DE MATERIAL DE
CONSTRUCCION</t>
  </si>
  <si>
    <t>APOYO PARA DESPENSA PARA LOS REPRESENTANTES
SINDICALES</t>
  </si>
  <si>
    <t>BONO DE PRODUCTIVIDAD AL PERSONAL DE BASE</t>
  </si>
  <si>
    <t>BONO AYUDA UNIFORMES</t>
  </si>
  <si>
    <t>OTRAS PRESTACIONES</t>
  </si>
  <si>
    <t>PREVISIONES</t>
  </si>
  <si>
    <t xml:space="preserve">PREVISIONES DE CARÁCTER LABORAL, ECONÓMICA Y DE SEGURIDAD SOCIAL
</t>
  </si>
  <si>
    <t>PREVISIÓN PARA INCREMENTO DE SUELDOS</t>
  </si>
  <si>
    <t>PAGOS DE ESTÍMULOS A SERVIDORES PÚBLICOS</t>
  </si>
  <si>
    <t>ESTÍMULOS</t>
  </si>
  <si>
    <t>ESTÍMULOS AL PERSONAL</t>
  </si>
  <si>
    <t>BONO POR PUNTUALIDAD</t>
  </si>
  <si>
    <t>COMPENSACIÓN POR TITULACIÓN A NIVEL
LICENCIATURA</t>
  </si>
  <si>
    <t>MATERIALES Y SUMINISTROS</t>
  </si>
  <si>
    <t xml:space="preserve">MATERIALES DE ADMINISTRACIÓN, EMISIÓN DE DOCUMENTOS Y ARTÍCULOS OFICIALES
</t>
  </si>
  <si>
    <t>MATERIALES, ÚTILES Y EQUIPOS MENORES DE OFICINA</t>
  </si>
  <si>
    <t>MATERIALES Y UTILES DE IMPRESIÓN Y REPRODUCCIÓN</t>
  </si>
  <si>
    <t xml:space="preserve">MATERIALES Y UTILES DE IMPRESIÓN Y REPRODUCCIÓN
</t>
  </si>
  <si>
    <t xml:space="preserve">MATERIALES, UTILES Y EQUIPOS MENORES DE TECNOLOGIAS DE LA INFORMACIÓN Y COMUNICACIONES
</t>
  </si>
  <si>
    <t>MATERIALES Y ÚTILES PARA EL PROCESAMIENTO DE
EQUIPOS Y BIENES INFORMATICOS</t>
  </si>
  <si>
    <t>MATERIAL IMPRESO E INFORMACIÓN DIGITAL</t>
  </si>
  <si>
    <t>MATERIAL PARA INFORMACIÓN</t>
  </si>
  <si>
    <t>FORMATOS IMPRESOS</t>
  </si>
  <si>
    <t>MATERIAL DE LIMPIEZA</t>
  </si>
  <si>
    <t>MATERIALES Y ÚTILES DE ENSEÑANZA</t>
  </si>
  <si>
    <t>MATERIALES EDUCATIVOS</t>
  </si>
  <si>
    <t xml:space="preserve">MATERIALES PARA EL REGISTRO E IDENTIFICACION DE BIENES Y PERSONAS
</t>
  </si>
  <si>
    <t xml:space="preserve">PLACAS, ENGOMADOS, CALCOMANIAS Y HOLOGRAMAS
</t>
  </si>
  <si>
    <t>EMISIÓN DE LICENCIAS DE CONDUCIR</t>
  </si>
  <si>
    <t>ALIMENTOS Y UTENSILIOS</t>
  </si>
  <si>
    <t>PRODUCTOS ALIMENTICIOS PARA PERSONAS</t>
  </si>
  <si>
    <t>PRODUCTOS ALIMENTICIOS PARA EL PERSONAL EN
LAS INSTALACIONES</t>
  </si>
  <si>
    <t>ADQUISICIÓN DE AGUA POTABLE</t>
  </si>
  <si>
    <t>UTENSILIOS PARA EL SERVICIO DE ALIMENTACIÓN</t>
  </si>
  <si>
    <t>MATERIAS PRIMAS Y MATERIALES DE PRODUCCIÓN Y COMERCIALIZACIÓN</t>
  </si>
  <si>
    <t>OTROS PRODUCTOS ADQUIRIDOS COMO MATERIA PRIMA</t>
  </si>
  <si>
    <t>OTROS PRODUCTOS ADQUIRIDOS COMO MATERIA
PRIMA</t>
  </si>
  <si>
    <t>MATERIALES Y ARTÍCULOS DE CONSTRUCCIÓN Y DE REPARACIÓN</t>
  </si>
  <si>
    <t>CEMENTO Y PRODUCTOS DE CONCRETO</t>
  </si>
  <si>
    <t>CAL, YESO Y PRODUCTOS DE YESO</t>
  </si>
  <si>
    <t>MADERA Y PRODUCTOS DE MADERA</t>
  </si>
  <si>
    <t>VIDRIO Y PRODUCTOS DE VIDRIO</t>
  </si>
  <si>
    <t>MATERIAL ELÉCTRICO Y ELECTRÓNICO</t>
  </si>
  <si>
    <t>MATERIALES COMPLEMENTARIOS</t>
  </si>
  <si>
    <t>OTROS MATERIALES Y ARTÍCULOS DE CONSTRUCCIÓN Y REPARACIÓN</t>
  </si>
  <si>
    <t>PRODUCTOS QUÍMICOS, FARMACEUTICOS Y DE LABORATORIO</t>
  </si>
  <si>
    <t>PRODUCTOS QUÍMICOS BASICOS</t>
  </si>
  <si>
    <t>FERTILIZANTES, PESTICIDAS Y OTROS AGROQUÍMICOS</t>
  </si>
  <si>
    <t>MEDICINAS Y PRODUCTOS FARMACEUTICOS</t>
  </si>
  <si>
    <t>MATERIALES, ACCESORIOS Y SUMINISTROS DE LABORATORIO</t>
  </si>
  <si>
    <t>OTROS PRODUCTOS QUÍMICOS</t>
  </si>
  <si>
    <t>COMBUSTIBLES, LUBRICANTES Y ADITIVOS</t>
  </si>
  <si>
    <t>COMBUSTIBLES</t>
  </si>
  <si>
    <t>LUBRICANTES Y ADITIVOS</t>
  </si>
  <si>
    <t>VESTUARIO, BLANCOS, PRENDAS DE PROTECCIÓN Y ARTÍCULOS DEPORTIVOS</t>
  </si>
  <si>
    <t>VESTUARIO Y UNIFORMES</t>
  </si>
  <si>
    <t>PRENDAS DE SEGURIDAD Y PROTECCIÓN PERSONAL</t>
  </si>
  <si>
    <t>MATERIALES Y SUMINISTROS PARA SEGURIDAD</t>
  </si>
  <si>
    <t>PRENDAS DE PROTECCION PARA SEGURIDAD PUBLICA Y NACIONAL</t>
  </si>
  <si>
    <t>HERRAMIENTAS, REFACCIONES Y ACCESORIOS MENORES</t>
  </si>
  <si>
    <t>HERRAMIENTAS MENORES</t>
  </si>
  <si>
    <t>REFACCIONES Y ACCESORIOS MENORES DE EDIFICIOS</t>
  </si>
  <si>
    <t xml:space="preserve">REFACCIONES Y ACCESORIOS MENORES DE MOBILIARIO Y EQUIPO DE ADMINISTRACIÓN, EDUCACIONAL Y RECREATIVO
</t>
  </si>
  <si>
    <t>REFACCIONES Y ACCESORIOS MENORES DE MOBILIARIO Y EQUIPO DE ADMINISTRACIÓN, EDUCACIONAL Y RECREATIVO</t>
  </si>
  <si>
    <t xml:space="preserve">REFACCIONES Y ACCESORIOS MENORES DE EQUIPO DE COMPUTO Y TECNOLOGÍAS DE LA INFORMACIÓN
</t>
  </si>
  <si>
    <t>REFACCIONES Y ACCESORIOS MENORES DE EQUIPO DE COMPUTO Y TECNOLOGÍAS DE LA INFORMACIÓN</t>
  </si>
  <si>
    <t xml:space="preserve">REFACCIONES Y ACCESORIOS MENORES DE EQUIPO E INSTRUMENTAL MÉDICO Y DE LABORATORIO
</t>
  </si>
  <si>
    <t>REFACCIONES Y ACCESORIOS MENORES DE EQUIPO E INSTRUMENTAL MÉDICO Y DE LABORATORIO</t>
  </si>
  <si>
    <t>REFACCIONES Y ACCESORIOS MENORES DE EQUIPO DE TRANSPORTE</t>
  </si>
  <si>
    <t xml:space="preserve">REFACCIONES Y ACCESORIOS MENORES DE MAQUINARIA Y OTROS EQUIPOS
</t>
  </si>
  <si>
    <t>SERVICIOS GENERALES</t>
  </si>
  <si>
    <t>SERVICIOS BÁSICOS</t>
  </si>
  <si>
    <t>ENERGÍA ELÉCTRICA</t>
  </si>
  <si>
    <t>GAS</t>
  </si>
  <si>
    <t>AGUA</t>
  </si>
  <si>
    <t>AGUA POTABLE</t>
  </si>
  <si>
    <t>TELEFONÍA TRADICIONAL</t>
  </si>
  <si>
    <t>TELEFONÍA CELULAR</t>
  </si>
  <si>
    <t>SERVICIOS DE TELECOMUNICACIONES Y SATÉLITES</t>
  </si>
  <si>
    <t xml:space="preserve">SERVICIOS DE ACCESO DE INTERNET, REDES Y PROCESAMIENTO DE INFORMACIÓN
</t>
  </si>
  <si>
    <t>SERVICIOS POSTALES Y TELEGRÁFICOS</t>
  </si>
  <si>
    <t>SERVICIO POSTAL</t>
  </si>
  <si>
    <t>SERVICIO DE ARRENDAMIENTO</t>
  </si>
  <si>
    <t>ARRENDAMIENTO DE TERRENOS</t>
  </si>
  <si>
    <t>ARRENDAMIENTO DE EDIFICIOS</t>
  </si>
  <si>
    <t xml:space="preserve">ARRENDAMIENTO DE MOBILIARIO Y EQUIPO DE ADMINISTRACIÓN,EDUCACIONAL Y RECREATIVO
</t>
  </si>
  <si>
    <t>ARRENDAMIENTO DE MUEBLES, MAQUINARIA Y
EQUIPO</t>
  </si>
  <si>
    <t xml:space="preserve">ARRENDAMIENTO DE EQUIPO Y BIENES INFORMATICOS
</t>
  </si>
  <si>
    <t>ARRENDAMIENTO DE EQUIPO DE TRANSPORTE</t>
  </si>
  <si>
    <t>ARRENDAMIENTO DE EQUIPO DE TRANSPORTE
TERRESTRE</t>
  </si>
  <si>
    <t xml:space="preserve">ARRENDAMIENTO DE MAQUINARIA, OTROS EQUIPOS Y HERRAMIENTAS
</t>
  </si>
  <si>
    <t>ARRENDAMIENTO DE MAQUINARIA, OTROS
EQUIPOS Y HERRAMIENTAS</t>
  </si>
  <si>
    <t>OTROS ARRENDAMIENTOS</t>
  </si>
  <si>
    <t>SERVICIOS PROFESIONALES, CIENTIFICOS, TÉCNICOS Y OTROS SERVICIOS</t>
  </si>
  <si>
    <t xml:space="preserve">SERVICIOS LEGALES, DE CONTABILIDAD, AUDITORIAS Y RELACIONADOS
</t>
  </si>
  <si>
    <t xml:space="preserve">SERVICIOS DE DISEÑO, ARQUITECTURA, INGENIERÍA Y ACTIVIDADES RELACIONADAS
</t>
  </si>
  <si>
    <t>SERVICIOS DE DISEÑO, ARQUITECTURA, INGENIERÍA
Y ACTIVIDADES RELACIONADAS</t>
  </si>
  <si>
    <t xml:space="preserve">SERVICIOS DE CONSULTORIA ADMINISTRATIVA, PROCESOS, TÉCNICA Y EN TECNOLOGIAS DE LA INFORMACIÓN
</t>
  </si>
  <si>
    <t>SERVICIOS DE INFORMÁTICA</t>
  </si>
  <si>
    <t>SERVICIOS DE CONSULTORIAS</t>
  </si>
  <si>
    <t>SERVICIOS DE CAPACITACIÓN</t>
  </si>
  <si>
    <t>SERVICIOS DE INVESTIGACION CIENTIFICA Y DESARROLLO</t>
  </si>
  <si>
    <t xml:space="preserve">SERVICIOS DE APOYO ADMINISTRATIVO, TRADUCCIÓN,FOTOCOPIADO E IMPRESIÓN
</t>
  </si>
  <si>
    <t>APOYOS A COMISARIOS PÚBLICOS</t>
  </si>
  <si>
    <t>IMPRESIONES Y PUBLICACIONES OFICIALES</t>
  </si>
  <si>
    <t>LICITACIONES, CONVENIOS Y CONVOCATORIAS</t>
  </si>
  <si>
    <t>SERVICIO DE FOTOCOPIADO EN LAS INSTALACIONES
DE LAS DEPENDENCIAS Y ENTIDADES</t>
  </si>
  <si>
    <t>SERVICIOS DE VIGILANCIA</t>
  </si>
  <si>
    <t>SERVICIOS PROFESIONALES, CIENTIFICOS Y TECNICOS INTEGRALES</t>
  </si>
  <si>
    <t xml:space="preserve">SERVICIOS INTEGRALES  </t>
  </si>
  <si>
    <t>SERVICIOS FINANCIEROS, BANCARIOS Y COMERCIALES</t>
  </si>
  <si>
    <t>SERVICIOS FINANCIEROS Y BANCARIOS</t>
  </si>
  <si>
    <t>SERVICIOS DE RECAUDACION, TRASLADO Y CUSTODIA DE VALORES</t>
  </si>
  <si>
    <t>SEGUROS DE RESPONSABILIDAD PATRIMONIAL Y FIANZAS</t>
  </si>
  <si>
    <t>FLETES Y MANIOBRAS</t>
  </si>
  <si>
    <t>SERVICIOS DE INSTALACIÓN, REPARACIÓN, MANTENIMIENTO Y CONSERVACIÓN</t>
  </si>
  <si>
    <t>CONSERVACION Y MANTENIMIENTO MENOR DE INMUEBLES</t>
  </si>
  <si>
    <t xml:space="preserve">INSTALACIÓN, REPARACIÓN Y MANTENIMIENTO DE MOBILIARIO Y EQUIPO DE ADMINISTRACIÓN, EDUCACIONAL Y RECREATIVO
</t>
  </si>
  <si>
    <t>MANTENIMIENTO Y CONSERVACION DE MOBILIARIO
Y EQUIPO</t>
  </si>
  <si>
    <t xml:space="preserve">INSTALACIÓN, REPARACIÓN Y MANTENIMIENTO DE EQUIPO DE COMPUTO Y TECNOLOGÍA DE LA INFORMACIÓN
</t>
  </si>
  <si>
    <t>INSTALACIONES</t>
  </si>
  <si>
    <t>MANTENIMIENTO Y CONSERVACION DE BIENES
INFORMÁTICOS</t>
  </si>
  <si>
    <t>REPARACIÓN Y MANTENIMIENTO DE EQUIPO DE TRANSPORTE</t>
  </si>
  <si>
    <t xml:space="preserve">INSTALACIÓN, REPARACIÍN Y MANTENIMIENTO DE MAQUINARIA,OTROS EQUIPOS Y HERRAMIENTA
</t>
  </si>
  <si>
    <t>MANTENIMIENTO Y CONSERVACIÓN DE
MAQUINARIA Y EQUIPO</t>
  </si>
  <si>
    <t>MANTENIMIENTO Y CONSERVACIÓN DE
HERRAMIENTAS, MAQUINAS HERRAMIENTAS,
INSTRUMENTOS, UTILES Y EQUIPO</t>
  </si>
  <si>
    <t>SERVICIOS DE LIMPIEZA Y MANEJO DE DESECHOS</t>
  </si>
  <si>
    <t>SERVICIOS DE JARDINERÍA Y FUMIGACIÓN</t>
  </si>
  <si>
    <t>SERVICIOS DE COMUNICACIÓN SOCIAL Y PUBLICIDAD</t>
  </si>
  <si>
    <t xml:space="preserve">DIFUSIÓN POR RADIO, TELEVISIÓN Y OTROS MEDIOS DE MENSAJES SOBRE PROGRAMAS Y ACTIVIDADES GUBERNAMENTALES
</t>
  </si>
  <si>
    <t>SERVICIOS DE REVELADO DE FOTOGRAFÍAS</t>
  </si>
  <si>
    <t>SERVICIOS DE LA INDUSTRIA FÍLMICA, DEL SONIDO Y DEL VIDEO</t>
  </si>
  <si>
    <t>OTROS SERVICIOS DE INFORMACIÓN</t>
  </si>
  <si>
    <t>SERVICIOS DE TRASLADO Y VIÁTICOS</t>
  </si>
  <si>
    <t>PASAJES AÉREOS</t>
  </si>
  <si>
    <t>PASAJES ÁEREOS INTERNACIONALES PARA
SERVIDORES PÚBLICOS EN EL DESEMPEÑO DE
COMISIONES Y FUNCIONES OFICIALES.</t>
  </si>
  <si>
    <t>PASAJES TERRESTRES</t>
  </si>
  <si>
    <t>VIÁTICOS EN EL PAÍS</t>
  </si>
  <si>
    <t>GASTOS DE CAMINO</t>
  </si>
  <si>
    <t>VIÁTICOS EN EL EXTRANJERO</t>
  </si>
  <si>
    <t>SERVICIOS INTEGRALES DE TRASLADO Y VIÁTICOS</t>
  </si>
  <si>
    <t>OTROS SERVICIOS DE TRASLADO Y HOSPEDAJE</t>
  </si>
  <si>
    <t>CUOTAS</t>
  </si>
  <si>
    <t>SERVICIOS OFICIALES</t>
  </si>
  <si>
    <t>GASTOS DE CEREMONIAL</t>
  </si>
  <si>
    <t>GASTOS DE ORDEN SOCIAL Y CULTURAL</t>
  </si>
  <si>
    <t>CONGRESOS Y CONVENCIONES</t>
  </si>
  <si>
    <t>GASTOS DE REPRESENTACION</t>
  </si>
  <si>
    <t>GASTOS DE ATENCION Y PROMOCIÓN</t>
  </si>
  <si>
    <t>OTROS SERVICIOS GENERALES</t>
  </si>
  <si>
    <t>IMPUESTOS Y DERECHOS</t>
  </si>
  <si>
    <t>PENAS, MULTAS, ACCESORIOS Y ACTUALIZACIONES</t>
  </si>
  <si>
    <t>OTROS GASTOS POR RESPONSABILIDADES</t>
  </si>
  <si>
    <t xml:space="preserve">IMPUESTOS SOBRE NÓMINAS Y OTROS QUE SE DERIVEN DE UNA RELACIÓN LABORAL
</t>
  </si>
  <si>
    <t>IMPUESTOS SOBRE NÓMINAS</t>
  </si>
  <si>
    <t>TRANSFERENCIAS, ASIGNACIONES, SUBSIDIOS Y OTRAS AYUDAS</t>
  </si>
  <si>
    <t>Transferecias internas yasignaciones al sector publico</t>
  </si>
  <si>
    <t>Asigacion presupuestria al poder ejecutivo</t>
  </si>
  <si>
    <t>Transferencias, asigaciones, subsidios y otras ayudas</t>
  </si>
  <si>
    <t>Transferencias internas otorgadasa entidades paraestatales no empresariales y no financieras</t>
  </si>
  <si>
    <t>Transferencias para gastos de operación</t>
  </si>
  <si>
    <t>TRANSFERENCIAS AL RESTO DEL SECTOR PÚBLICO</t>
  </si>
  <si>
    <t xml:space="preserve">TRANSFERENCIAS OTORGADAS A ENTIDADES FEDERATIVAS Y MUNICIPIOS
</t>
  </si>
  <si>
    <t>TRANSFERENCIAS OTORGADAS A ENTIDADES
FEDERATIVAS Y MUNICIPIOS</t>
  </si>
  <si>
    <t>Subsidios a la prestación de servicios públicos</t>
  </si>
  <si>
    <t>Ayudas sociales</t>
  </si>
  <si>
    <t>Becas y otras ayudas para prograas de capacitacion</t>
  </si>
  <si>
    <t>Fomento deportivo</t>
  </si>
  <si>
    <t xml:space="preserve">Donativos  </t>
  </si>
  <si>
    <t>Donativos a Instituciones sin fines de lucro</t>
  </si>
  <si>
    <t>BIENES MUEBLES, INMUEBLES E INTANGIBLES</t>
  </si>
  <si>
    <t>MOBILIARIO Y EQUIPO DE ADMINISTRACIÓN</t>
  </si>
  <si>
    <t>MUEBLES DE OFICINA Y ESTANTERÍA</t>
  </si>
  <si>
    <t>Muebles, Excepto de Oficina y Estantería</t>
  </si>
  <si>
    <t>Equipo de cómputo y de tecnologías de la información</t>
  </si>
  <si>
    <t>Bienes informáticos</t>
  </si>
  <si>
    <t>Otros mobiliarios y equipos de administracion</t>
  </si>
  <si>
    <t>Equipo de administracion</t>
  </si>
  <si>
    <t>MOBILIARIO Y EQUIPO EDUCACIONAL Y RECREATIVO</t>
  </si>
  <si>
    <t>EQUIPOS Y APARATOS AUDIOVISUALES</t>
  </si>
  <si>
    <t>CAMARAS FOTOGRÁFICAS Y DE VIDEO</t>
  </si>
  <si>
    <t>Equipo e instrumental medico y de laboratorio</t>
  </si>
  <si>
    <t>Equipo medico y de laboratorio</t>
  </si>
  <si>
    <t>Equipos medico y de laboratorio</t>
  </si>
  <si>
    <t>Instrumental medico y de laboratorio</t>
  </si>
  <si>
    <t>Vehiculos y equipo de transporte</t>
  </si>
  <si>
    <t>Automoviles y camiones</t>
  </si>
  <si>
    <t>Carrocerías y remolques</t>
  </si>
  <si>
    <t>Otros Equipos de Transporte</t>
  </si>
  <si>
    <t>EQUIPO DE DEFENSA Y SEGURIDAD</t>
  </si>
  <si>
    <t>SISTEMAS INTEGRALES DE SEGURIDAD PÚBLICA</t>
  </si>
  <si>
    <t xml:space="preserve">MAQUINARIA, OTROS EQUIPOS Y HERRAMIENTAS </t>
  </si>
  <si>
    <t>MAQUINARIA Y EQUIPO INDUSTRIAL</t>
  </si>
  <si>
    <t>Maquinaria y Equipo de Construcción</t>
  </si>
  <si>
    <t>Sistemas de aire acondicionado, calefaccion y de refrigeracion industrial y comercial</t>
  </si>
  <si>
    <t>Equipo de Comunicación y Telecomunicacion</t>
  </si>
  <si>
    <t>Equipo de Generacion Electrica, aparatos y accesoris electrios</t>
  </si>
  <si>
    <t>Maquinaria y equipo electrico y electronico</t>
  </si>
  <si>
    <t>Herramientas y máquinas-herramienta</t>
  </si>
  <si>
    <t>Herramientas</t>
  </si>
  <si>
    <t>Refacciones y Accesorios mayores</t>
  </si>
  <si>
    <t>OTROS EQUIPOS</t>
  </si>
  <si>
    <t>BIENES MUEBLES POR ARRENDAMIENTO
FINANCIERO</t>
  </si>
  <si>
    <t>OTROS BIENES MUEBLES POR ARRENDAMIENTO
FINANCIERO</t>
  </si>
  <si>
    <t>Terrenos</t>
  </si>
  <si>
    <t>Activos intangibles</t>
  </si>
  <si>
    <t>Software</t>
  </si>
  <si>
    <t>Licencias informaticas e intelectuales</t>
  </si>
  <si>
    <t>licencias informaticas e intelectuales</t>
  </si>
  <si>
    <t>INVERSIÓN PÚBLICA</t>
  </si>
  <si>
    <t>OBRA PÚBLICA EN BIENES DE DOMINIO PÚBLICO</t>
  </si>
  <si>
    <t>CONSTRUCCIÓN DE OBRAS PARA EL ABASTECIMIENTO DE AGUA,
PETROLEO, GAS, ELECTRICIDAD Y TELECOMUNICACIÓN</t>
  </si>
  <si>
    <t>CONSTRUCCIÓN DE SISTEMAS DE ABASTECIMIENTO DE AGUA POTABLE</t>
  </si>
  <si>
    <t>FORTALECIMIENTO A ORGANISMOS OPERADORES
DE SISTEMAS DE AGUA POTABLE</t>
  </si>
  <si>
    <t>REHABILITACION DE SISTEMAS DE ABASTECIMIENTO
DE AGUA PARA USO AGRICOLA</t>
  </si>
  <si>
    <t>ESTUDIOS Y PROYECTOS PARA SISTEMAS DE
ABASTECIMIENTO DE AGUA POTABLE</t>
  </si>
  <si>
    <t>APOYO Y FORTALECIMIENTO A LOS SISTEMAS DE
OPERACIÓN DE DISTRITOS DE RIEGO</t>
  </si>
  <si>
    <t>FISCALIZACIÓN Y SEGUIMIENTO</t>
  </si>
  <si>
    <t xml:space="preserve">DIVISIÓN DE TERRENOS Y CONSTRUCCION DE OBRAS DE URBANIZACIÓN
</t>
  </si>
  <si>
    <t>CONSERVACIÓN Y MANTENIMIENTO</t>
  </si>
  <si>
    <t>ESTUDIOS Y PROYECTOS</t>
  </si>
  <si>
    <t>INFRAESTRUCTURA Y EQUIPAMIENTO EN MATERIA
DE AGUA POTABLE</t>
  </si>
  <si>
    <t>INFRAESTRUCTURA Y EQUIPAMIENTO EN MATERIA
DE ALCANTARILLADO</t>
  </si>
  <si>
    <t>INFRAESTRUCTURA BÁSICA Y EQUIPAMIENTO SOCIAL</t>
  </si>
  <si>
    <t>INDIRECTOS PARA OBRAS EN DIVISIÓN DE TERRENOS
Y CONSTRUCCIÓN DE OBRAS DE URBANIZACIÓN</t>
  </si>
  <si>
    <t>SUPERVISIÓN Y CONTROL DE CALIDAD</t>
  </si>
  <si>
    <t>OBRA PÚBLICA EN BIENES PROPIOS</t>
  </si>
  <si>
    <t xml:space="preserve">DIVISIÓN DE TERRENOS Y CONSTRUCCIÓN DE OBRAS DE URBANIZACIÓN
</t>
  </si>
  <si>
    <t>INFRAESTRUCTURA Y EQ. EN MATERIA DE AGUA POTABLE</t>
  </si>
  <si>
    <t>INFRAESTRUCTURA Y EQUIPAMIENTO EN MATERIA DE ALCANTARILLADO</t>
  </si>
  <si>
    <t>REHABILITACIÓN DE SISTEMAS DE ABASTECIMIENTO
DE AGUA PARA USO AGRÍCOLA</t>
  </si>
  <si>
    <t>(PAIH) AMPLIAC. SIST ABAST DE A P/USO AGRICOLA (F)</t>
  </si>
  <si>
    <t>(PAIH) CONST  SIST ABAST A P/USO AGUA AGRICOLA (F)</t>
  </si>
  <si>
    <t>ESTUD Y PROYEC. P/SIST. DE ABASTEC. DE A/POTA (F)</t>
  </si>
  <si>
    <t>INDIRECTOS PARA OBRAS DE CONSTRUCCIÓN PARA
EL ABASTECIMIENTO DE AGUA, PETROLEO, GAS,
ELECTRICIDAD Y TELECOMUNICACIONES</t>
  </si>
  <si>
    <t>OBRA PUBLICA EN BIENES PROPIOS</t>
  </si>
  <si>
    <t>DIVISION DE TERRENOS Y CONSTRUCCION DE OBRAS DE URBANIZACIÓN</t>
  </si>
  <si>
    <t>INVERSIONES FINANCIERAS Y OTRAS PROVISIONES</t>
  </si>
  <si>
    <t>PROVISIONES PARA CONTINGENCIAS Y OTRAS EROGACIONES ESPECIALES</t>
  </si>
  <si>
    <t>OTRAS EROGACIONES ESPECIALES</t>
  </si>
  <si>
    <t>DEUDA PUBLICA</t>
  </si>
  <si>
    <t>AMORTIZACIÓN DE LA DEUDA PÚBLICA</t>
  </si>
  <si>
    <t xml:space="preserve">AMORTIZACIÓN DE LA DEUDA INTERNA CON INSTITUCIONES DE CRÉDITO
</t>
  </si>
  <si>
    <t>AMORTIZACIÓN DE CAPITAL LARGO PLAZO</t>
  </si>
  <si>
    <t>AMORTIZACIÓN DE CAPITAL CORTO PLAZO</t>
  </si>
  <si>
    <t>INTERESES DE LA DEUDA PÚBLICA</t>
  </si>
  <si>
    <t>INTERESES DE LA DEUDA INTERNA CON INSTITUCIONES DE CRÉDITO</t>
  </si>
  <si>
    <t>PAGO DE INTERESES LARGO PLAZO</t>
  </si>
  <si>
    <t>PAGO DE INTERESES DE CORTO PLAZO</t>
  </si>
  <si>
    <t>ADEUDOS DE EJERCICIOS FISCALES ANTERIORES (ADEFAS)</t>
  </si>
  <si>
    <t>ADEFAS</t>
  </si>
  <si>
    <t>ADEFAS OPERACIÓN</t>
  </si>
  <si>
    <t>ADEFAS INVERCIÓN ESTATAL</t>
  </si>
  <si>
    <t>ADEFAS INVERCIÓN ESTATAL (COTAS Y GERENCIAS)</t>
  </si>
  <si>
    <t>RECOMENDACIONES CONAC</t>
  </si>
  <si>
    <t xml:space="preserve">1 Los Ingresos que se presentan son los ingresos presupuestario totales sin incluir los ingresos por financiamientos. Los Ingresos del Gobierno de la Entidad Federativa corresponden a los del Poder Ejecutivo, Legislativo Judicial y Autónomos. </t>
  </si>
  <si>
    <t>2 Los egresos que se presentan son los egresos presupuestarios totales sin incluir los egresos por amortización. Los egresos del Gobierno de la Entidad Federativa corresponden a los del Poder Ejecutivo, Legislativo, Judicial y Órganos Autónomos 3 Para Ingresos se reportan los ingresos recaudados; para egresos se reportan los egresos pagados</t>
  </si>
  <si>
    <t>3 Para Ingresos se reportan los ingresos recaudados; para egresos se reportan los egresos pagados.</t>
  </si>
  <si>
    <t>VOCALIA EJECUTIVA</t>
  </si>
  <si>
    <t>DIRECCION GENERAL DE ADMINISTRACION Y FINANZAS</t>
  </si>
  <si>
    <t>ORGANO INTERNO DE CONTROL</t>
  </si>
  <si>
    <t>DIRECCION GENERAL DE DESARROLLO Y FORTALECIMIENTO INSTITUCIONAL</t>
  </si>
  <si>
    <t>DIRECCION GENERAL DE INFRAESTRUCTURA HIDRAULICA URBANA</t>
  </si>
  <si>
    <t>DIRECCION GENERAL DE INFRAESTRUCTURA HIDROAGRICOLA</t>
  </si>
  <si>
    <t>COSTOS, CONCURSOS Y CONTRATOS</t>
  </si>
  <si>
    <t>UNIDAD DE ASUNTOS JURIDICOS</t>
  </si>
  <si>
    <t>ORGANISMOS OPERADORES</t>
  </si>
  <si>
    <t>Saldo pendiente por pagar de la inversión al 31 de Diciembre de 2023 (m = g – l)</t>
  </si>
  <si>
    <t xml:space="preserve">CLASIFICACIÓN ADMINISTRATIVA </t>
  </si>
  <si>
    <t>AREA FUNCIONAL</t>
  </si>
  <si>
    <t>POSICION PRESUPUESTARIA</t>
  </si>
  <si>
    <t>FONDO</t>
  </si>
  <si>
    <t>PRESUPUESTO DE EGRESOS</t>
  </si>
  <si>
    <t>CENTRO GESTOR
Unidad Administrativa</t>
  </si>
  <si>
    <t>Finalidad</t>
  </si>
  <si>
    <t>Función</t>
  </si>
  <si>
    <t>Subfunción</t>
  </si>
  <si>
    <t>Programa Presupuestario</t>
  </si>
  <si>
    <t>Actividad o Proyecto</t>
  </si>
  <si>
    <t>Tipo de Beneficiario</t>
  </si>
  <si>
    <t>Servicios Personales por Categoría</t>
  </si>
  <si>
    <t>Clasificador por Objeto del Gasto
(Partida del Gasto)</t>
  </si>
  <si>
    <t>Tipo de Gasto
(1 Gto Corriente, 2 Gto de Capital)</t>
  </si>
  <si>
    <t>Año
Año de origen del recurso</t>
  </si>
  <si>
    <t>Tipo de Financiamiento (1. Gasto No Etiquetado, 2 Gasto Etiquetado)</t>
  </si>
  <si>
    <t>Fuente de Financiamiento (Federal, Estatal, Ingresos Propios)</t>
  </si>
  <si>
    <t>Fondo (Aportaciones Multiples, Convenios,etc..) (Alfanumerico) (FASS, FASP,etc)</t>
  </si>
  <si>
    <t>Área y/o Ubicación Geográfica</t>
  </si>
  <si>
    <t>Aprobado Anual</t>
  </si>
  <si>
    <t>Ampliaciones / Reducciones</t>
  </si>
  <si>
    <t>Modificado Anual</t>
  </si>
  <si>
    <t>Comprometido
Acumulado al Periodo</t>
  </si>
  <si>
    <t>Devengado
Acumulado al periodo</t>
  </si>
  <si>
    <t>Ejercido
Acumulado al periodo</t>
  </si>
  <si>
    <t>Pagado
Acumulado al periodo</t>
  </si>
  <si>
    <t>4121500200</t>
  </si>
  <si>
    <t>03</t>
  </si>
  <si>
    <t>E410K12</t>
  </si>
  <si>
    <t>A0</t>
  </si>
  <si>
    <t>046</t>
  </si>
  <si>
    <t>11301</t>
  </si>
  <si>
    <t>11306</t>
  </si>
  <si>
    <t>13101</t>
  </si>
  <si>
    <t>13201</t>
  </si>
  <si>
    <t>13202</t>
  </si>
  <si>
    <t>14106</t>
  </si>
  <si>
    <t>14109</t>
  </si>
  <si>
    <t>14402</t>
  </si>
  <si>
    <t>14406</t>
  </si>
  <si>
    <t>15101</t>
  </si>
  <si>
    <t>15419</t>
  </si>
  <si>
    <t>15901</t>
  </si>
  <si>
    <t>4121500100</t>
  </si>
  <si>
    <t>095</t>
  </si>
  <si>
    <t>17102</t>
  </si>
  <si>
    <t>14303</t>
  </si>
  <si>
    <t>14403</t>
  </si>
  <si>
    <t>17104</t>
  </si>
  <si>
    <t>4121500300</t>
  </si>
  <si>
    <t>NC</t>
  </si>
  <si>
    <t>ON</t>
  </si>
  <si>
    <t>4121500400</t>
  </si>
  <si>
    <t>4121500500</t>
  </si>
  <si>
    <t>OZ</t>
  </si>
  <si>
    <t>IY</t>
  </si>
  <si>
    <t>OA</t>
  </si>
  <si>
    <t>4121500600</t>
  </si>
  <si>
    <t>4121500700</t>
  </si>
  <si>
    <t>Z1</t>
  </si>
  <si>
    <t>Dependencia y/o Entidad:</t>
  </si>
  <si>
    <t>Comisión Estatal del Agua y Fondo de Operación de Obras Sonora SI</t>
  </si>
  <si>
    <t>Programa Presupuestario:</t>
  </si>
  <si>
    <t>E410K12 Aprovechamiento, distribución y manejo del agua</t>
  </si>
  <si>
    <t>Eje del PED:</t>
  </si>
  <si>
    <t>4. Coordinación Histórica entre Desarrollo y Seguridad</t>
  </si>
  <si>
    <t>Objetivo del PED:</t>
  </si>
  <si>
    <t>10. Infraestructura para el desarrollo económico inclusivo</t>
  </si>
  <si>
    <t>Beneficiarios:</t>
  </si>
  <si>
    <t>A1 - Población Abierta</t>
  </si>
  <si>
    <t>Resumen narrativo
(Objetivos)</t>
  </si>
  <si>
    <t>Indicadores</t>
  </si>
  <si>
    <t>Avance</t>
  </si>
  <si>
    <t>Meta Anual 
(2)</t>
  </si>
  <si>
    <t>% de Avance
(1) / (2)</t>
  </si>
  <si>
    <t>Línea base
(2021)</t>
  </si>
  <si>
    <t xml:space="preserve">Sentido </t>
  </si>
  <si>
    <t>Frecuencia</t>
  </si>
  <si>
    <t>Medios de verificación
(Fuentes)</t>
  </si>
  <si>
    <t>Supuestos</t>
  </si>
  <si>
    <t>Nombre</t>
  </si>
  <si>
    <t>Unidad de medida</t>
  </si>
  <si>
    <t>Fórmula</t>
  </si>
  <si>
    <t>I</t>
  </si>
  <si>
    <t>II</t>
  </si>
  <si>
    <t>III</t>
  </si>
  <si>
    <t>IV</t>
  </si>
  <si>
    <t>Acumulado (1)</t>
  </si>
  <si>
    <t>FIN</t>
  </si>
  <si>
    <t>Contribuir en el desarrollo económico y la generación de bienestar social mediante la construcción, ampliación y rehabilitación de la infraestructura hidráulica para el acceso al agua potable de forma equitativa y a precio asequible.</t>
  </si>
  <si>
    <t>Cobertura del servicio de agua potable</t>
  </si>
  <si>
    <t xml:space="preserve">Porcentaje </t>
  </si>
  <si>
    <t>Población total en el estado que habita en viviendas particulares con agua entubada dentro de la vivienda o predio, de agua hidrante público u otra vivienda en el estado / Población total en el estado que habita en viviendas particulares * 100</t>
  </si>
  <si>
    <t>Ascendente</t>
  </si>
  <si>
    <t>Quinquenal</t>
  </si>
  <si>
    <t>Sistema Nacional de Información Estadística y Geografica 2022. https://www.snieg.mx/cni/indicadores.aspx?idOrden=1.1
Situación del Subsector Agua Potable, Alcantarillado y Saneamiento 2022. https://www.gob.mx/conagua/documentos/situacion-del-subsector-agua-potable-drenaje-y-saneamiento</t>
  </si>
  <si>
    <t>1. Existe necesidad de abastecer con agua potable a todas las localidades del estado para el bienestar de sus habitantes y la continuidad de las actividades productivas.
2. Existe voluntad política de todos los niveles de gobierno para atender la demanda de la población.
3. Existe adecuada alineación y coordinación intergubernamental.</t>
  </si>
  <si>
    <t>PROPÓSITO</t>
  </si>
  <si>
    <t>La población del estado de Sonora cuenta con agua para el abastecimiento humano, industrial, comercial y agrícola; e infraestructura hidráulica suficiente y moderna para el aprovechamiento, manejo y distribución del agua.</t>
  </si>
  <si>
    <t>Porcentaje de población beneficiada con obras de agua potable, alcantarillado y saneamiento ejecutadas</t>
  </si>
  <si>
    <t>Habitante</t>
  </si>
  <si>
    <t>Población total beneficiada con las obras ejecutadas</t>
  </si>
  <si>
    <t>Anual</t>
  </si>
  <si>
    <t>Informe de avance y resultados del Programa Operativo Anual 2023.
Dirección General de Desarrollo y Fortalecimiento Institucional, Dirección General de Infraestructura Hidraulica Urbana y Dirección General de Infraestructura Hidroagrícola de la Comisión Estatal del Agua.
Dirección General de Operación del Acueducto Independencia del Fondo de Operación de Obras Sonora SI.</t>
  </si>
  <si>
    <t>1. Existe adecuada alineación y coordinación intergubernamental.
2. Se cuenta con un programa de acciones concertadas para la atención de necesidades en materia de agua potable.
3. Existe concurrencia de recursos financieros de programas estatales y federales para la ejecución de obra de agua potable.
4. Se cuenta con autorización y disponibilidad de recursos financieros para ser ejercidos de forma inmediata.</t>
  </si>
  <si>
    <t>Población total en el estado</t>
  </si>
  <si>
    <t>Porcentaje de población con carencia por acceso al servicio básico de agua potable dentro su vivienda o predio</t>
  </si>
  <si>
    <t>Población total en el estado que habita en viviendas particularesque carecen del servicio de agua potable en su vivienda o predio / Población total en el estado que habita en viviendas particulares * 100</t>
  </si>
  <si>
    <t>Descendente</t>
  </si>
  <si>
    <t>Situación del Subsector Agua Potable, Alcantarillado y Saneamiento 2022. https://www.gob.mx/conagua/documentos/situacion-del-subsector-agua-potable-drenaje-y-saneamiento</t>
  </si>
  <si>
    <t>COMPONENTES</t>
  </si>
  <si>
    <t>C1 Infraestructura para agua potable, alcantarillado y saneamiento construida, ampliada y rehabilitada en zonas urbanas y rurales, con atención especial a comunidades indígenas y zonas de alta marginación</t>
  </si>
  <si>
    <t>Porcentaje de obras de agua potable entregadas a sus beneficiarios</t>
  </si>
  <si>
    <t>Obra</t>
  </si>
  <si>
    <t>Número total de obras de agua potable ejecutadas y entregadas</t>
  </si>
  <si>
    <t>Trimestral</t>
  </si>
  <si>
    <t>Informe de avance y resultados del Programa Operativo Anual 2023.
Dirección General de Desarrollo y Fortalecimiento Institucional y Dirección General de Infraestructura Hidraulica Urbana de la Comisión Estatal del Agua.</t>
  </si>
  <si>
    <t>1. Existe coordinación y comunicación entre los diferentes órdenes de gobierno para la construcción, ampliación, rehabilitación y modernización de infraestructura hidráulica.
2. Existe voluntad para formalizar acuerdos para la concurrencia de recursos de programas federales y estatales
3. Se cuenta con disponibilidad de recursos financieros
4. Existen condiciones ambientales adecuadas
5. Existe abasto suficiente y oportuno de insumos.</t>
  </si>
  <si>
    <t>Número total de obras de agua potable programadas</t>
  </si>
  <si>
    <t>Porcentaje de obra de alcantarillado y saneamiento entregadas a sus beneficiarios</t>
  </si>
  <si>
    <t xml:space="preserve">Número total de obras de alcantarillado y saneamiento ejecutadas y entregadas </t>
  </si>
  <si>
    <t>Número total de obras de alcantarillado y saneamiento programadas</t>
  </si>
  <si>
    <t>ACTIVIDADES</t>
  </si>
  <si>
    <t>A1C1 Concertación de la obra pública para agua potable, drenaje y saneamiento en localidades urbanas, y rurales</t>
  </si>
  <si>
    <t>Porcentaje de obra pública para agua potable, drenaje y saneamiento ejecutada</t>
  </si>
  <si>
    <t>Número de obras ejecutadas</t>
  </si>
  <si>
    <t>Informe de avance y resultados del Programa Operativo Anual 2023.
Dirección General de Infraestructura Hidraulica Urbana de la Comisión Estatal del Agua.</t>
  </si>
  <si>
    <t>1. Se cuenta con autorización y liberación oportuna de los recursos asignados.
2. Se da cumplimiento oportuno de los contratos y programas de obra.
3. Se cuenta con capacidades administrativas,  técnicas y operativas para la ejecución y supervisión de los programas de obra.
4. Se tiene estabilidad normativa.
5. Existe aceptación social de los proyectos de construcción de obras de infraestructura hidráulica para el abastecimiento humano.</t>
  </si>
  <si>
    <t>Número de obras programadas</t>
  </si>
  <si>
    <t>A2C1 Estudios y proyectos de agua potable, alcantarillado y saneamiento en zonas urbanas y rurales</t>
  </si>
  <si>
    <t>Porcentaje de estudios y proyectos de agua potable, alcantarillado y saneamiento ejecutados</t>
  </si>
  <si>
    <t>Acción</t>
  </si>
  <si>
    <t>Número total de acciones de agua potable, alcantarillado y saneamiento ejecutados</t>
  </si>
  <si>
    <t>Número total de acciones de agua potable, alcantarillado y saneamiento programados</t>
  </si>
  <si>
    <t>A3C1 Acciones de desinfección del agua para uso y consumo humano</t>
  </si>
  <si>
    <t>Porcentaje del caudal estatal de agua desinfectada a través de los operativos de agua limpia</t>
  </si>
  <si>
    <t>Caudal estatal de agua desinfectada / Caudal estatal de agua producida</t>
  </si>
  <si>
    <t>A4C1 Supervisión de operación de Acueducto Independencia</t>
  </si>
  <si>
    <t>Eficiencia en el suministro de agua potable del Acueducto Independencia al organismo operador de Hermosillo</t>
  </si>
  <si>
    <t>Porcentaje</t>
  </si>
  <si>
    <t>Volumen de agua potable producida / Volumen de agua extraido de la presa el Novillo * 100</t>
  </si>
  <si>
    <t>Informe de avance y resultados del Programa Operativo Anual 2023.
Dirección General de Operación del Acueducto Independencia del Fondo de Operación de Obras Sonora SI.</t>
  </si>
  <si>
    <t xml:space="preserve">1. Disponibilidad y liquidez de presupuesto.
2. Existencia de título vigente de derechos de extracción de la fuente de abastecimiento ante CONAGUA.
3. Existencia de convenio de colaboración con Agua de Hermosillo.
4. Disponibilidad de energía eléctrica.
5. Que las condiciones climatológicas y sanitarias permitan el desarrollo de las actividades relacionadas con la operación. </t>
  </si>
  <si>
    <t xml:space="preserve">A5C1 Desarrollo de competencias profesionales y laborales del personal de los organismos operadores para que mejoren la calidad de sus servicios </t>
  </si>
  <si>
    <t>Porcentaje de personas de los organismos operadores en el estado capacitadas en temas de operación técnica, gestión administrativa y comercial</t>
  </si>
  <si>
    <t>Persona</t>
  </si>
  <si>
    <t>Número total de personas capacitadas</t>
  </si>
  <si>
    <t>Informe de avance y resultados del Programa Operativo Anual 2023.
Dirección General de Desarrollo y Fortalecimiento Institucional de la Comisión Estatal del Agua.</t>
  </si>
  <si>
    <t>1. Existe adecuada alineación y coordinación intergubernamental.
2. Se cuenta con un programa de acciones concertadas para el fortalecimiento de los organismos operadores del estado.
2. Existe concurrencia de recursos financieros de programas estatales y federales para la ejecución de acciones de capacitación.
3. Se cuenta con autorización y disponibilidad de recursos financieros para ser ejercidos de forma inmediata.</t>
  </si>
  <si>
    <t>Número total de personas programadas para capacitación</t>
  </si>
  <si>
    <t>C2 Infraestructura hidroagrícola y de protección contra inundaciones rehabilitada, modernizada y construída</t>
  </si>
  <si>
    <t>Porcentaje de obra hidroagrícola ejecutada</t>
  </si>
  <si>
    <t>Número de obras hidroagrícolas ejecutadas</t>
  </si>
  <si>
    <t>Informe de avance y resultados del Programa Operativo Anual 2023.
Dirección General de Infraestructura Hidroagrícola de la Comisión Estatal del Agua.</t>
  </si>
  <si>
    <t>1. Existe coordinación y comunicación entre los diferentes órdenes de gobierno y los usuarios para la construcción, ampliación, rehabilitación y modernización de infraestructura hidroagrícola.
2. Existe voluntad para formalizar acuerdos para la concurrencia de recursos de programas federales y estatales.
3. Se cuenta con autorización y disponibilidad de recursos financieros para la ejecución de obra hidroagrícola.
4. Existen condiciones ambientales adecuadas.
5. Existe abasto suficiente y oportuno de insumos.</t>
  </si>
  <si>
    <t>Número de obras hidroagrícolas programadas</t>
  </si>
  <si>
    <t>Porcentaje de obra de protección contra inundaciones ejecutada</t>
  </si>
  <si>
    <t>Número de obras de protección ejecutadas</t>
  </si>
  <si>
    <t>1. Existe coordinación y comunicación entre los diferentes órdenes de gobierno.
2. Existe voluntad para formalizar acuerdos para la concurrencia de recursos de programas federales y estatales.
3. Se cuenta con autorización y disponibilidad de recursos financieros para la ejecución de acciones de protección contra inundaciones.
4. Existe abasto suficiente y oportuno de insumos.</t>
  </si>
  <si>
    <t>Número de obras de protección programadas</t>
  </si>
  <si>
    <t>A1C2 Elaboración de estudios y proyectos hidroagrícolas</t>
  </si>
  <si>
    <t>Porcentaje de estudios y proyectos hidroagrícolas ejecutados</t>
  </si>
  <si>
    <t>Número total de estudios y proyectos realizados</t>
  </si>
  <si>
    <t>Número total de estudios y proyectos programados</t>
  </si>
  <si>
    <t>A2C2 Asesoría técnica en materia de infraestructura hidroagrícola en unidades de riego y distritos de riego para el uso eficiente del agua</t>
  </si>
  <si>
    <t>Porcentaje de cumplimiento en la atención a las solicitudes de diagnóstico y asesoría en materia de infraestructura hidroagricola y de protección contra inundaciones</t>
  </si>
  <si>
    <t>Número total de dictamenes técnicos realizados</t>
  </si>
  <si>
    <t>1. Existe coordinación y comunicación entre  gobierno y usuarios agrícolas.
2. Existe voluntad para formalizar acuerdos para la concurrencia de recursos de programas federales y estatales.
3. Se cuenta con autorización y disponibilidad de recursos financieros para la atención
4. Existen condiciones ambientales adecuadas.
5. Existe abasto suficiente y oportuno de insumos.</t>
  </si>
  <si>
    <t>Número total de solicitudes de apoyo técnico y asesoría programas para atención</t>
  </si>
  <si>
    <t>A3C2 Asesoría para la organización y formalización de unidades de riego</t>
  </si>
  <si>
    <t>Porcentaje de unidades de riego organizadas</t>
  </si>
  <si>
    <t>Agrupación</t>
  </si>
  <si>
    <t>Número total de unidades de riego organizadas</t>
  </si>
  <si>
    <t>1. Existe coordinación y comunicación entre  gobierno y usuarios agrícolas.
2. Existe voluntad de los pequeños productores para la organización de unidades de riego.
3. Se cuenta con disponibilidad de recursos financieros para la atención de usuarios de las unidades de riego.
4. Existe abasto suficiente y oportuno de insumos.</t>
  </si>
  <si>
    <t>Número total de unidades de riego programadas para organización</t>
  </si>
  <si>
    <t>A4C2 Elaboración de estudios y proyectos de protección contra inundaciones</t>
  </si>
  <si>
    <t>Porcentaje de estudios y proyectos protección contra inundaciones ejecutados</t>
  </si>
  <si>
    <t>A5C2 Prevención de riesgos y atención de efectos por inundaciones y sequías</t>
  </si>
  <si>
    <t>Porcentaje de superficie en operación en situación de riesgo en la ZEERS</t>
  </si>
  <si>
    <t>Número de hectáreas amenazadas / Número de hectáreas en operación * 100</t>
  </si>
  <si>
    <t>_________________________________________
M.A. Ismael Norzagaray Michel
Director Administrativo</t>
  </si>
  <si>
    <t>_________________________________________
M.A. Rebeca Imelda Laguna Figueroa
Directora General de Administración y Finanzas</t>
  </si>
  <si>
    <t>Análisis cualitativo de las metas programadas en la
Matriz de Indicadores de Resultados</t>
  </si>
  <si>
    <t>Dependencia/Entidad:</t>
  </si>
  <si>
    <t>Programa Presupuestal:</t>
  </si>
  <si>
    <t xml:space="preserve">Periodo que se reporta: </t>
  </si>
  <si>
    <t>Cuenta Pública 2023</t>
  </si>
  <si>
    <t>FIN: Contribuir en el desarrollo económico y la generación de bienestar social mediante la construcción, ampliación y rehabilitación de la infraestructura hidráulica para el acceso al agua potable de forma equitativa y a precio asequible.</t>
  </si>
  <si>
    <t>Indicador: Cobertura del servicio de agua potable</t>
  </si>
  <si>
    <t>META ANUAL</t>
  </si>
  <si>
    <t>% DE AVANCE</t>
  </si>
  <si>
    <t>Eficacia:</t>
  </si>
  <si>
    <t>Se cumplió con la meta establecida</t>
  </si>
  <si>
    <t>No se cuenta con información (Meta Anual)</t>
  </si>
  <si>
    <t>No se alcanzó la meta establecida</t>
  </si>
  <si>
    <t>X</t>
  </si>
  <si>
    <r>
      <t xml:space="preserve">ANALISIS CUALITATIVO:
</t>
    </r>
    <r>
      <rPr>
        <sz val="9"/>
        <rFont val="Montserrat"/>
      </rPr>
      <t>De acuerdo al censo nacional de población y vivienda 2020 del INEGI, Sonora cuenta con una población total de 2,944,840 de los cuales el 98.6% tiene acceso al agua entubada a diario en su vivienda o terreno, superando la media nacional, mientras que el restante 1.4% carece de este servicio (SNIEG, 2020). La CONAGUA en su publicación Situación del Subsector agua potable, alcantarillado y saneamiento, edición 2022, señala que  el caudal de agua asignado, el producido y el desinfectado en Sonora es de 24,523 lps, 15,904 lps y 15,231 lps, respectivamente, con una cobertura de desinfección de 95.8%, menor a la media nacional de 97.5%. Respecto a la infraestructura, se cuenta con 17 plantas potabilizadoras operando, con una capacidad instalada de 4,794.1 lps y un caudal potabilizado de 2,530.6 lps. Por ello es prioritario incrementar o al menos mantener, la cobertura de agua potable y  la cobertura de desinfección en estado para asegurar agua suficiente y de calidad para el uso de la población y la generación de su bienestar social, para lo cual se requiere de inversión en acciones estructurales y normativas para abatir los rezagos en zonas urbanas y rurales, privilegiando a los pueblos originarios y zonas de alta marginación.
La CEA contribuye mediante la ejecución proyectos y obras de infraestructura hidráulica para la construcción, rehabilitación y ampliación de sistemas de agua potable y con acciones de desinfección del agua  a fin lograr el acceso universal y equitativo al agua potable a un precio asequible para todos, acorde a los objetivos de desarrollo sostenible de la Agenda 2030 (ODS 6.1).</t>
    </r>
  </si>
  <si>
    <t>Propósito: La población del estado de Sonora cuenta con agua para el abastecimiento humano, industrial, comercial y agrícola; e infraestructura hidráulica suficiente y moderna para el aprovechamiento, manejo y distribución del agua.</t>
  </si>
  <si>
    <t>Indicador: Porcentaje de población beneficiada con obras de agua potable, alcantarillado y saneamiento ejecutadas</t>
  </si>
  <si>
    <t>Causa:</t>
  </si>
  <si>
    <t>Baja disponibilidad de agua.
Obsoleta y/o insuficiente infraestructura hidráulica para dotar de servicios básicos de agua potable, alcantarillado y saneamiento a la población urbana, rural, pueblos originarios y zonas de alta marginación.
Dispersión poblacional, 
Competencia por el agua entre los diversos usuarios, escasez y desigualdad social.</t>
  </si>
  <si>
    <t>Efecto:</t>
  </si>
  <si>
    <t>Desabasto de agua, limitado desarrollo económico, social y ambiental.
Sectores de población sin acceso a agua potable y drenaje.
Conflicto social, económico, ambiental, político y encono regional.</t>
  </si>
  <si>
    <t>Contribución al Fin:</t>
  </si>
  <si>
    <t>Mantener o incrementar las coberturas de agua potable, alcantarillado y saneamiento en Sonora.
Garantizar la disponibilidad del agua para el abastecimiento de la población y los diversos usos regionales.
Abatir el rezago en infraestructura de agua potable, alcantarillado y saneamiento y reducir el porcentaje de población con carencia por acceso a los servicios básicos en la vivienda (indicador 4.3 PED 2021 - 2027).</t>
  </si>
  <si>
    <t>Indicador: Porcentaje de población con carencia por acceso al servicio básico de agua potable dentro su vivienda o predio</t>
  </si>
  <si>
    <t>Carencia por acceso a los servicios básicos en la vivienda a las personas que residan en viviendas que presenten, al menos, una de las siguientes características: a) El agua se obtiene de un pozo, río, lago, arroyo, pipa; o bien, el agua entubada la obtienen por acarreo de otra vivienda, o de la llave pública o hidrante. b) No cuentan con servicio de drenaje, o el desagüe tiene conexión a una tubería que va a dar a un río, lago, mar, barranca o grieta. c) No disponen de energía eléctrica. d) El combustible que se usa para cocinar o calentar los alimentos es leña o carbón sin chimenea.</t>
  </si>
  <si>
    <t>Pobreza.</t>
  </si>
  <si>
    <t>Abatir el rezago en infraestructura de agua potable, alcantarillado y saneamiento y reducir el porcentaje de población con carencia por acceso a los servicios básicos en la vivienda para mejorar su calidad de vida generando bienestar social, económico y ambiental (indicador 4.3 PED 2021 - 2027).</t>
  </si>
  <si>
    <t>Componente C1: Infraestructura para agua potable, alcantarillado y saneamiento construida, ampliada y rehabilitada en zonas urbanas y rurales, con atención especial a comunidades indígenas y zonas de alta marginación</t>
  </si>
  <si>
    <t>Indicador: Porcentaje de obras de agua potable entregadas a sus beneficiarios</t>
  </si>
  <si>
    <t>Insuficiente u obselta infraestructura hidráulica para el abastecimiento de agua potable.</t>
  </si>
  <si>
    <t>Segmentos de población sin acceso a agua potable entubada, por lo que es necesario invertir en construcción, ampliación, rehabilitación y/o modernización de los sistemas de abastecimiento de agua potable.</t>
  </si>
  <si>
    <t>Contribución al Propósito:</t>
  </si>
  <si>
    <t>Ejecución de obras para el mejoramiento, rehabilitación, conservación o incremento de infraestructura de agua potable.
Las acciones de este indicador tienen beneficios directos a los usuarios de los servicios básicos, como el mejoramiento del servicio y el incremento de la población servida (cobertura).</t>
  </si>
  <si>
    <t>Indicador: Porcentaje de obra de alcantarillado y saneamiento entregadas a sus beneficiarios</t>
  </si>
  <si>
    <t>Insuficiente u obselta infraestructura hidráulica para alcantarillado y drenaje sanitario.</t>
  </si>
  <si>
    <t>Segmentos de población sin servicio básico de alcantarillado y drenaje sanitario, aguas residuales indebidamente conducida y tratada, contaminación, problemas de salud pública, baja calidad de vida, por lo que resulta necesario y prioritario conservar, rehabilitar, mejorar y/o incrementar la infraestructura de servicios de alcantarillado y saneamiento.</t>
  </si>
  <si>
    <t>Ejecución de obras para el mejoramiento, rehabilitación, conservación o incremento de infraestructura de alcantarillado y saneamiento. Las acciones de este indicador tienen beneficios directos a los usuarios de los servicios básicos, como el mejoramiento del servicio y el incremento de la población servida (cobertura).</t>
  </si>
  <si>
    <t>Actividad A1 C1: Concertación de la obra pública para agua potable, drenaje y saneamiento en localidades urbanas, y rurales</t>
  </si>
  <si>
    <t>Indicador: Porcentaje de obra pública para agua potable, drenaje y saneamiento ejecutada</t>
  </si>
  <si>
    <t>Falta de coordinación entre los gobiernos federal, estatal y municipal, así como con otras instituciones financieras que limita la planeación estratégica y la atención de necesidades prioritarias de la población.</t>
  </si>
  <si>
    <t>Rezago social por carencia de servicios básicos en la vivienda.</t>
  </si>
  <si>
    <t>Relación con el componente:</t>
  </si>
  <si>
    <t>La coordinación y concertación de recursos para la ejecución de acciones en infraestructura hidráulica contribuye al incremento de las coberturas de agua potable, alcantarillado y saneamiento, generando bienestar social y disminuyendo el porcentaje de la población que no cuenta con estos servicios en su vivienda o predio. Las acciones de este indicador tienen beneficios directos a los usuarios de los servicios básicos, como el mejoramiento del servicio y el incremento de la población servida (cobertura).</t>
  </si>
  <si>
    <t>Actividad A2 C1: Estudios y proyectos de agua potable, alcantarillado y saneamiento en zonas urbanas y rurales</t>
  </si>
  <si>
    <t>Indicador: Porcentaje de estudios y proyectos de agua potable, alcantarillado y saneamiento ejecutados</t>
  </si>
  <si>
    <t>Existe un importante rezago en el desarrollo de proyectos para la construcción, ampliación, rehabilitación y/o modernización de infraestructura de agua potable, alcantarillado y saneamiento.
Carencia de estudios básicos y proyectos ejecutivos elaborados con información confiable y vigente.</t>
  </si>
  <si>
    <t>Obras inconclusas, obras no funcionales, obras con alto costo de construcción y de operación, obras suspendidas por falta de anuencias, permisos, licencias, dispendio de recursos financieros y humanos, riesgo de desvío de recusos.</t>
  </si>
  <si>
    <t>Un estudio y/o proyecto ejecutivo elaborado con estricto apego a normas técnicas y disposiciones jurídicas, asegura el adecuado desarrollo de ingeniería, diseño constructivo y diseño funcional de una obra, así como la elaboración de un adecuado catálogo de conceptos y presupuesto por centro de costos, que permita la ejecución de la obra, la entrega al beneficiario y por consecuencia, la generación del beneficio para la ciudadanía, ya sea abastecimiento de agua potable, recolección de aguas residuales domésticas (alcantarillado) o tratamiento y disposición de las mismas (saneamiento).</t>
  </si>
  <si>
    <t>Actividad A3 C1: Acciones de desinfección del agua para uso y consumo humano</t>
  </si>
  <si>
    <t>Indicador: Porcentaje del caudal estatal de agua desinfectada a través de los operativos de agua limpia</t>
  </si>
  <si>
    <t>Insuficiente cobertura de desinfección en localidades que carecen de sistemas de agua potable (planta potabilizadora).
Baja o nula calidad sanitaria del agua para uso y consumo humano.</t>
  </si>
  <si>
    <t>Enfermedades de origen hídrico.</t>
  </si>
  <si>
    <t>Con el monitoreo de cloro residual se asegura que el agua para uso y consumo humano cumpla con la Norma Oficial Mexicana NOM-127-SSA1-1994, garantizando el suministro de agua de calidad protegiendo a la población contra riesgos sanitarios y enfermedades hídricas.</t>
  </si>
  <si>
    <t>Actividad A4 C1: Supervisión de operación de Acueducto Independencia</t>
  </si>
  <si>
    <t>Indicador: Eficiencia en el suministro de agua potable del Acueducto Independencia al organismo operador de Hermosillo</t>
  </si>
  <si>
    <t>La población del estado de Sonora accede a agua y servicios de agua potable insuficientes e ineficientes para satisfacer necesidades básicas y económicas.</t>
  </si>
  <si>
    <t xml:space="preserve">La baja disponibilidad y suministro de agua potable en las zona urbanas desencadena una mala calidad de vida de la población, un nivel bajo de desarrollo social y económico, provocando al mismo tiempo un desabasto de agua, enfermedades de origen hídrico y calidad de agua por debajo de las normas oficiales. </t>
  </si>
  <si>
    <t>Fortalecer el abastecimiento de agua y acceso a servicios de agua potable, en el sentido de mantener e incrementar la cobertura y mejoramiento de la calidad en el suministro de los servicios de agua potable en zonas urbanas.</t>
  </si>
  <si>
    <t xml:space="preserve">Actividad A5 C1: Desarrollo de competencias profesionales y laborales del personal de los organismos operadores para que mejoren la calidad de sus servicios </t>
  </si>
  <si>
    <t>Indicador: Porcentaje de personas de los organismos operadores en el estado capacitadas en temas de operación técnica, gestión administrativa y comercial</t>
  </si>
  <si>
    <t>Personal no capacitado, personal no competente en el área dentro de la cual se desempeña.
Organismo Operador con una estructura económica, técnica, comercial y administrativa ineficiente ofreciendo un servicio de mala calidad.</t>
  </si>
  <si>
    <t>Mala calidad en el  servicio brindado a la ciudadanía.
Operación técnica y comercial deficiente.
Falta de capacidad para la toma de decisiones.
Conflicto en realizar su trabajo, afectando a la poblacion y a las finazas del Organismo Operador.
Desorden administrativo y opacidad en el ejercicio de los recursos financieros.
Bajo desempeño institucional.</t>
  </si>
  <si>
    <t xml:space="preserve"> El fortalecimiento de las competencias profesionales y laborales permite mejorar la administración general de los organismos operadores y la calidad de los servicios prestados a la ciudadanía.
Mejora el desempeño institucional, potencializando la autosuficiencia y sostenibilidad del organismo.</t>
  </si>
  <si>
    <t>Componente C2: Infraestructura hidroagrícola y de protección contra inundaciones rehabilitada, modernizada y construída</t>
  </si>
  <si>
    <t>Indicador: Porcentaje de obra hidroagrícola ejecutada</t>
  </si>
  <si>
    <t>Insuficiente, obsoleta y deteriorada  infraestructura hidráulica para el aprovechamiento, distribución y manejo del agua en la agricultura.</t>
  </si>
  <si>
    <t>Baja productividad física y económica del agua en la agricultura, desperdicio de agua</t>
  </si>
  <si>
    <t>La rehabilitación y modernización de la infraestructura hidroagrícola incrementa la eficiencia del uso del agua y su productividad económica en la agricultura potencializando el desarrollo económico del sector primario, principalmente en las unidades de riego.</t>
  </si>
  <si>
    <t>Indicador: Porcentaje de obra de protección contra inundaciones ejecutada</t>
  </si>
  <si>
    <t>Insuficiente infraestructura hidráulica para el control de avenidas y la protección de centros de población, áreas agrícola, vías de comunicación e infraestructura producitva contra inundaciones</t>
  </si>
  <si>
    <t>Inundaciones, daños al patrimonio de la población, daños económicos por pérdida de infraestructura productiva y de comunicaciones, contaminación y deterioro del medio ambiente.</t>
  </si>
  <si>
    <t>Población beneficiada con obras de protección contra inundaciones que evitarán el daño y pérdida del patrimonio de las familias, daño de la infraestructura productiva, de vías de comunicación y mitigará las afectaciones sobre los ecosistemas, favoreciendo la conservación de los recursos hídricos, el control de avenidas y la gestión sustentable del agua.</t>
  </si>
  <si>
    <t>Actividad A1 C2: Elaboración de estudios y proyectos hidroagrícolas</t>
  </si>
  <si>
    <t>Indicador: Porcentaje de estudios y proyectos hidroagrícolas ejecutados</t>
  </si>
  <si>
    <t>Infraestuctura hidroagrícola obsoleta, deteriorada e insuficiente.</t>
  </si>
  <si>
    <t>Desperdicio de agua, baja eficiencia de conducción
Baja productividad física y económica del agua.</t>
  </si>
  <si>
    <t>Se requiere la elaboración estudios y proyectos ejecutivos para la contrucción, rehabilitación y modernización de la infraestructura hidroagrícola para potencializar el aprovechamiento, distribución y manejo eficiente del agua e incrementar la productividad física y económica del agua (ODS 6.4, 6.5, 6.6).</t>
  </si>
  <si>
    <t>Actividad A2 C2: Asesoría técnica en materia de infraestructura hidroagrícola en unidades de riego y distritos de riego para el uso eficiente del agua</t>
  </si>
  <si>
    <t>Indicador: Porcentaje de cumplimiento en la atención a las solicitudes de diagnóstico y asesoría en materia de infraestructura hidroagricola y de protección contra inundaciones</t>
  </si>
  <si>
    <t>Baja productividad ecoómica del agua en la agricultura, inundaciones con afectaciones sobre la población.</t>
  </si>
  <si>
    <t>Pérdidas económicas, pobreza, baja de la calidad de vida.</t>
  </si>
  <si>
    <t>Gestión sustentable del agua mediante la definición de acciones específicas para el control de inundaciones y aprovechamiento del agua en la agricultura (ODS 6.6).</t>
  </si>
  <si>
    <t>Actividad A3 C2: Asesoría para la organización y formalización de unidades de riego</t>
  </si>
  <si>
    <t>Indicador: Porcentaje de unidades de riego organizadas</t>
  </si>
  <si>
    <t xml:space="preserve">Desorganización de los pequeños productores, falta de asesoría para la formalización de unidades de riego. </t>
  </si>
  <si>
    <t>Se limita el acceso y la participación de los pequeños productores en los programas de apoyo al campo promovidos por instituciones gubernamentales y privadas, para la modernización, tecnificación o rehabilitación de las unidades de riego.
Baja productividad económica en las unidades de riego.</t>
  </si>
  <si>
    <t>Los programas de apoyo, a los que se accede de manera formalizada, pueden destinarse a la modernización del sector agrícola incluyendo sus técnicas de riego optimizando el aprovechamiento de agua e incrementdando su productividad.</t>
  </si>
  <si>
    <t>Actividad A4 C2: Elaboración de estudios y proyectos de protección contra inundaciones</t>
  </si>
  <si>
    <t>Indicador: Porcentaje de estudios y proyectos protección contra inundaciones ejecutados</t>
  </si>
  <si>
    <t>Insuficiente infraestructura hidráulica para el control de avenidas y protección contra inundaciones.</t>
  </si>
  <si>
    <t>Se requiere la elaboración estudios y proyectos ejecutivos para la contrucción, rehabilitación y ampliación de la infraestructura de protección contra inundaciones para la conservación del patrimonio de la población, resguardo de zonas de agropecuarias, conservación de la infraestructura productiva y de comunicaciones (ODS 6.4, 6.5, 6.6).</t>
  </si>
  <si>
    <t>Actividad A5 C2: Prevención de riesgos y atención de efectos por inundaciones y sequías</t>
  </si>
  <si>
    <t>Indicador: Porcentaje de superficie en operación en situación de riesgo en la ZEERS</t>
  </si>
  <si>
    <t>Insuficiente infraestructura hidráulica para el control de avenidas y protección contra inundaciones en la Zona Económica Especial del Río Sonora</t>
  </si>
  <si>
    <t>Determinación de las zonas agrícolas de la zona económica especial del río Sonora, para el desarrollo de propuestas normativas y estructurales dirigidas a la prevención de riesgos por lluvias extraordinarias.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</si>
</sst>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 #,##0_-;_-* &quot;-&quot;_-;_-@_-"/>
    <numFmt numFmtId="44" formatCode="_-&quot;$&quot;* #,##0.00_-;\-&quot;$&quot;* #,##0.00_-;_-&quot;$&quot;* &quot;-&quot;??_-;_-@_-"/>
    <numFmt numFmtId="43" formatCode="_-* #,##0.00_-;\-* #,##0.00_-;_-* &quot;-&quot;??_-;_-@_-"/>
    <numFmt numFmtId="164" formatCode="_-&quot;€&quot;* #,##0.00_-;\-&quot;€&quot;* #,##0.00_-;_-&quot;€&quot;* &quot;-&quot;??_-;_-@_-"/>
    <numFmt numFmtId="165" formatCode="dd/mm/yyyy;@"/>
    <numFmt numFmtId="166" formatCode="_-* #,##0.00_-;\-* #,##0.00_-;_-* &quot;-&quot;_-;_-@_-"/>
    <numFmt numFmtId="167" formatCode="_-* #,##0.000000_-;\-* #,##0.000000_-;_-* &quot;-&quot;??_-;_-@_-"/>
    <numFmt numFmtId="168" formatCode="_(* #,##0_);_(* \(#,##0\);_(* &quot;-&quot;??_);_(@_)"/>
    <numFmt numFmtId="169" formatCode="_-* #,##0_-;\-* #,##0_-;_-* &quot;-&quot;??_-;_-@_-"/>
    <numFmt numFmtId="170" formatCode="#,##0.0"/>
  </numFmts>
  <fonts count="136" x14ac:knownFonts="1">
    <font>
      <sz val="11"/>
      <color theme="1"/>
      <name val="Calibri"/>
      <family val="2"/>
      <scheme val="minor"/>
    </font>
    <font>
      <sz val="10"/>
      <color theme="1"/>
      <name val="Arial Narrow"/>
      <family val="2"/>
    </font>
    <font>
      <sz val="10"/>
      <color rgb="FF000000"/>
      <name val="Arial Narrow"/>
      <family val="2"/>
    </font>
    <font>
      <b/>
      <sz val="10"/>
      <color theme="1"/>
      <name val="Arial Narrow"/>
      <family val="2"/>
    </font>
    <font>
      <sz val="10"/>
      <name val="Arial"/>
      <family val="2"/>
    </font>
    <font>
      <sz val="11"/>
      <color theme="1"/>
      <name val="Arial Narrow"/>
      <family val="2"/>
    </font>
    <font>
      <b/>
      <sz val="11"/>
      <color theme="1"/>
      <name val="Arial Narrow"/>
      <family val="2"/>
    </font>
    <font>
      <b/>
      <i/>
      <sz val="11"/>
      <color theme="1"/>
      <name val="Arial Narrow"/>
      <family val="2"/>
    </font>
    <font>
      <sz val="11"/>
      <color theme="1"/>
      <name val="Calibri"/>
      <family val="2"/>
      <scheme val="minor"/>
    </font>
    <font>
      <sz val="10"/>
      <name val="MS Sans Serif"/>
      <family val="2"/>
    </font>
    <font>
      <b/>
      <sz val="12"/>
      <color theme="1"/>
      <name val="Arial Narrow"/>
      <family val="2"/>
    </font>
    <font>
      <b/>
      <sz val="9"/>
      <color theme="1"/>
      <name val="Arial Narrow"/>
      <family val="2"/>
    </font>
    <font>
      <sz val="8"/>
      <color theme="1"/>
      <name val="Arial Narrow"/>
      <family val="2"/>
    </font>
    <font>
      <sz val="11"/>
      <color indexed="8"/>
      <name val="Calibri"/>
      <family val="2"/>
    </font>
    <font>
      <b/>
      <u/>
      <sz val="10"/>
      <color theme="1"/>
      <name val="Arial Narrow"/>
      <family val="2"/>
    </font>
    <font>
      <b/>
      <i/>
      <sz val="10"/>
      <color theme="1"/>
      <name val="Arial Narrow"/>
      <family val="2"/>
    </font>
    <font>
      <sz val="11"/>
      <color rgb="FF000000"/>
      <name val="Arial Narrow"/>
      <family val="2"/>
    </font>
    <font>
      <i/>
      <sz val="10"/>
      <color theme="1"/>
      <name val="Arial Narrow"/>
      <family val="2"/>
    </font>
    <font>
      <i/>
      <sz val="11"/>
      <color theme="1"/>
      <name val="Arial Narrow"/>
      <family val="2"/>
    </font>
    <font>
      <b/>
      <sz val="10"/>
      <color rgb="FF000000"/>
      <name val="Arial Narrow"/>
      <family val="2"/>
    </font>
    <font>
      <sz val="12"/>
      <color theme="1"/>
      <name val="Arial Narrow"/>
      <family val="2"/>
    </font>
    <font>
      <b/>
      <sz val="11"/>
      <color rgb="FF000000"/>
      <name val="Arial Narrow"/>
      <family val="2"/>
    </font>
    <font>
      <sz val="9"/>
      <color theme="1"/>
      <name val="Arial Narrow"/>
      <family val="2"/>
    </font>
    <font>
      <sz val="6"/>
      <color theme="1"/>
      <name val="Arial Narrow"/>
      <family val="2"/>
    </font>
    <font>
      <b/>
      <i/>
      <sz val="8"/>
      <color theme="1"/>
      <name val="Arial Narrow"/>
      <family val="2"/>
    </font>
    <font>
      <b/>
      <sz val="8"/>
      <color theme="1"/>
      <name val="Arial Narrow"/>
      <family val="2"/>
    </font>
    <font>
      <sz val="7"/>
      <color theme="1"/>
      <name val="Arial Narrow"/>
      <family val="2"/>
    </font>
    <font>
      <b/>
      <u/>
      <sz val="11"/>
      <color rgb="FF000000"/>
      <name val="Arial Narrow"/>
      <family val="2"/>
    </font>
    <font>
      <b/>
      <sz val="14"/>
      <color theme="1"/>
      <name val="Arial Narrow"/>
      <family val="2"/>
    </font>
    <font>
      <b/>
      <i/>
      <sz val="11"/>
      <color rgb="FF000000"/>
      <name val="Arial Narrow"/>
      <family val="2"/>
    </font>
    <font>
      <b/>
      <i/>
      <sz val="10"/>
      <color rgb="FF000000"/>
      <name val="Arial Narrow"/>
      <family val="2"/>
    </font>
    <font>
      <b/>
      <i/>
      <sz val="9"/>
      <color theme="1"/>
      <name val="Arial Narrow"/>
      <family val="2"/>
    </font>
    <font>
      <b/>
      <sz val="12"/>
      <name val="Arial Narrow"/>
      <family val="2"/>
    </font>
    <font>
      <b/>
      <sz val="10"/>
      <name val="Arial Narrow"/>
      <family val="2"/>
    </font>
    <font>
      <sz val="10"/>
      <name val="Arial Narrow"/>
      <family val="2"/>
    </font>
    <font>
      <b/>
      <sz val="11"/>
      <name val="Arial Narrow"/>
      <family val="2"/>
    </font>
    <font>
      <b/>
      <sz val="20"/>
      <color theme="1"/>
      <name val="Arial Narrow"/>
      <family val="2"/>
    </font>
    <font>
      <b/>
      <i/>
      <sz val="10"/>
      <name val="Arial Narrow"/>
      <family val="2"/>
    </font>
    <font>
      <b/>
      <sz val="24"/>
      <color theme="1"/>
      <name val="Arial Narrow"/>
      <family val="2"/>
    </font>
    <font>
      <b/>
      <sz val="10"/>
      <color theme="1"/>
      <name val="Arial"/>
      <family val="2"/>
    </font>
    <font>
      <b/>
      <sz val="11"/>
      <color theme="1"/>
      <name val="Calibri"/>
      <family val="2"/>
      <scheme val="minor"/>
    </font>
    <font>
      <sz val="11"/>
      <color theme="0"/>
      <name val="Arial Narrow"/>
      <family val="2"/>
    </font>
    <font>
      <sz val="9"/>
      <color indexed="81"/>
      <name val="Tahoma"/>
      <family val="2"/>
    </font>
    <font>
      <b/>
      <sz val="9"/>
      <color indexed="81"/>
      <name val="Tahoma"/>
      <family val="2"/>
    </font>
    <font>
      <sz val="10"/>
      <color theme="0"/>
      <name val="Arial Narrow"/>
      <family val="2"/>
    </font>
    <font>
      <b/>
      <sz val="10"/>
      <color theme="0"/>
      <name val="Arial Narrow"/>
      <family val="2"/>
    </font>
    <font>
      <b/>
      <sz val="9"/>
      <color theme="0"/>
      <name val="Arial Narrow"/>
      <family val="2"/>
    </font>
    <font>
      <b/>
      <i/>
      <sz val="9"/>
      <color theme="3" tint="0.39997558519241921"/>
      <name val="Arial Narrow"/>
      <family val="2"/>
    </font>
    <font>
      <b/>
      <sz val="12"/>
      <color theme="0"/>
      <name val="Arial Narrow"/>
      <family val="2"/>
    </font>
    <font>
      <b/>
      <i/>
      <sz val="11"/>
      <color theme="1"/>
      <name val="Calibri"/>
      <family val="2"/>
      <scheme val="minor"/>
    </font>
    <font>
      <sz val="14"/>
      <color theme="0"/>
      <name val="Arial Narrow"/>
      <family val="2"/>
    </font>
    <font>
      <b/>
      <sz val="11"/>
      <color theme="0"/>
      <name val="Arial Narrow"/>
      <family val="2"/>
    </font>
    <font>
      <b/>
      <sz val="16"/>
      <color theme="0"/>
      <name val="Arial Narrow"/>
      <family val="2"/>
    </font>
    <font>
      <b/>
      <sz val="14"/>
      <color theme="0"/>
      <name val="Arial Narrow"/>
      <family val="2"/>
    </font>
    <font>
      <sz val="8"/>
      <color theme="1"/>
      <name val="Calibri"/>
      <family val="2"/>
      <scheme val="minor"/>
    </font>
    <font>
      <b/>
      <sz val="8"/>
      <color theme="0"/>
      <name val="Arial Narrow"/>
      <family val="2"/>
    </font>
    <font>
      <b/>
      <sz val="14"/>
      <name val="Arial Narrow"/>
      <family val="2"/>
    </font>
    <font>
      <b/>
      <sz val="6"/>
      <color theme="1"/>
      <name val="Arial"/>
      <family val="2"/>
    </font>
    <font>
      <b/>
      <sz val="8"/>
      <color theme="1"/>
      <name val="Arial"/>
      <family val="2"/>
    </font>
    <font>
      <b/>
      <sz val="7.5"/>
      <color theme="1"/>
      <name val="Arial Narrow"/>
      <family val="2"/>
    </font>
    <font>
      <sz val="7.5"/>
      <color theme="1"/>
      <name val="Arial Narrow"/>
      <family val="2"/>
    </font>
    <font>
      <b/>
      <i/>
      <sz val="7.5"/>
      <color theme="1"/>
      <name val="Arial Narrow"/>
      <family val="2"/>
    </font>
    <font>
      <sz val="7"/>
      <color theme="1"/>
      <name val="Arial"/>
      <family val="2"/>
    </font>
    <font>
      <b/>
      <sz val="7.5"/>
      <color theme="1"/>
      <name val="Arial"/>
      <family val="2"/>
    </font>
    <font>
      <sz val="7.5"/>
      <color theme="1"/>
      <name val="Arial"/>
      <family val="2"/>
    </font>
    <font>
      <sz val="7.5"/>
      <color theme="1"/>
      <name val="Calibri"/>
      <family val="2"/>
      <scheme val="minor"/>
    </font>
    <font>
      <sz val="6"/>
      <color theme="1"/>
      <name val="Arial"/>
      <family val="2"/>
    </font>
    <font>
      <b/>
      <vertAlign val="superscript"/>
      <sz val="7.5"/>
      <color theme="1"/>
      <name val="Arial Narrow"/>
      <family val="2"/>
    </font>
    <font>
      <b/>
      <sz val="6"/>
      <color theme="1"/>
      <name val="Arial Narrow"/>
      <family val="2"/>
    </font>
    <font>
      <b/>
      <sz val="6.5"/>
      <color theme="1"/>
      <name val="Arial Narrow"/>
      <family val="2"/>
    </font>
    <font>
      <sz val="6.5"/>
      <color theme="1"/>
      <name val="Arial Narrow"/>
      <family val="2"/>
    </font>
    <font>
      <sz val="11"/>
      <name val="Arial Narrow"/>
      <family val="2"/>
    </font>
    <font>
      <sz val="12"/>
      <name val="Arial Narrow"/>
      <family val="2"/>
    </font>
    <font>
      <sz val="9"/>
      <name val="Arial Narrow"/>
      <family val="2"/>
    </font>
    <font>
      <b/>
      <i/>
      <sz val="9"/>
      <color theme="1"/>
      <name val="Calibri"/>
      <family val="2"/>
      <scheme val="minor"/>
    </font>
    <font>
      <sz val="9"/>
      <color rgb="FF000000"/>
      <name val="Calibri"/>
      <family val="2"/>
      <scheme val="minor"/>
    </font>
    <font>
      <b/>
      <sz val="8"/>
      <name val="Arial Narrow"/>
      <family val="2"/>
    </font>
    <font>
      <sz val="8"/>
      <color theme="1"/>
      <name val="Arial"/>
      <family val="2"/>
    </font>
    <font>
      <b/>
      <sz val="7"/>
      <color theme="1"/>
      <name val="Arial"/>
      <family val="2"/>
    </font>
    <font>
      <vertAlign val="superscript"/>
      <sz val="10"/>
      <color theme="1"/>
      <name val="Arial Narrow"/>
      <family val="2"/>
    </font>
    <font>
      <b/>
      <sz val="10"/>
      <color theme="0" tint="-0.34998626667073579"/>
      <name val="Arial Narrow"/>
      <family val="2"/>
    </font>
    <font>
      <sz val="9"/>
      <color theme="0" tint="-0.34998626667073579"/>
      <name val="Arial Narrow"/>
      <family val="2"/>
    </font>
    <font>
      <b/>
      <vertAlign val="superscript"/>
      <sz val="9"/>
      <color theme="0" tint="-0.34998626667073579"/>
      <name val="Arial Narrow"/>
      <family val="2"/>
    </font>
    <font>
      <b/>
      <sz val="9"/>
      <color theme="0" tint="-0.34998626667073579"/>
      <name val="Arial Narrow"/>
      <family val="2"/>
    </font>
    <font>
      <sz val="11"/>
      <color theme="0" tint="-0.34998626667073579"/>
      <name val="Arial Narrow"/>
      <family val="2"/>
    </font>
    <font>
      <vertAlign val="superscript"/>
      <sz val="9"/>
      <color theme="0" tint="-0.34998626667073579"/>
      <name val="Arial Narrow"/>
      <family val="2"/>
    </font>
    <font>
      <sz val="10"/>
      <color theme="1"/>
      <name val="Verdana"/>
      <family val="2"/>
    </font>
    <font>
      <vertAlign val="superscript"/>
      <sz val="9"/>
      <color theme="1"/>
      <name val="Arial"/>
      <family val="2"/>
    </font>
    <font>
      <sz val="12"/>
      <color theme="1"/>
      <name val="Times New Roman"/>
      <family val="1"/>
    </font>
    <font>
      <vertAlign val="superscript"/>
      <sz val="10"/>
      <color theme="1"/>
      <name val="Symbol"/>
      <family val="1"/>
      <charset val="2"/>
    </font>
    <font>
      <b/>
      <sz val="9"/>
      <color theme="1"/>
      <name val="Arial"/>
      <family val="2"/>
    </font>
    <font>
      <sz val="9"/>
      <color theme="1"/>
      <name val="Arial"/>
      <family val="2"/>
    </font>
    <font>
      <u/>
      <sz val="11"/>
      <color theme="10"/>
      <name val="Calibri"/>
      <family val="2"/>
      <scheme val="minor"/>
    </font>
    <font>
      <u/>
      <sz val="9"/>
      <color theme="1"/>
      <name val="Arial"/>
      <family val="2"/>
    </font>
    <font>
      <i/>
      <sz val="9"/>
      <color theme="1"/>
      <name val="Arial"/>
      <family val="2"/>
    </font>
    <font>
      <u/>
      <sz val="11"/>
      <color theme="10"/>
      <name val="Calibri"/>
      <family val="2"/>
    </font>
    <font>
      <sz val="12"/>
      <color rgb="FF000000"/>
      <name val="Arial Narrow"/>
      <family val="2"/>
    </font>
    <font>
      <u/>
      <sz val="11"/>
      <color theme="10"/>
      <name val="Arial Narrow"/>
      <family val="2"/>
    </font>
    <font>
      <sz val="16"/>
      <color theme="0"/>
      <name val="Arial Narrow"/>
      <family val="2"/>
    </font>
    <font>
      <sz val="6"/>
      <color theme="1"/>
      <name val="Calibri"/>
      <family val="2"/>
      <scheme val="minor"/>
    </font>
    <font>
      <b/>
      <sz val="9"/>
      <color rgb="FF000000"/>
      <name val="Arial"/>
      <family val="2"/>
    </font>
    <font>
      <i/>
      <sz val="6"/>
      <color theme="1"/>
      <name val="Arial"/>
      <family val="2"/>
    </font>
    <font>
      <sz val="5"/>
      <color theme="1"/>
      <name val="Arial"/>
      <family val="2"/>
    </font>
    <font>
      <sz val="1"/>
      <color theme="1"/>
      <name val="Arial"/>
      <family val="2"/>
    </font>
    <font>
      <sz val="4.5"/>
      <color theme="1"/>
      <name val="Arial"/>
      <family val="2"/>
    </font>
    <font>
      <sz val="8"/>
      <color rgb="FF0000FF"/>
      <name val="Arial"/>
      <family val="2"/>
    </font>
    <font>
      <sz val="9"/>
      <color theme="1"/>
      <name val="Calibri"/>
      <family val="2"/>
      <scheme val="minor"/>
    </font>
    <font>
      <b/>
      <sz val="10"/>
      <name val="Calibri"/>
      <family val="2"/>
    </font>
    <font>
      <b/>
      <sz val="8"/>
      <name val="Arial"/>
      <family val="2"/>
    </font>
    <font>
      <sz val="8"/>
      <name val="Arial"/>
      <family val="2"/>
    </font>
    <font>
      <sz val="8"/>
      <color rgb="FF0070C0"/>
      <name val="Arial"/>
      <family val="2"/>
    </font>
    <font>
      <b/>
      <sz val="8"/>
      <color theme="1"/>
      <name val="Calibri"/>
      <family val="2"/>
      <scheme val="minor"/>
    </font>
    <font>
      <b/>
      <sz val="11"/>
      <color theme="1"/>
      <name val="Arial"/>
      <family val="2"/>
    </font>
    <font>
      <sz val="11"/>
      <name val="Calibri"/>
      <family val="2"/>
      <scheme val="minor"/>
    </font>
    <font>
      <sz val="10"/>
      <color indexed="8"/>
      <name val="Arial"/>
      <family val="2"/>
    </font>
    <font>
      <sz val="11"/>
      <color rgb="FFFF0000"/>
      <name val="Calibri"/>
      <family val="2"/>
      <scheme val="minor"/>
    </font>
    <font>
      <b/>
      <sz val="12"/>
      <name val="Arial"/>
      <family val="2"/>
    </font>
    <font>
      <sz val="12"/>
      <name val="Arial"/>
      <family val="2"/>
    </font>
    <font>
      <sz val="20"/>
      <name val="Arial"/>
      <family val="2"/>
    </font>
    <font>
      <sz val="12"/>
      <color theme="1"/>
      <name val="Arial"/>
      <family val="2"/>
    </font>
    <font>
      <b/>
      <sz val="16"/>
      <name val="Arial"/>
      <family val="2"/>
    </font>
    <font>
      <sz val="11"/>
      <color theme="1"/>
      <name val="Arial"/>
      <family val="2"/>
    </font>
    <font>
      <sz val="11"/>
      <color rgb="FFFFFF00"/>
      <name val="Arial"/>
      <family val="2"/>
    </font>
    <font>
      <b/>
      <sz val="11"/>
      <name val="Arial"/>
      <family val="2"/>
    </font>
    <font>
      <sz val="11"/>
      <name val="Arial"/>
      <family val="2"/>
    </font>
    <font>
      <b/>
      <sz val="14"/>
      <color rgb="FFFFFFFF"/>
      <name val="Montserrat"/>
    </font>
    <font>
      <sz val="11"/>
      <name val="Montserrat"/>
    </font>
    <font>
      <b/>
      <sz val="11"/>
      <name val="Montserrat"/>
    </font>
    <font>
      <b/>
      <sz val="9"/>
      <color rgb="FF000000"/>
      <name val="Montserrat"/>
    </font>
    <font>
      <b/>
      <sz val="10"/>
      <color theme="1"/>
      <name val="Calibri"/>
      <family val="2"/>
      <scheme val="minor"/>
    </font>
    <font>
      <sz val="10"/>
      <color theme="1"/>
      <name val="Calibri"/>
      <family val="2"/>
      <scheme val="minor"/>
    </font>
    <font>
      <sz val="9"/>
      <color theme="1"/>
      <name val="Montserrat"/>
    </font>
    <font>
      <b/>
      <sz val="9"/>
      <name val="Montserrat"/>
    </font>
    <font>
      <sz val="9"/>
      <name val="Montserrat"/>
    </font>
    <font>
      <sz val="11"/>
      <name val="Calibri"/>
      <family val="2"/>
    </font>
    <font>
      <sz val="9"/>
      <color rgb="FF000000"/>
      <name val="Montserrat"/>
    </font>
  </fonts>
  <fills count="24">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theme="0"/>
        <bgColor indexed="64"/>
      </patternFill>
    </fill>
    <fill>
      <patternFill patternType="solid">
        <fgColor indexed="47"/>
      </patternFill>
    </fill>
    <fill>
      <patternFill patternType="solid">
        <fgColor rgb="FFD9D9D9"/>
        <bgColor indexed="64"/>
      </patternFill>
    </fill>
    <fill>
      <patternFill patternType="solid">
        <fgColor rgb="FFBFBFBF"/>
        <bgColor indexed="64"/>
      </patternFill>
    </fill>
    <fill>
      <patternFill patternType="solid">
        <fgColor theme="5" tint="0.39997558519241921"/>
        <bgColor indexed="64"/>
      </patternFill>
    </fill>
    <fill>
      <patternFill patternType="solid">
        <fgColor rgb="FFA6A6A6"/>
        <bgColor indexed="64"/>
      </patternFill>
    </fill>
    <fill>
      <patternFill patternType="solid">
        <fgColor rgb="FFF2F2F2"/>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9" tint="0.79998168889431442"/>
        <bgColor indexed="64"/>
      </patternFill>
    </fill>
    <fill>
      <patternFill patternType="solid">
        <fgColor rgb="FFFFFF00"/>
        <bgColor indexed="64"/>
      </patternFill>
    </fill>
    <fill>
      <patternFill patternType="solid">
        <fgColor rgb="FF8B2B2B"/>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FFCC"/>
        <bgColor indexed="64"/>
      </patternFill>
    </fill>
    <fill>
      <patternFill patternType="solid">
        <fgColor rgb="FFFF0000"/>
        <bgColor indexed="64"/>
      </patternFill>
    </fill>
    <fill>
      <patternFill patternType="solid">
        <fgColor rgb="FFFFFFFF"/>
        <bgColor rgb="FFFFFFFF"/>
      </patternFill>
    </fill>
  </fills>
  <borders count="10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double">
        <color indexed="64"/>
      </top>
      <bottom/>
      <diagonal/>
    </border>
    <border>
      <left style="medium">
        <color indexed="64"/>
      </left>
      <right style="medium">
        <color indexed="64"/>
      </right>
      <top style="medium">
        <color indexed="64"/>
      </top>
      <bottom/>
      <diagonal/>
    </border>
    <border>
      <left/>
      <right style="medium">
        <color rgb="FF000000"/>
      </right>
      <top/>
      <bottom/>
      <diagonal/>
    </border>
    <border>
      <left/>
      <right style="medium">
        <color rgb="FF000000"/>
      </right>
      <top/>
      <bottom style="medium">
        <color indexed="64"/>
      </bottom>
      <diagonal/>
    </border>
    <border>
      <left style="medium">
        <color rgb="FF000000"/>
      </left>
      <right style="medium">
        <color indexed="64"/>
      </right>
      <top/>
      <bottom/>
      <diagonal/>
    </border>
    <border>
      <left/>
      <right style="medium">
        <color rgb="FF000000"/>
      </right>
      <top style="medium">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bottom style="dotted">
        <color indexed="64"/>
      </bottom>
      <diagonal/>
    </border>
    <border>
      <left/>
      <right style="medium">
        <color indexed="64"/>
      </right>
      <top/>
      <bottom style="dotted">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indexed="64"/>
      </bottom>
      <diagonal/>
    </border>
    <border>
      <left/>
      <right/>
      <top style="thin">
        <color theme="0" tint="-0.499984740745262"/>
      </top>
      <bottom/>
      <diagonal/>
    </border>
    <border>
      <left/>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theme="0" tint="-0.499984740745262"/>
      </right>
      <top/>
      <bottom style="thin">
        <color theme="0" tint="-0.499984740745262"/>
      </bottom>
      <diagonal/>
    </border>
    <border>
      <left style="thin">
        <color indexed="64"/>
      </left>
      <right/>
      <top style="thin">
        <color theme="0" tint="-0.499984740745262"/>
      </top>
      <bottom/>
      <diagonal/>
    </border>
    <border>
      <left/>
      <right style="thin">
        <color theme="0" tint="-0.499984740745262"/>
      </right>
      <top style="thin">
        <color theme="0" tint="-0.499984740745262"/>
      </top>
      <bottom/>
      <diagonal/>
    </border>
    <border>
      <left style="thin">
        <color indexed="64"/>
      </left>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style="thin">
        <color indexed="64"/>
      </top>
      <bottom style="thin">
        <color theme="0" tint="-0.499984740745262"/>
      </bottom>
      <diagonal/>
    </border>
  </borders>
  <cellStyleXfs count="20">
    <xf numFmtId="0" fontId="0"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0" fontId="9" fillId="0" borderId="0"/>
    <xf numFmtId="44" fontId="8" fillId="0" borderId="0" applyFont="0" applyFill="0" applyBorder="0" applyAlignment="0" applyProtection="0"/>
    <xf numFmtId="43" fontId="4" fillId="0" borderId="0" applyFont="0" applyFill="0" applyBorder="0" applyAlignment="0" applyProtection="0"/>
    <xf numFmtId="0" fontId="13" fillId="5"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95" fillId="0" borderId="0" applyNumberFormat="0" applyFill="0" applyBorder="0" applyAlignment="0" applyProtection="0">
      <alignment vertical="top"/>
      <protection locked="0"/>
    </xf>
    <xf numFmtId="0" fontId="4" fillId="0" borderId="0"/>
    <xf numFmtId="0" fontId="8" fillId="0" borderId="0"/>
    <xf numFmtId="43" fontId="4" fillId="0" borderId="0" applyFont="0" applyFill="0" applyBorder="0" applyAlignment="0" applyProtection="0"/>
    <xf numFmtId="44" fontId="4" fillId="0" borderId="0" applyFont="0" applyFill="0" applyBorder="0" applyAlignment="0" applyProtection="0"/>
    <xf numFmtId="0" fontId="4" fillId="0" borderId="0"/>
  </cellStyleXfs>
  <cellXfs count="1566">
    <xf numFmtId="0" fontId="0" fillId="0" borderId="0" xfId="0"/>
    <xf numFmtId="0" fontId="1" fillId="0" borderId="8" xfId="0" applyFont="1" applyBorder="1"/>
    <xf numFmtId="0" fontId="1" fillId="0" borderId="9" xfId="0" applyFont="1" applyBorder="1"/>
    <xf numFmtId="0" fontId="5" fillId="0" borderId="0" xfId="0" applyFont="1"/>
    <xf numFmtId="0" fontId="6" fillId="0" borderId="0" xfId="0" applyFont="1" applyAlignment="1">
      <alignment horizontal="right" vertical="top"/>
    </xf>
    <xf numFmtId="0" fontId="11" fillId="0" borderId="0" xfId="0" applyFont="1" applyAlignment="1">
      <alignment vertical="top"/>
    </xf>
    <xf numFmtId="0" fontId="5" fillId="0" borderId="0" xfId="0" applyFont="1" applyAlignment="1">
      <alignment vertical="center"/>
    </xf>
    <xf numFmtId="0" fontId="1" fillId="0" borderId="1" xfId="0" applyFont="1" applyBorder="1"/>
    <xf numFmtId="0" fontId="1" fillId="0" borderId="2" xfId="0" applyFont="1" applyBorder="1"/>
    <xf numFmtId="0" fontId="1" fillId="0" borderId="3" xfId="0" applyFont="1" applyBorder="1"/>
    <xf numFmtId="0" fontId="1" fillId="0" borderId="5" xfId="0" applyFont="1" applyBorder="1"/>
    <xf numFmtId="0" fontId="1" fillId="0" borderId="0" xfId="0" applyFont="1"/>
    <xf numFmtId="0" fontId="1" fillId="0" borderId="6" xfId="0" applyFont="1" applyBorder="1"/>
    <xf numFmtId="0" fontId="3" fillId="0" borderId="5" xfId="0" applyFont="1" applyBorder="1"/>
    <xf numFmtId="0" fontId="3" fillId="0" borderId="0" xfId="0" applyFont="1" applyAlignment="1">
      <alignment vertical="justify"/>
    </xf>
    <xf numFmtId="0" fontId="1" fillId="0" borderId="7" xfId="0" applyFont="1" applyBorder="1"/>
    <xf numFmtId="0" fontId="3" fillId="0" borderId="8" xfId="0" applyFont="1" applyBorder="1" applyAlignment="1">
      <alignment vertical="justify"/>
    </xf>
    <xf numFmtId="0" fontId="3" fillId="0" borderId="0" xfId="0" applyFont="1"/>
    <xf numFmtId="0" fontId="3" fillId="0" borderId="1" xfId="0" applyFont="1" applyBorder="1"/>
    <xf numFmtId="0" fontId="3" fillId="0" borderId="7" xfId="0" applyFont="1" applyBorder="1"/>
    <xf numFmtId="0" fontId="1" fillId="0" borderId="5" xfId="0" quotePrefix="1" applyFont="1" applyBorder="1"/>
    <xf numFmtId="0" fontId="20"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right" vertical="center" indent="1"/>
    </xf>
    <xf numFmtId="0" fontId="33" fillId="0" borderId="5" xfId="0" applyFont="1" applyBorder="1" applyAlignment="1">
      <alignment horizontal="center" vertical="center"/>
    </xf>
    <xf numFmtId="0" fontId="33" fillId="0" borderId="17" xfId="0" applyFont="1" applyBorder="1" applyAlignment="1">
      <alignment horizontal="center" vertical="center"/>
    </xf>
    <xf numFmtId="0" fontId="33" fillId="0" borderId="6" xfId="0" applyFont="1" applyBorder="1" applyAlignment="1">
      <alignment horizontal="center" vertical="center"/>
    </xf>
    <xf numFmtId="0" fontId="32" fillId="0" borderId="0" xfId="0" applyFont="1"/>
    <xf numFmtId="0" fontId="35" fillId="0" borderId="16" xfId="0" applyFont="1" applyBorder="1" applyAlignment="1">
      <alignment horizontal="center" vertical="center"/>
    </xf>
    <xf numFmtId="0" fontId="35" fillId="0" borderId="18" xfId="0" applyFont="1" applyBorder="1" applyAlignment="1">
      <alignment horizontal="center" vertical="center"/>
    </xf>
    <xf numFmtId="0" fontId="38" fillId="0" borderId="0" xfId="0" applyFont="1" applyAlignment="1">
      <alignment horizontal="center"/>
    </xf>
    <xf numFmtId="0" fontId="5" fillId="2" borderId="0" xfId="0" applyFont="1" applyFill="1"/>
    <xf numFmtId="0" fontId="28" fillId="2" borderId="0" xfId="0" applyFont="1" applyFill="1"/>
    <xf numFmtId="0" fontId="33" fillId="0" borderId="14" xfId="0" applyFont="1" applyBorder="1" applyAlignment="1">
      <alignment horizontal="center" vertical="center"/>
    </xf>
    <xf numFmtId="0" fontId="11" fillId="0" borderId="8" xfId="0" applyFont="1" applyBorder="1" applyAlignment="1">
      <alignment vertical="center"/>
    </xf>
    <xf numFmtId="0" fontId="6" fillId="0" borderId="0" xfId="0" applyFont="1" applyAlignment="1">
      <alignment horizontal="left" vertical="top"/>
    </xf>
    <xf numFmtId="0" fontId="5" fillId="0" borderId="0" xfId="0" applyFont="1" applyProtection="1">
      <protection locked="0"/>
    </xf>
    <xf numFmtId="0" fontId="6" fillId="0" borderId="0" xfId="0" applyFont="1" applyAlignment="1" applyProtection="1">
      <alignment horizontal="right" vertical="top"/>
      <protection locked="0"/>
    </xf>
    <xf numFmtId="0" fontId="2" fillId="0" borderId="0" xfId="0" applyFont="1" applyAlignment="1" applyProtection="1">
      <alignment vertical="top" wrapText="1"/>
      <protection locked="0"/>
    </xf>
    <xf numFmtId="0" fontId="2" fillId="0" borderId="6" xfId="0" applyFont="1" applyBorder="1" applyAlignment="1" applyProtection="1">
      <alignment vertical="top" wrapText="1"/>
      <protection locked="0"/>
    </xf>
    <xf numFmtId="0" fontId="7" fillId="0" borderId="5" xfId="0" applyFont="1" applyBorder="1" applyAlignment="1" applyProtection="1">
      <alignment wrapText="1"/>
      <protection locked="0"/>
    </xf>
    <xf numFmtId="0" fontId="15" fillId="0" borderId="0" xfId="0" applyFont="1" applyAlignment="1" applyProtection="1">
      <alignment wrapText="1"/>
      <protection locked="0"/>
    </xf>
    <xf numFmtId="0" fontId="5" fillId="0" borderId="0" xfId="0" applyFont="1" applyAlignment="1" applyProtection="1">
      <alignment horizontal="justify" wrapText="1"/>
      <protection locked="0"/>
    </xf>
    <xf numFmtId="0" fontId="7" fillId="0" borderId="0" xfId="0" applyFont="1" applyAlignment="1" applyProtection="1">
      <alignment wrapText="1"/>
      <protection locked="0"/>
    </xf>
    <xf numFmtId="0" fontId="15" fillId="0" borderId="6" xfId="0" applyFont="1" applyBorder="1" applyAlignment="1" applyProtection="1">
      <alignment wrapText="1"/>
      <protection locked="0"/>
    </xf>
    <xf numFmtId="0" fontId="5" fillId="0" borderId="5" xfId="0" applyFont="1" applyBorder="1" applyAlignment="1" applyProtection="1">
      <alignment wrapText="1"/>
      <protection locked="0"/>
    </xf>
    <xf numFmtId="43" fontId="1" fillId="0" borderId="0" xfId="8" applyNumberFormat="1" applyFont="1" applyFill="1" applyBorder="1" applyAlignment="1" applyProtection="1">
      <alignment vertical="top" wrapText="1"/>
      <protection locked="0"/>
    </xf>
    <xf numFmtId="0" fontId="5" fillId="0" borderId="0" xfId="0" applyFont="1" applyAlignment="1" applyProtection="1">
      <alignment wrapText="1"/>
      <protection locked="0"/>
    </xf>
    <xf numFmtId="43" fontId="1" fillId="0" borderId="6" xfId="8" applyNumberFormat="1" applyFont="1" applyFill="1" applyBorder="1" applyAlignment="1" applyProtection="1">
      <alignment vertical="top" wrapText="1"/>
      <protection locked="0"/>
    </xf>
    <xf numFmtId="0" fontId="5" fillId="0" borderId="5" xfId="0" applyFont="1" applyBorder="1" applyAlignment="1" applyProtection="1">
      <alignment horizontal="left" wrapText="1"/>
      <protection locked="0"/>
    </xf>
    <xf numFmtId="0" fontId="16" fillId="0" borderId="5" xfId="0" applyFont="1" applyBorder="1" applyAlignment="1" applyProtection="1">
      <alignment horizontal="justify" wrapText="1"/>
      <protection locked="0"/>
    </xf>
    <xf numFmtId="43" fontId="1" fillId="0" borderId="0" xfId="0" applyNumberFormat="1" applyFont="1" applyAlignment="1" applyProtection="1">
      <alignment wrapText="1"/>
      <protection locked="0"/>
    </xf>
    <xf numFmtId="43" fontId="17" fillId="0" borderId="0" xfId="0" applyNumberFormat="1" applyFont="1" applyAlignment="1" applyProtection="1">
      <alignment wrapText="1"/>
      <protection locked="0"/>
    </xf>
    <xf numFmtId="0" fontId="18" fillId="0" borderId="0" xfId="0" applyFont="1" applyAlignment="1" applyProtection="1">
      <alignment wrapText="1"/>
      <protection locked="0"/>
    </xf>
    <xf numFmtId="43" fontId="17" fillId="0" borderId="6" xfId="0" applyNumberFormat="1" applyFont="1" applyBorder="1" applyAlignment="1" applyProtection="1">
      <alignment wrapText="1"/>
      <protection locked="0"/>
    </xf>
    <xf numFmtId="43" fontId="15" fillId="0" borderId="0" xfId="0" applyNumberFormat="1" applyFont="1" applyAlignment="1" applyProtection="1">
      <alignment wrapText="1"/>
      <protection locked="0"/>
    </xf>
    <xf numFmtId="43" fontId="15" fillId="0" borderId="6" xfId="0" applyNumberFormat="1" applyFont="1" applyBorder="1" applyAlignment="1" applyProtection="1">
      <alignment wrapText="1"/>
      <protection locked="0"/>
    </xf>
    <xf numFmtId="0" fontId="18" fillId="0" borderId="5" xfId="0" applyFont="1" applyBorder="1" applyAlignment="1" applyProtection="1">
      <alignment wrapText="1"/>
      <protection locked="0"/>
    </xf>
    <xf numFmtId="43" fontId="1" fillId="0" borderId="6" xfId="0" applyNumberFormat="1" applyFont="1" applyBorder="1" applyAlignment="1" applyProtection="1">
      <alignment wrapText="1"/>
      <protection locked="0"/>
    </xf>
    <xf numFmtId="0" fontId="0" fillId="0" borderId="0" xfId="0" applyProtection="1">
      <protection locked="0"/>
    </xf>
    <xf numFmtId="0" fontId="6" fillId="0" borderId="0" xfId="0" applyFont="1" applyAlignment="1" applyProtection="1">
      <alignment wrapText="1"/>
      <protection locked="0"/>
    </xf>
    <xf numFmtId="0" fontId="5" fillId="0" borderId="5" xfId="0" applyFont="1" applyBorder="1" applyProtection="1">
      <protection locked="0"/>
    </xf>
    <xf numFmtId="43" fontId="1" fillId="0" borderId="0" xfId="0" applyNumberFormat="1" applyFont="1" applyProtection="1">
      <protection locked="0"/>
    </xf>
    <xf numFmtId="0" fontId="16" fillId="0" borderId="0" xfId="0" applyFont="1" applyAlignment="1" applyProtection="1">
      <alignment horizontal="justify" wrapText="1"/>
      <protection locked="0"/>
    </xf>
    <xf numFmtId="43" fontId="1" fillId="0" borderId="6" xfId="0" applyNumberFormat="1" applyFont="1" applyBorder="1" applyProtection="1">
      <protection locked="0"/>
    </xf>
    <xf numFmtId="4" fontId="1" fillId="0" borderId="0" xfId="0" applyNumberFormat="1" applyFont="1" applyProtection="1">
      <protection locked="0"/>
    </xf>
    <xf numFmtId="4" fontId="1" fillId="0" borderId="6" xfId="0" applyNumberFormat="1" applyFont="1" applyBorder="1" applyProtection="1">
      <protection locked="0"/>
    </xf>
    <xf numFmtId="0" fontId="5" fillId="0" borderId="7" xfId="0" applyFont="1" applyBorder="1" applyProtection="1">
      <protection locked="0"/>
    </xf>
    <xf numFmtId="43" fontId="1" fillId="0" borderId="8" xfId="0" applyNumberFormat="1" applyFont="1" applyBorder="1" applyProtection="1">
      <protection locked="0"/>
    </xf>
    <xf numFmtId="0" fontId="5" fillId="0" borderId="8" xfId="0" applyFont="1" applyBorder="1" applyProtection="1">
      <protection locked="0"/>
    </xf>
    <xf numFmtId="0" fontId="1" fillId="0" borderId="8" xfId="0" applyFont="1" applyBorder="1" applyProtection="1">
      <protection locked="0"/>
    </xf>
    <xf numFmtId="0" fontId="1" fillId="0" borderId="9" xfId="0" applyFont="1" applyBorder="1" applyProtection="1">
      <protection locked="0"/>
    </xf>
    <xf numFmtId="0" fontId="6" fillId="0" borderId="37" xfId="0" applyFont="1" applyBorder="1" applyAlignment="1" applyProtection="1">
      <alignment horizontal="center" vertical="center" wrapText="1"/>
      <protection locked="0"/>
    </xf>
    <xf numFmtId="0" fontId="5" fillId="2" borderId="0" xfId="0" applyFont="1" applyFill="1" applyProtection="1">
      <protection locked="0"/>
    </xf>
    <xf numFmtId="0" fontId="6" fillId="0" borderId="0" xfId="0" applyFont="1" applyProtection="1">
      <protection locked="0"/>
    </xf>
    <xf numFmtId="0" fontId="20" fillId="0" borderId="0" xfId="0" applyFont="1" applyAlignment="1" applyProtection="1">
      <alignment horizontal="left"/>
      <protection locked="0"/>
    </xf>
    <xf numFmtId="0" fontId="5" fillId="0" borderId="0" xfId="0" applyFont="1" applyAlignment="1" applyProtection="1">
      <alignment horizontal="left"/>
      <protection locked="0"/>
    </xf>
    <xf numFmtId="0" fontId="6" fillId="0" borderId="5" xfId="0" applyFont="1" applyBorder="1" applyAlignment="1" applyProtection="1">
      <alignment horizontal="left" vertical="top"/>
      <protection locked="0"/>
    </xf>
    <xf numFmtId="0" fontId="6" fillId="0" borderId="0" xfId="0" applyFont="1" applyAlignment="1" applyProtection="1">
      <alignment horizontal="left" vertical="top"/>
      <protection locked="0"/>
    </xf>
    <xf numFmtId="0" fontId="5" fillId="0" borderId="0" xfId="0" applyFont="1" applyAlignment="1" applyProtection="1">
      <alignment horizontal="left" vertical="top"/>
      <protection locked="0"/>
    </xf>
    <xf numFmtId="0" fontId="16" fillId="0" borderId="5" xfId="0" applyFont="1" applyBorder="1" applyAlignment="1" applyProtection="1">
      <alignment horizontal="left" vertical="top"/>
      <protection locked="0"/>
    </xf>
    <xf numFmtId="0" fontId="1" fillId="0" borderId="0" xfId="0" applyFont="1" applyAlignment="1" applyProtection="1">
      <alignment horizontal="left" vertical="top"/>
      <protection locked="0"/>
    </xf>
    <xf numFmtId="0" fontId="16" fillId="0" borderId="0" xfId="0" applyFont="1" applyAlignment="1" applyProtection="1">
      <alignment horizontal="left" vertical="top"/>
      <protection locked="0"/>
    </xf>
    <xf numFmtId="0" fontId="16" fillId="0" borderId="7" xfId="0" applyFont="1" applyBorder="1" applyAlignment="1" applyProtection="1">
      <alignment horizontal="left" vertical="top"/>
      <protection locked="0"/>
    </xf>
    <xf numFmtId="0" fontId="16" fillId="0" borderId="8" xfId="0" applyFont="1" applyBorder="1" applyAlignment="1" applyProtection="1">
      <alignment horizontal="left" vertical="top"/>
      <protection locked="0"/>
    </xf>
    <xf numFmtId="0" fontId="6" fillId="0" borderId="39" xfId="0" applyFont="1" applyBorder="1" applyAlignment="1" applyProtection="1">
      <alignment horizontal="center" vertical="center" wrapText="1"/>
      <protection locked="0"/>
    </xf>
    <xf numFmtId="0" fontId="22" fillId="0" borderId="0" xfId="0" applyFont="1" applyProtection="1">
      <protection locked="0"/>
    </xf>
    <xf numFmtId="0" fontId="5" fillId="0" borderId="0" xfId="0" applyFont="1" applyAlignment="1" applyProtection="1">
      <alignment vertical="center"/>
      <protection locked="0"/>
    </xf>
    <xf numFmtId="0" fontId="27" fillId="3" borderId="39" xfId="0" applyFont="1" applyFill="1" applyBorder="1" applyAlignment="1" applyProtection="1">
      <alignment horizontal="center" vertical="center"/>
      <protection locked="0"/>
    </xf>
    <xf numFmtId="0" fontId="27" fillId="3" borderId="41" xfId="0" applyFont="1" applyFill="1" applyBorder="1" applyAlignment="1" applyProtection="1">
      <alignment horizontal="center" vertical="center"/>
      <protection locked="0"/>
    </xf>
    <xf numFmtId="0" fontId="12" fillId="0" borderId="6" xfId="0" applyFont="1" applyBorder="1" applyProtection="1">
      <protection locked="0"/>
    </xf>
    <xf numFmtId="0" fontId="12" fillId="0" borderId="0" xfId="0" applyFont="1" applyProtection="1">
      <protection locked="0"/>
    </xf>
    <xf numFmtId="0" fontId="12" fillId="0" borderId="5" xfId="0" applyFont="1" applyBorder="1" applyAlignment="1" applyProtection="1">
      <alignment horizontal="justify" vertical="top"/>
      <protection locked="0"/>
    </xf>
    <xf numFmtId="0" fontId="25" fillId="0" borderId="0" xfId="0" applyFont="1" applyAlignment="1" applyProtection="1">
      <alignment vertical="top"/>
      <protection locked="0"/>
    </xf>
    <xf numFmtId="0" fontId="26" fillId="0" borderId="5" xfId="0" applyFont="1" applyBorder="1" applyAlignment="1" applyProtection="1">
      <alignment horizontal="justify" vertical="top"/>
      <protection locked="0"/>
    </xf>
    <xf numFmtId="0" fontId="26" fillId="0" borderId="0" xfId="0" applyFont="1" applyProtection="1">
      <protection locked="0"/>
    </xf>
    <xf numFmtId="0" fontId="24" fillId="0" borderId="5" xfId="0" applyFont="1" applyBorder="1" applyAlignment="1" applyProtection="1">
      <alignment vertical="top"/>
      <protection locked="0"/>
    </xf>
    <xf numFmtId="0" fontId="24" fillId="0" borderId="0" xfId="0" applyFont="1" applyAlignment="1" applyProtection="1">
      <alignment vertical="top"/>
      <protection locked="0"/>
    </xf>
    <xf numFmtId="0" fontId="12" fillId="0" borderId="5" xfId="0" applyFont="1" applyBorder="1" applyAlignment="1" applyProtection="1">
      <alignment vertical="top"/>
      <protection locked="0"/>
    </xf>
    <xf numFmtId="0" fontId="12" fillId="0" borderId="0" xfId="0" applyFont="1" applyAlignment="1" applyProtection="1">
      <alignment vertical="top"/>
      <protection locked="0"/>
    </xf>
    <xf numFmtId="0" fontId="25" fillId="0" borderId="5" xfId="0" applyFont="1" applyBorder="1" applyAlignment="1" applyProtection="1">
      <alignment vertical="top"/>
      <protection locked="0"/>
    </xf>
    <xf numFmtId="0" fontId="24" fillId="0" borderId="0" xfId="0" applyFont="1" applyAlignment="1" applyProtection="1">
      <alignment vertical="top" wrapText="1"/>
      <protection locked="0"/>
    </xf>
    <xf numFmtId="0" fontId="23" fillId="0" borderId="5" xfId="0" applyFont="1" applyBorder="1" applyAlignment="1" applyProtection="1">
      <alignment vertical="top"/>
      <protection locked="0"/>
    </xf>
    <xf numFmtId="0" fontId="23" fillId="0" borderId="0" xfId="0" applyFont="1" applyAlignment="1" applyProtection="1">
      <alignment vertical="top"/>
      <protection locked="0"/>
    </xf>
    <xf numFmtId="0" fontId="24" fillId="0" borderId="8" xfId="0" applyFont="1" applyBorder="1" applyAlignment="1" applyProtection="1">
      <alignment vertical="top" wrapText="1"/>
      <protection locked="0"/>
    </xf>
    <xf numFmtId="0" fontId="24" fillId="0" borderId="7" xfId="0" applyFont="1" applyBorder="1" applyAlignment="1" applyProtection="1">
      <alignment vertical="top"/>
      <protection locked="0"/>
    </xf>
    <xf numFmtId="0" fontId="12" fillId="0" borderId="0" xfId="0" applyFont="1" applyAlignment="1" applyProtection="1">
      <alignment horizontal="left" vertical="top" wrapText="1" indent="2"/>
      <protection locked="0"/>
    </xf>
    <xf numFmtId="0" fontId="12" fillId="0" borderId="0" xfId="0" applyFont="1" applyAlignment="1" applyProtection="1">
      <alignment horizontal="left" vertical="top" indent="2"/>
      <protection locked="0"/>
    </xf>
    <xf numFmtId="4" fontId="25" fillId="0" borderId="0" xfId="0" applyNumberFormat="1" applyFont="1" applyAlignment="1">
      <alignment vertical="top"/>
    </xf>
    <xf numFmtId="4" fontId="25" fillId="0" borderId="6" xfId="0" applyNumberFormat="1" applyFont="1" applyBorder="1" applyAlignment="1">
      <alignment vertical="top"/>
    </xf>
    <xf numFmtId="4" fontId="12" fillId="0" borderId="0" xfId="0" applyNumberFormat="1" applyFont="1" applyProtection="1">
      <protection locked="0"/>
    </xf>
    <xf numFmtId="4" fontId="12" fillId="0" borderId="6" xfId="0" applyNumberFormat="1" applyFont="1" applyBorder="1" applyProtection="1">
      <protection locked="0"/>
    </xf>
    <xf numFmtId="4" fontId="24" fillId="0" borderId="0" xfId="0" applyNumberFormat="1" applyFont="1" applyAlignment="1">
      <alignment vertical="top"/>
    </xf>
    <xf numFmtId="4" fontId="24" fillId="0" borderId="6" xfId="0" applyNumberFormat="1" applyFont="1" applyBorder="1" applyAlignment="1">
      <alignment vertical="top"/>
    </xf>
    <xf numFmtId="4" fontId="12" fillId="0" borderId="6" xfId="0" applyNumberFormat="1" applyFont="1" applyBorder="1" applyAlignment="1">
      <alignment vertical="top"/>
    </xf>
    <xf numFmtId="4" fontId="25" fillId="0" borderId="6" xfId="0" applyNumberFormat="1" applyFont="1" applyBorder="1" applyAlignment="1" applyProtection="1">
      <alignment vertical="top"/>
      <protection locked="0"/>
    </xf>
    <xf numFmtId="4" fontId="12" fillId="0" borderId="0" xfId="0" applyNumberFormat="1" applyFont="1" applyAlignment="1" applyProtection="1">
      <alignment vertical="top"/>
      <protection locked="0"/>
    </xf>
    <xf numFmtId="4" fontId="12" fillId="0" borderId="6" xfId="0" applyNumberFormat="1" applyFont="1" applyBorder="1" applyAlignment="1" applyProtection="1">
      <alignment vertical="top"/>
      <protection locked="0"/>
    </xf>
    <xf numFmtId="4" fontId="24" fillId="0" borderId="0" xfId="0" applyNumberFormat="1" applyFont="1" applyAlignment="1">
      <alignment vertical="top" wrapText="1"/>
    </xf>
    <xf numFmtId="4" fontId="24" fillId="0" borderId="6" xfId="0" applyNumberFormat="1" applyFont="1" applyBorder="1" applyAlignment="1">
      <alignment vertical="top" wrapText="1"/>
    </xf>
    <xf numFmtId="4" fontId="24" fillId="0" borderId="8" xfId="0" applyNumberFormat="1" applyFont="1" applyBorder="1" applyAlignment="1">
      <alignment vertical="top" wrapText="1"/>
    </xf>
    <xf numFmtId="4" fontId="24" fillId="0" borderId="9" xfId="0" applyNumberFormat="1" applyFont="1" applyBorder="1" applyAlignment="1">
      <alignment vertical="top" wrapText="1"/>
    </xf>
    <xf numFmtId="0" fontId="14" fillId="0" borderId="39" xfId="0" applyFont="1" applyBorder="1" applyAlignment="1" applyProtection="1">
      <alignment horizontal="center" vertical="center"/>
      <protection locked="0"/>
    </xf>
    <xf numFmtId="0" fontId="14" fillId="0" borderId="41" xfId="0" applyFont="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11" fillId="0" borderId="8" xfId="0" applyFont="1" applyBorder="1" applyAlignment="1" applyProtection="1">
      <alignment vertical="center"/>
      <protection locked="0"/>
    </xf>
    <xf numFmtId="0" fontId="5" fillId="0" borderId="0" xfId="0" applyFont="1" applyAlignment="1" applyProtection="1">
      <alignment horizontal="left" vertical="center"/>
      <protection locked="0"/>
    </xf>
    <xf numFmtId="0" fontId="5" fillId="0" borderId="0" xfId="0" applyFont="1" applyAlignment="1" applyProtection="1">
      <alignment vertical="center" wrapText="1"/>
      <protection locked="0"/>
    </xf>
    <xf numFmtId="0" fontId="21" fillId="3" borderId="5" xfId="0" applyFont="1" applyFill="1" applyBorder="1" applyAlignment="1" applyProtection="1">
      <alignment horizontal="justify" vertical="center"/>
      <protection locked="0"/>
    </xf>
    <xf numFmtId="0" fontId="16" fillId="3" borderId="5" xfId="0" applyFont="1" applyFill="1" applyBorder="1" applyAlignment="1" applyProtection="1">
      <alignment horizontal="justify" vertical="center"/>
      <protection locked="0"/>
    </xf>
    <xf numFmtId="0" fontId="6" fillId="0" borderId="21" xfId="0" applyFont="1" applyBorder="1" applyAlignment="1" applyProtection="1">
      <alignment horizontal="center" vertical="center" wrapText="1"/>
      <protection locked="0"/>
    </xf>
    <xf numFmtId="0" fontId="6" fillId="0" borderId="43" xfId="0" applyFont="1" applyBorder="1" applyAlignment="1" applyProtection="1">
      <alignment horizontal="center" vertical="center" wrapText="1"/>
      <protection locked="0"/>
    </xf>
    <xf numFmtId="0" fontId="3" fillId="0" borderId="21"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5" fillId="0" borderId="0" xfId="0" applyFont="1" applyAlignment="1" applyProtection="1">
      <alignment horizontal="center"/>
      <protection locked="0"/>
    </xf>
    <xf numFmtId="4" fontId="3" fillId="0" borderId="15" xfId="0" applyNumberFormat="1" applyFont="1" applyBorder="1" applyAlignment="1" applyProtection="1">
      <alignment horizontal="center" vertical="top" wrapText="1"/>
      <protection locked="0"/>
    </xf>
    <xf numFmtId="4" fontId="3" fillId="0" borderId="15" xfId="0" applyNumberFormat="1" applyFont="1" applyBorder="1" applyAlignment="1" applyProtection="1">
      <alignment vertical="top" wrapText="1"/>
      <protection locked="0"/>
    </xf>
    <xf numFmtId="4" fontId="3" fillId="0" borderId="3" xfId="0" applyNumberFormat="1" applyFont="1" applyBorder="1" applyAlignment="1" applyProtection="1">
      <alignment horizontal="center" vertical="top" wrapText="1"/>
      <protection locked="0"/>
    </xf>
    <xf numFmtId="4" fontId="15" fillId="0" borderId="17" xfId="0" applyNumberFormat="1" applyFont="1" applyBorder="1" applyAlignment="1" applyProtection="1">
      <alignment horizontal="right" vertical="top" wrapText="1"/>
      <protection locked="0"/>
    </xf>
    <xf numFmtId="4" fontId="15" fillId="0" borderId="6" xfId="0" applyNumberFormat="1" applyFont="1" applyBorder="1" applyAlignment="1" applyProtection="1">
      <alignment horizontal="right" vertical="top" wrapText="1"/>
      <protection locked="0"/>
    </xf>
    <xf numFmtId="4" fontId="3" fillId="0" borderId="17" xfId="0" applyNumberFormat="1" applyFont="1" applyBorder="1" applyAlignment="1" applyProtection="1">
      <alignment horizontal="right" vertical="top" wrapText="1"/>
      <protection locked="0"/>
    </xf>
    <xf numFmtId="4" fontId="3" fillId="0" borderId="6" xfId="0" applyNumberFormat="1" applyFont="1" applyBorder="1" applyAlignment="1" applyProtection="1">
      <alignment horizontal="right" vertical="top" wrapText="1"/>
      <protection locked="0"/>
    </xf>
    <xf numFmtId="0" fontId="1" fillId="0" borderId="0" xfId="0" applyFont="1" applyAlignment="1" applyProtection="1">
      <alignment horizontal="justify" vertical="top" wrapText="1"/>
      <protection locked="0"/>
    </xf>
    <xf numFmtId="0" fontId="5" fillId="0" borderId="5" xfId="0" applyFont="1" applyBorder="1" applyAlignment="1" applyProtection="1">
      <alignment horizontal="justify" vertical="top" wrapText="1"/>
      <protection locked="0"/>
    </xf>
    <xf numFmtId="4" fontId="1" fillId="0" borderId="17" xfId="0" applyNumberFormat="1" applyFont="1" applyBorder="1" applyAlignment="1" applyProtection="1">
      <alignment horizontal="right" vertical="top" wrapText="1"/>
      <protection locked="0"/>
    </xf>
    <xf numFmtId="4" fontId="1" fillId="0" borderId="6" xfId="0" applyNumberFormat="1" applyFont="1" applyBorder="1" applyAlignment="1" applyProtection="1">
      <alignment horizontal="right" vertical="top" wrapText="1"/>
      <protection locked="0"/>
    </xf>
    <xf numFmtId="0" fontId="5" fillId="0" borderId="0" xfId="0" applyFont="1" applyAlignment="1" applyProtection="1">
      <alignment horizontal="justify" vertical="top" wrapText="1"/>
      <protection locked="0"/>
    </xf>
    <xf numFmtId="0" fontId="18" fillId="0" borderId="5" xfId="0" applyFont="1" applyBorder="1" applyAlignment="1" applyProtection="1">
      <alignment horizontal="justify" vertical="top" wrapText="1"/>
      <protection locked="0"/>
    </xf>
    <xf numFmtId="0" fontId="18" fillId="0" borderId="0" xfId="0" applyFont="1" applyAlignment="1" applyProtection="1">
      <alignment horizontal="justify" vertical="top" wrapText="1"/>
      <protection locked="0"/>
    </xf>
    <xf numFmtId="4" fontId="17" fillId="0" borderId="17" xfId="0" applyNumberFormat="1" applyFont="1" applyBorder="1" applyAlignment="1" applyProtection="1">
      <alignment horizontal="right" vertical="top" wrapText="1"/>
      <protection locked="0"/>
    </xf>
    <xf numFmtId="4" fontId="17" fillId="0" borderId="6" xfId="0" applyNumberFormat="1" applyFont="1" applyBorder="1" applyAlignment="1" applyProtection="1">
      <alignment horizontal="right" vertical="top" wrapText="1"/>
      <protection locked="0"/>
    </xf>
    <xf numFmtId="0" fontId="15" fillId="0" borderId="16" xfId="0" applyFont="1" applyBorder="1" applyAlignment="1" applyProtection="1">
      <alignment horizontal="justify" vertical="top" wrapText="1"/>
      <protection locked="0"/>
    </xf>
    <xf numFmtId="0" fontId="15" fillId="0" borderId="9" xfId="0" applyFont="1" applyBorder="1" applyAlignment="1" applyProtection="1">
      <alignment horizontal="justify" vertical="top" wrapText="1"/>
      <protection locked="0"/>
    </xf>
    <xf numFmtId="4" fontId="3" fillId="0" borderId="17" xfId="0" applyNumberFormat="1" applyFont="1" applyBorder="1" applyAlignment="1">
      <alignment horizontal="right" vertical="top" wrapText="1"/>
    </xf>
    <xf numFmtId="4" fontId="3" fillId="0" borderId="6" xfId="0" applyNumberFormat="1" applyFont="1" applyBorder="1" applyAlignment="1">
      <alignment horizontal="right" vertical="top" wrapText="1"/>
    </xf>
    <xf numFmtId="4" fontId="15" fillId="0" borderId="17" xfId="0" applyNumberFormat="1" applyFont="1" applyBorder="1" applyAlignment="1">
      <alignment horizontal="right" vertical="top" wrapText="1"/>
    </xf>
    <xf numFmtId="4" fontId="15" fillId="0" borderId="6" xfId="0" applyNumberFormat="1" applyFont="1" applyBorder="1" applyAlignment="1">
      <alignment horizontal="right" vertical="top" wrapText="1"/>
    </xf>
    <xf numFmtId="0" fontId="3" fillId="0" borderId="15" xfId="0" applyFont="1" applyBorder="1" applyAlignment="1">
      <alignment horizontal="center" vertical="center" wrapText="1"/>
    </xf>
    <xf numFmtId="0" fontId="3" fillId="4" borderId="15" xfId="0" applyFont="1" applyFill="1" applyBorder="1" applyAlignment="1">
      <alignment horizontal="center" vertical="center" wrapText="1"/>
    </xf>
    <xf numFmtId="0" fontId="3" fillId="0" borderId="22" xfId="0" applyFont="1" applyBorder="1" applyAlignment="1">
      <alignment horizontal="center" vertical="center" wrapText="1"/>
    </xf>
    <xf numFmtId="0" fontId="1" fillId="0" borderId="47" xfId="0" applyFont="1" applyBorder="1" applyAlignment="1">
      <alignment horizontal="justify" vertical="center" wrapText="1"/>
    </xf>
    <xf numFmtId="0" fontId="3" fillId="0" borderId="15" xfId="0" applyFont="1" applyBorder="1" applyAlignment="1" applyProtection="1">
      <alignment horizontal="center" vertical="center" wrapText="1"/>
      <protection locked="0"/>
    </xf>
    <xf numFmtId="0" fontId="3" fillId="4" borderId="15" xfId="0" applyFont="1" applyFill="1" applyBorder="1" applyAlignment="1" applyProtection="1">
      <alignment horizontal="center" vertical="center" wrapText="1"/>
      <protection locked="0"/>
    </xf>
    <xf numFmtId="0" fontId="5" fillId="0" borderId="0" xfId="0" applyFont="1" applyAlignment="1" applyProtection="1">
      <alignment horizontal="center" vertical="center"/>
      <protection locked="0"/>
    </xf>
    <xf numFmtId="49" fontId="3" fillId="0" borderId="16" xfId="0" applyNumberFormat="1" applyFont="1" applyBorder="1" applyAlignment="1" applyProtection="1">
      <alignment horizontal="center" vertical="center" wrapText="1"/>
      <protection locked="0"/>
    </xf>
    <xf numFmtId="49" fontId="3" fillId="4" borderId="16" xfId="0" applyNumberFormat="1" applyFont="1" applyFill="1" applyBorder="1" applyAlignment="1" applyProtection="1">
      <alignment horizontal="center" vertical="center" wrapText="1"/>
      <protection locked="0"/>
    </xf>
    <xf numFmtId="49" fontId="3" fillId="0" borderId="18" xfId="0" applyNumberFormat="1" applyFont="1" applyBorder="1" applyAlignment="1" applyProtection="1">
      <alignment horizontal="center" vertical="center" wrapText="1"/>
      <protection locked="0"/>
    </xf>
    <xf numFmtId="0" fontId="3" fillId="0" borderId="5" xfId="0" applyFont="1" applyBorder="1" applyAlignment="1" applyProtection="1">
      <alignment horizontal="center" vertical="center"/>
      <protection locked="0"/>
    </xf>
    <xf numFmtId="0" fontId="1" fillId="0" borderId="5" xfId="0" applyFont="1" applyBorder="1" applyAlignment="1" applyProtection="1">
      <alignment horizontal="justify" vertical="center" wrapText="1"/>
      <protection locked="0"/>
    </xf>
    <xf numFmtId="0" fontId="1" fillId="0" borderId="7" xfId="0" applyFont="1" applyBorder="1" applyAlignment="1" applyProtection="1">
      <alignment horizontal="justify" vertical="center" wrapText="1"/>
      <protection locked="0"/>
    </xf>
    <xf numFmtId="0" fontId="3" fillId="0" borderId="2" xfId="0" applyFont="1" applyBorder="1" applyAlignment="1" applyProtection="1">
      <alignment horizontal="center" vertical="center"/>
      <protection locked="0"/>
    </xf>
    <xf numFmtId="0" fontId="23" fillId="0" borderId="2" xfId="0" applyFont="1" applyBorder="1" applyAlignment="1" applyProtection="1">
      <alignment horizontal="justify" vertical="center" wrapText="1"/>
      <protection locked="0"/>
    </xf>
    <xf numFmtId="0" fontId="10" fillId="0" borderId="2" xfId="0" applyFont="1" applyBorder="1" applyAlignment="1" applyProtection="1">
      <alignment vertical="center" wrapText="1"/>
      <protection locked="0"/>
    </xf>
    <xf numFmtId="0" fontId="3" fillId="0" borderId="0" xfId="0" applyFont="1" applyAlignment="1" applyProtection="1">
      <alignment horizontal="center" vertical="center"/>
      <protection locked="0"/>
    </xf>
    <xf numFmtId="0" fontId="23" fillId="0" borderId="0" xfId="0" applyFont="1" applyAlignment="1" applyProtection="1">
      <alignment horizontal="justify" vertical="center" wrapText="1"/>
      <protection locked="0"/>
    </xf>
    <xf numFmtId="49" fontId="3" fillId="0" borderId="13" xfId="0" applyNumberFormat="1" applyFont="1" applyBorder="1" applyAlignment="1" applyProtection="1">
      <alignment horizontal="center" vertical="center" wrapText="1"/>
      <protection locked="0"/>
    </xf>
    <xf numFmtId="0" fontId="1" fillId="0" borderId="5" xfId="0" applyFont="1" applyBorder="1" applyAlignment="1" applyProtection="1">
      <alignment horizontal="left" vertical="center" indent="1"/>
      <protection locked="0"/>
    </xf>
    <xf numFmtId="0" fontId="1" fillId="0" borderId="6" xfId="0" applyFont="1" applyBorder="1" applyAlignment="1" applyProtection="1">
      <alignment horizontal="left" vertical="center" indent="1"/>
      <protection locked="0"/>
    </xf>
    <xf numFmtId="0" fontId="3" fillId="0" borderId="5"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1" fillId="0" borderId="6" xfId="0" applyFont="1" applyBorder="1" applyAlignment="1" applyProtection="1">
      <alignment horizontal="left" vertical="center"/>
      <protection locked="0"/>
    </xf>
    <xf numFmtId="0" fontId="1" fillId="0" borderId="6" xfId="0" applyFont="1" applyBorder="1" applyAlignment="1" applyProtection="1">
      <alignment horizontal="left" vertical="justify"/>
      <protection locked="0"/>
    </xf>
    <xf numFmtId="0" fontId="1" fillId="0" borderId="6" xfId="0" applyFont="1" applyBorder="1" applyAlignment="1" applyProtection="1">
      <alignment horizontal="justify" vertical="center" wrapText="1"/>
      <protection locked="0"/>
    </xf>
    <xf numFmtId="0" fontId="1" fillId="0" borderId="7" xfId="0" applyFont="1" applyBorder="1" applyAlignment="1" applyProtection="1">
      <alignment horizontal="left" vertical="center"/>
      <protection locked="0"/>
    </xf>
    <xf numFmtId="0" fontId="1" fillId="0" borderId="9" xfId="0" applyFont="1" applyBorder="1" applyAlignment="1" applyProtection="1">
      <alignment horizontal="left" vertical="center"/>
      <protection locked="0"/>
    </xf>
    <xf numFmtId="4" fontId="23" fillId="0" borderId="2" xfId="0" applyNumberFormat="1" applyFont="1" applyBorder="1" applyAlignment="1" applyProtection="1">
      <alignment horizontal="right" vertical="center" wrapText="1"/>
      <protection locked="0"/>
    </xf>
    <xf numFmtId="4" fontId="10" fillId="0" borderId="3" xfId="0" applyNumberFormat="1" applyFont="1" applyBorder="1" applyAlignment="1" applyProtection="1">
      <alignment horizontal="right" vertical="center" wrapText="1"/>
      <protection locked="0"/>
    </xf>
    <xf numFmtId="0" fontId="10" fillId="0" borderId="0" xfId="0" applyFont="1" applyAlignment="1" applyProtection="1">
      <alignment vertical="top"/>
      <protection locked="0"/>
    </xf>
    <xf numFmtId="0" fontId="1" fillId="0" borderId="0" xfId="0" applyFont="1" applyAlignment="1" applyProtection="1">
      <alignment vertical="center"/>
      <protection locked="0"/>
    </xf>
    <xf numFmtId="0" fontId="44" fillId="0" borderId="0" xfId="0" applyFont="1" applyAlignment="1" applyProtection="1">
      <alignment vertical="center"/>
      <protection locked="0"/>
    </xf>
    <xf numFmtId="0" fontId="45" fillId="0" borderId="0" xfId="0" applyFont="1" applyAlignment="1" applyProtection="1">
      <alignment vertical="center"/>
      <protection locked="0"/>
    </xf>
    <xf numFmtId="0" fontId="41" fillId="0" borderId="0" xfId="0" applyFont="1" applyAlignment="1" applyProtection="1">
      <alignment vertical="center"/>
      <protection locked="0"/>
    </xf>
    <xf numFmtId="0" fontId="6" fillId="4" borderId="2" xfId="0" applyFont="1" applyFill="1" applyBorder="1" applyAlignment="1" applyProtection="1">
      <alignment horizontal="left" vertical="center"/>
      <protection locked="0"/>
    </xf>
    <xf numFmtId="0" fontId="6" fillId="4" borderId="2" xfId="0" applyFont="1" applyFill="1" applyBorder="1" applyAlignment="1" applyProtection="1">
      <alignment horizontal="center" vertical="center" wrapText="1"/>
      <protection locked="0"/>
    </xf>
    <xf numFmtId="0" fontId="5" fillId="4" borderId="0" xfId="0" applyFont="1" applyFill="1" applyAlignment="1" applyProtection="1">
      <alignment vertical="center" wrapText="1"/>
      <protection locked="0"/>
    </xf>
    <xf numFmtId="0" fontId="6" fillId="4" borderId="8" xfId="0" applyFont="1" applyFill="1" applyBorder="1" applyAlignment="1" applyProtection="1">
      <alignment horizontal="left" vertical="center"/>
      <protection locked="0"/>
    </xf>
    <xf numFmtId="0" fontId="6" fillId="4" borderId="8" xfId="0" applyFont="1" applyFill="1" applyBorder="1" applyAlignment="1" applyProtection="1">
      <alignment horizontal="center" vertical="center" wrapText="1"/>
      <protection locked="0"/>
    </xf>
    <xf numFmtId="0" fontId="16" fillId="3" borderId="7" xfId="0" applyFont="1" applyFill="1" applyBorder="1" applyAlignment="1" applyProtection="1">
      <alignment vertical="center"/>
      <protection locked="0"/>
    </xf>
    <xf numFmtId="4" fontId="16" fillId="3" borderId="9" xfId="0" applyNumberFormat="1" applyFont="1" applyFill="1" applyBorder="1" applyAlignment="1" applyProtection="1">
      <alignment horizontal="right" vertical="center"/>
      <protection locked="0"/>
    </xf>
    <xf numFmtId="0" fontId="16" fillId="3" borderId="5" xfId="0" applyFont="1" applyFill="1" applyBorder="1" applyAlignment="1" applyProtection="1">
      <alignment vertical="center"/>
      <protection locked="0"/>
    </xf>
    <xf numFmtId="4" fontId="6" fillId="2" borderId="43" xfId="0" applyNumberFormat="1" applyFont="1" applyFill="1" applyBorder="1" applyAlignment="1">
      <alignment horizontal="right" vertical="center" wrapText="1"/>
    </xf>
    <xf numFmtId="0" fontId="21" fillId="3" borderId="42" xfId="0" applyFont="1" applyFill="1" applyBorder="1" applyAlignment="1" applyProtection="1">
      <alignment vertical="center"/>
      <protection locked="0"/>
    </xf>
    <xf numFmtId="4" fontId="6" fillId="0" borderId="43" xfId="0" applyNumberFormat="1" applyFont="1" applyBorder="1" applyAlignment="1">
      <alignment horizontal="right" vertical="center" wrapText="1"/>
    </xf>
    <xf numFmtId="0" fontId="6" fillId="4" borderId="1" xfId="0" applyFont="1" applyFill="1" applyBorder="1" applyAlignment="1" applyProtection="1">
      <alignment horizontal="left" vertical="center"/>
      <protection locked="0"/>
    </xf>
    <xf numFmtId="0" fontId="6" fillId="4" borderId="7" xfId="0" applyFont="1" applyFill="1" applyBorder="1" applyAlignment="1" applyProtection="1">
      <alignment horizontal="left" vertical="center"/>
      <protection locked="0"/>
    </xf>
    <xf numFmtId="4" fontId="6" fillId="4" borderId="3" xfId="0" applyNumberFormat="1" applyFont="1" applyFill="1" applyBorder="1" applyAlignment="1" applyProtection="1">
      <alignment horizontal="right" vertical="center" wrapText="1"/>
      <protection locked="0"/>
    </xf>
    <xf numFmtId="4" fontId="6" fillId="4" borderId="9" xfId="0" applyNumberFormat="1" applyFont="1" applyFill="1" applyBorder="1" applyAlignment="1" applyProtection="1">
      <alignment horizontal="right" vertical="center" wrapText="1"/>
      <protection locked="0"/>
    </xf>
    <xf numFmtId="0" fontId="6" fillId="0" borderId="2" xfId="0" applyFont="1" applyBorder="1" applyAlignment="1" applyProtection="1">
      <alignment horizontal="center" vertical="center" wrapText="1"/>
      <protection locked="0"/>
    </xf>
    <xf numFmtId="0" fontId="29" fillId="3" borderId="8" xfId="0" applyFont="1" applyFill="1" applyBorder="1" applyAlignment="1" applyProtection="1">
      <alignment horizontal="justify" vertical="center"/>
      <protection locked="0"/>
    </xf>
    <xf numFmtId="0" fontId="6" fillId="0" borderId="8" xfId="0" applyFont="1" applyBorder="1" applyAlignment="1" applyProtection="1">
      <alignment horizontal="center" vertical="center" wrapText="1"/>
      <protection locked="0"/>
    </xf>
    <xf numFmtId="0" fontId="21" fillId="3" borderId="7" xfId="0" applyFont="1" applyFill="1" applyBorder="1" applyAlignment="1" applyProtection="1">
      <alignment horizontal="left" vertical="center"/>
      <protection locked="0"/>
    </xf>
    <xf numFmtId="0" fontId="3" fillId="0" borderId="0" xfId="0" applyFont="1" applyAlignment="1" applyProtection="1">
      <alignment vertical="center"/>
      <protection locked="0"/>
    </xf>
    <xf numFmtId="49" fontId="3" fillId="0" borderId="0" xfId="0" applyNumberFormat="1" applyFont="1" applyAlignment="1" applyProtection="1">
      <alignment vertical="center"/>
      <protection locked="0"/>
    </xf>
    <xf numFmtId="0" fontId="46" fillId="0" borderId="0" xfId="0" applyFont="1" applyAlignment="1" applyProtection="1">
      <alignment vertical="center"/>
      <protection locked="0"/>
    </xf>
    <xf numFmtId="0" fontId="22" fillId="0" borderId="0" xfId="0" applyFont="1" applyAlignment="1" applyProtection="1">
      <alignment vertical="center"/>
      <protection locked="0"/>
    </xf>
    <xf numFmtId="0" fontId="46" fillId="0" borderId="0" xfId="0" applyFont="1" applyAlignment="1" applyProtection="1">
      <alignment horizontal="justify"/>
      <protection locked="0"/>
    </xf>
    <xf numFmtId="0" fontId="47" fillId="0" borderId="0" xfId="0" applyFont="1" applyAlignment="1" applyProtection="1">
      <alignment horizontal="right"/>
      <protection locked="0"/>
    </xf>
    <xf numFmtId="0" fontId="1" fillId="0" borderId="46" xfId="0" applyFont="1" applyBorder="1" applyAlignment="1" applyProtection="1">
      <alignment horizontal="left" vertical="center" wrapText="1" indent="2"/>
      <protection locked="0"/>
    </xf>
    <xf numFmtId="0" fontId="1" fillId="0" borderId="47" xfId="0" applyFont="1" applyBorder="1" applyAlignment="1" applyProtection="1">
      <alignment horizontal="justify" vertical="center" wrapText="1"/>
      <protection locked="0"/>
    </xf>
    <xf numFmtId="49" fontId="25" fillId="0" borderId="16" xfId="0" applyNumberFormat="1" applyFont="1" applyBorder="1" applyAlignment="1">
      <alignment horizontal="center" vertical="center" wrapText="1"/>
    </xf>
    <xf numFmtId="49" fontId="25" fillId="0" borderId="18" xfId="0" applyNumberFormat="1" applyFont="1" applyBorder="1" applyAlignment="1">
      <alignment horizontal="center" vertical="center" wrapText="1"/>
    </xf>
    <xf numFmtId="0" fontId="6" fillId="0" borderId="0" xfId="0" applyFont="1" applyAlignment="1" applyProtection="1">
      <alignment vertical="center"/>
      <protection locked="0"/>
    </xf>
    <xf numFmtId="49" fontId="25" fillId="0" borderId="16" xfId="0" applyNumberFormat="1" applyFont="1" applyBorder="1" applyAlignment="1" applyProtection="1">
      <alignment horizontal="center" vertical="center" wrapText="1"/>
      <protection locked="0"/>
    </xf>
    <xf numFmtId="49" fontId="25" fillId="0" borderId="18" xfId="0" applyNumberFormat="1" applyFont="1" applyBorder="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22" fillId="0" borderId="46" xfId="0" applyFont="1" applyBorder="1" applyAlignment="1" applyProtection="1">
      <alignment horizontal="justify" vertical="center" wrapText="1"/>
      <protection locked="0"/>
    </xf>
    <xf numFmtId="0" fontId="3" fillId="0" borderId="42" xfId="0" applyFont="1" applyBorder="1" applyAlignment="1" applyProtection="1">
      <alignment horizontal="justify" vertical="center" wrapText="1"/>
      <protection locked="0"/>
    </xf>
    <xf numFmtId="49" fontId="25" fillId="0" borderId="0" xfId="0" applyNumberFormat="1" applyFont="1" applyAlignment="1" applyProtection="1">
      <alignment vertical="center"/>
      <protection locked="0"/>
    </xf>
    <xf numFmtId="0" fontId="6" fillId="0" borderId="15" xfId="0" applyFont="1" applyBorder="1" applyAlignment="1" applyProtection="1">
      <alignment horizontal="center" vertical="center" wrapText="1"/>
      <protection locked="0"/>
    </xf>
    <xf numFmtId="0" fontId="1" fillId="0" borderId="46" xfId="0" applyFont="1" applyBorder="1" applyAlignment="1" applyProtection="1">
      <alignment horizontal="justify" vertical="center" wrapText="1"/>
      <protection locked="0"/>
    </xf>
    <xf numFmtId="4" fontId="1" fillId="0" borderId="17" xfId="0" applyNumberFormat="1" applyFont="1" applyBorder="1" applyAlignment="1">
      <alignment horizontal="justify" vertical="center" wrapText="1"/>
    </xf>
    <xf numFmtId="4" fontId="1" fillId="0" borderId="45" xfId="0" applyNumberFormat="1" applyFont="1" applyBorder="1" applyAlignment="1">
      <alignment horizontal="justify" vertical="center" wrapText="1"/>
    </xf>
    <xf numFmtId="4" fontId="1" fillId="0" borderId="17" xfId="0" applyNumberFormat="1" applyFont="1" applyBorder="1" applyAlignment="1" applyProtection="1">
      <alignment horizontal="right" vertical="center" wrapText="1"/>
      <protection locked="0"/>
    </xf>
    <xf numFmtId="4" fontId="1" fillId="0" borderId="17" xfId="0" applyNumberFormat="1" applyFont="1" applyBorder="1" applyAlignment="1">
      <alignment horizontal="right" vertical="center" wrapText="1"/>
    </xf>
    <xf numFmtId="0" fontId="11" fillId="0" borderId="15" xfId="0" applyFont="1" applyBorder="1" applyAlignment="1" applyProtection="1">
      <alignment horizontal="center" vertical="center" wrapText="1"/>
      <protection locked="0"/>
    </xf>
    <xf numFmtId="4" fontId="1" fillId="0" borderId="45" xfId="0" applyNumberFormat="1" applyFont="1" applyBorder="1" applyAlignment="1">
      <alignment horizontal="right" vertical="center" wrapText="1"/>
    </xf>
    <xf numFmtId="0" fontId="1" fillId="0" borderId="46" xfId="0" applyFont="1" applyBorder="1" applyAlignment="1" applyProtection="1">
      <alignment horizontal="left" vertical="center" wrapText="1" indent="1"/>
      <protection locked="0"/>
    </xf>
    <xf numFmtId="4" fontId="6" fillId="0" borderId="0" xfId="0" applyNumberFormat="1" applyFont="1" applyAlignment="1" applyProtection="1">
      <alignment horizontal="right" vertical="top"/>
      <protection locked="0"/>
    </xf>
    <xf numFmtId="0" fontId="5" fillId="0" borderId="46" xfId="0" applyFont="1" applyBorder="1" applyAlignment="1" applyProtection="1">
      <alignment horizontal="justify" vertical="center" wrapText="1"/>
      <protection locked="0"/>
    </xf>
    <xf numFmtId="4" fontId="5" fillId="0" borderId="17" xfId="0" applyNumberFormat="1" applyFont="1" applyBorder="1" applyAlignment="1" applyProtection="1">
      <alignment horizontal="justify" vertical="center" wrapText="1"/>
      <protection locked="0"/>
    </xf>
    <xf numFmtId="4" fontId="5" fillId="0" borderId="45" xfId="0" applyNumberFormat="1" applyFont="1" applyBorder="1" applyAlignment="1" applyProtection="1">
      <alignment horizontal="justify" vertical="center" wrapText="1"/>
      <protection locked="0"/>
    </xf>
    <xf numFmtId="0" fontId="3" fillId="0" borderId="0" xfId="0" applyFont="1" applyAlignment="1">
      <alignment horizontal="left" vertical="top"/>
    </xf>
    <xf numFmtId="49" fontId="25" fillId="4" borderId="16" xfId="0" applyNumberFormat="1" applyFont="1" applyFill="1" applyBorder="1" applyAlignment="1">
      <alignment horizontal="center" vertical="center" wrapText="1"/>
    </xf>
    <xf numFmtId="0" fontId="10" fillId="4" borderId="0" xfId="0" applyFont="1" applyFill="1" applyAlignment="1" applyProtection="1">
      <alignment horizontal="right"/>
      <protection locked="0"/>
    </xf>
    <xf numFmtId="0" fontId="32" fillId="0" borderId="0" xfId="0" applyFont="1" applyProtection="1">
      <protection locked="0"/>
    </xf>
    <xf numFmtId="0" fontId="33" fillId="0" borderId="25" xfId="0" applyFont="1" applyBorder="1" applyAlignment="1" applyProtection="1">
      <alignment horizontal="center" vertical="center" wrapText="1"/>
      <protection locked="0"/>
    </xf>
    <xf numFmtId="0" fontId="33" fillId="0" borderId="15" xfId="0" applyFont="1" applyBorder="1" applyAlignment="1" applyProtection="1">
      <alignment horizontal="center" vertical="center" wrapText="1"/>
      <protection locked="0"/>
    </xf>
    <xf numFmtId="0" fontId="33" fillId="0" borderId="22" xfId="0" applyFont="1" applyBorder="1" applyAlignment="1" applyProtection="1">
      <alignment horizontal="center" vertical="center" wrapText="1"/>
      <protection locked="0"/>
    </xf>
    <xf numFmtId="0" fontId="33" fillId="0" borderId="23"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3" fillId="0" borderId="5" xfId="0" applyFont="1" applyBorder="1" applyAlignment="1" applyProtection="1">
      <alignment horizontal="center" vertical="center"/>
      <protection locked="0"/>
    </xf>
    <xf numFmtId="0" fontId="33" fillId="0" borderId="14" xfId="0" applyFont="1" applyBorder="1" applyAlignment="1" applyProtection="1">
      <alignment horizontal="center" vertical="center"/>
      <protection locked="0"/>
    </xf>
    <xf numFmtId="4" fontId="33" fillId="0" borderId="17" xfId="0" applyNumberFormat="1" applyFont="1" applyBorder="1" applyAlignment="1" applyProtection="1">
      <alignment horizontal="right" vertical="center"/>
      <protection locked="0"/>
    </xf>
    <xf numFmtId="4" fontId="33" fillId="0" borderId="14" xfId="0" applyNumberFormat="1" applyFont="1" applyBorder="1" applyAlignment="1" applyProtection="1">
      <alignment horizontal="right" vertical="center"/>
      <protection locked="0"/>
    </xf>
    <xf numFmtId="4" fontId="33" fillId="0" borderId="6" xfId="0" applyNumberFormat="1" applyFont="1" applyBorder="1" applyAlignment="1" applyProtection="1">
      <alignment horizontal="right" vertical="center"/>
      <protection locked="0"/>
    </xf>
    <xf numFmtId="0" fontId="33" fillId="0" borderId="14" xfId="0" applyFont="1" applyBorder="1" applyAlignment="1" applyProtection="1">
      <alignment horizontal="left" vertical="center"/>
      <protection locked="0"/>
    </xf>
    <xf numFmtId="0" fontId="33" fillId="0" borderId="14" xfId="0" applyFont="1" applyBorder="1" applyAlignment="1" applyProtection="1">
      <alignment horizontal="left" vertical="center" wrapText="1"/>
      <protection locked="0"/>
    </xf>
    <xf numFmtId="0" fontId="33" fillId="0" borderId="10" xfId="0" applyFont="1" applyBorder="1" applyAlignment="1" applyProtection="1">
      <alignment horizontal="center" vertical="center"/>
      <protection locked="0"/>
    </xf>
    <xf numFmtId="0" fontId="33" fillId="0" borderId="20" xfId="0" applyFont="1" applyBorder="1" applyAlignment="1" applyProtection="1">
      <alignment vertical="center"/>
      <protection locked="0"/>
    </xf>
    <xf numFmtId="0" fontId="34" fillId="0" borderId="0" xfId="0" applyFont="1" applyProtection="1">
      <protection locked="0"/>
    </xf>
    <xf numFmtId="4" fontId="33" fillId="0" borderId="17" xfId="0" applyNumberFormat="1" applyFont="1" applyBorder="1" applyAlignment="1">
      <alignment horizontal="right" vertical="center"/>
    </xf>
    <xf numFmtId="4" fontId="33" fillId="0" borderId="14" xfId="0" applyNumberFormat="1" applyFont="1" applyBorder="1" applyAlignment="1">
      <alignment horizontal="right" vertical="center"/>
    </xf>
    <xf numFmtId="4" fontId="33" fillId="0" borderId="6" xfId="0" applyNumberFormat="1" applyFont="1" applyBorder="1" applyAlignment="1">
      <alignment horizontal="right" vertical="center"/>
    </xf>
    <xf numFmtId="4" fontId="33" fillId="0" borderId="21" xfId="0" applyNumberFormat="1" applyFont="1" applyBorder="1" applyAlignment="1">
      <alignment horizontal="right" vertical="center"/>
    </xf>
    <xf numFmtId="4" fontId="33" fillId="0" borderId="43" xfId="0" applyNumberFormat="1" applyFont="1" applyBorder="1" applyAlignment="1">
      <alignment horizontal="right" vertical="center"/>
    </xf>
    <xf numFmtId="0" fontId="20" fillId="0" borderId="0" xfId="0" applyFont="1" applyProtection="1">
      <protection locked="0"/>
    </xf>
    <xf numFmtId="0" fontId="33" fillId="0" borderId="17" xfId="0" applyFont="1" applyBorder="1" applyAlignment="1" applyProtection="1">
      <alignment horizontal="center" vertical="center"/>
      <protection locked="0"/>
    </xf>
    <xf numFmtId="0" fontId="33" fillId="0" borderId="6" xfId="0" applyFont="1" applyBorder="1" applyAlignment="1" applyProtection="1">
      <alignment horizontal="center" vertical="center"/>
      <protection locked="0"/>
    </xf>
    <xf numFmtId="4" fontId="33" fillId="0" borderId="12" xfId="0" applyNumberFormat="1" applyFont="1" applyBorder="1" applyAlignment="1">
      <alignment horizontal="right" vertical="center"/>
    </xf>
    <xf numFmtId="0" fontId="11" fillId="0" borderId="8" xfId="0" applyFont="1" applyBorder="1" applyAlignment="1" applyProtection="1">
      <alignment vertical="center" wrapText="1"/>
      <protection locked="0"/>
    </xf>
    <xf numFmtId="49" fontId="25" fillId="4" borderId="16" xfId="0" applyNumberFormat="1" applyFont="1" applyFill="1" applyBorder="1" applyAlignment="1" applyProtection="1">
      <alignment horizontal="center" vertical="center" wrapText="1"/>
      <protection locked="0"/>
    </xf>
    <xf numFmtId="4" fontId="5" fillId="0" borderId="17" xfId="0" applyNumberFormat="1" applyFont="1" applyBorder="1" applyAlignment="1" applyProtection="1">
      <alignment horizontal="right" vertical="center" wrapText="1"/>
      <protection locked="0"/>
    </xf>
    <xf numFmtId="0" fontId="31" fillId="0" borderId="5" xfId="0" applyFont="1" applyBorder="1" applyAlignment="1" applyProtection="1">
      <alignment vertical="center" wrapText="1"/>
      <protection locked="0"/>
    </xf>
    <xf numFmtId="4" fontId="31" fillId="0" borderId="17" xfId="0" applyNumberFormat="1" applyFont="1" applyBorder="1" applyAlignment="1" applyProtection="1">
      <alignment horizontal="right" vertical="center" wrapText="1"/>
      <protection locked="0"/>
    </xf>
    <xf numFmtId="0" fontId="49" fillId="0" borderId="0" xfId="0" applyFont="1" applyProtection="1">
      <protection locked="0"/>
    </xf>
    <xf numFmtId="0" fontId="11" fillId="0" borderId="46" xfId="0" applyFont="1" applyBorder="1" applyAlignment="1" applyProtection="1">
      <alignment vertical="top" wrapText="1"/>
      <protection locked="0"/>
    </xf>
    <xf numFmtId="0" fontId="40" fillId="0" borderId="0" xfId="0" applyFont="1" applyProtection="1">
      <protection locked="0"/>
    </xf>
    <xf numFmtId="0" fontId="0" fillId="0" borderId="0" xfId="0" applyAlignment="1" applyProtection="1">
      <alignment wrapText="1"/>
      <protection locked="0"/>
    </xf>
    <xf numFmtId="0" fontId="22" fillId="0" borderId="46" xfId="0" applyFont="1" applyBorder="1" applyAlignment="1" applyProtection="1">
      <alignment horizontal="left" vertical="center" wrapText="1" indent="4"/>
      <protection locked="0"/>
    </xf>
    <xf numFmtId="0" fontId="32" fillId="0" borderId="0" xfId="0" applyFont="1" applyAlignment="1">
      <alignment horizontal="center"/>
    </xf>
    <xf numFmtId="0" fontId="33" fillId="0" borderId="0" xfId="0" applyFont="1" applyAlignment="1">
      <alignment horizontal="center" vertical="center"/>
    </xf>
    <xf numFmtId="0" fontId="33" fillId="0" borderId="5" xfId="0" applyFont="1" applyBorder="1" applyAlignment="1">
      <alignment horizontal="left" vertical="center"/>
    </xf>
    <xf numFmtId="0" fontId="5" fillId="0" borderId="5" xfId="0" applyFont="1" applyBorder="1"/>
    <xf numFmtId="0" fontId="5" fillId="0" borderId="6" xfId="0" applyFont="1" applyBorder="1"/>
    <xf numFmtId="0" fontId="5" fillId="0" borderId="7" xfId="0" applyFont="1" applyBorder="1"/>
    <xf numFmtId="0" fontId="5" fillId="0" borderId="8" xfId="0" applyFont="1" applyBorder="1"/>
    <xf numFmtId="0" fontId="36" fillId="0" borderId="0" xfId="0" applyFont="1"/>
    <xf numFmtId="0" fontId="34" fillId="0" borderId="0" xfId="0" applyFont="1" applyAlignment="1">
      <alignment vertical="center" wrapText="1"/>
    </xf>
    <xf numFmtId="0" fontId="33" fillId="0" borderId="0" xfId="0" applyFont="1" applyAlignment="1">
      <alignment horizontal="left" vertical="center"/>
    </xf>
    <xf numFmtId="0" fontId="33" fillId="0" borderId="3" xfId="0" applyFont="1" applyBorder="1" applyAlignment="1">
      <alignment horizontal="center" vertical="center"/>
    </xf>
    <xf numFmtId="0" fontId="33" fillId="0" borderId="5" xfId="0" applyFont="1" applyBorder="1" applyAlignment="1" applyProtection="1">
      <alignment horizontal="left" vertical="center"/>
      <protection locked="0"/>
    </xf>
    <xf numFmtId="4" fontId="33" fillId="0" borderId="45" xfId="0" applyNumberFormat="1" applyFont="1" applyBorder="1" applyAlignment="1" applyProtection="1">
      <alignment horizontal="right" vertical="center"/>
      <protection locked="0"/>
    </xf>
    <xf numFmtId="0" fontId="34" fillId="0" borderId="14" xfId="0" applyFont="1" applyBorder="1" applyAlignment="1" applyProtection="1">
      <alignment horizontal="left" vertical="center"/>
      <protection locked="0"/>
    </xf>
    <xf numFmtId="0" fontId="33" fillId="0" borderId="9" xfId="0" applyFont="1" applyBorder="1" applyAlignment="1" applyProtection="1">
      <alignment horizontal="center" vertical="center"/>
      <protection locked="0"/>
    </xf>
    <xf numFmtId="4" fontId="33" fillId="0" borderId="45" xfId="0" applyNumberFormat="1" applyFont="1" applyBorder="1" applyAlignment="1">
      <alignment horizontal="right" vertical="center"/>
    </xf>
    <xf numFmtId="0" fontId="50" fillId="0" borderId="0" xfId="0" applyFont="1"/>
    <xf numFmtId="0" fontId="11" fillId="0" borderId="0" xfId="0" applyFont="1" applyAlignment="1" applyProtection="1">
      <alignment vertical="center"/>
      <protection locked="0"/>
    </xf>
    <xf numFmtId="4" fontId="6" fillId="0" borderId="8" xfId="0" applyNumberFormat="1" applyFont="1" applyBorder="1" applyAlignment="1" applyProtection="1">
      <alignment horizontal="left" vertical="top"/>
      <protection locked="0"/>
    </xf>
    <xf numFmtId="0" fontId="6" fillId="0" borderId="2" xfId="0" applyFont="1" applyBorder="1" applyAlignment="1" applyProtection="1">
      <alignment horizontal="left" vertical="center"/>
      <protection locked="0"/>
    </xf>
    <xf numFmtId="0" fontId="6" fillId="0" borderId="8" xfId="0" applyFont="1" applyBorder="1" applyAlignment="1" applyProtection="1">
      <alignment horizontal="left" vertical="center"/>
      <protection locked="0"/>
    </xf>
    <xf numFmtId="0" fontId="2" fillId="0" borderId="2" xfId="0" applyFont="1" applyBorder="1" applyAlignment="1" applyProtection="1">
      <alignment horizontal="justify" vertical="center"/>
      <protection locked="0"/>
    </xf>
    <xf numFmtId="0" fontId="21" fillId="0" borderId="8" xfId="0" applyFont="1" applyBorder="1" applyAlignment="1" applyProtection="1">
      <alignment horizontal="left" vertical="center"/>
      <protection locked="0"/>
    </xf>
    <xf numFmtId="4" fontId="5" fillId="0" borderId="0" xfId="0" applyNumberFormat="1" applyFont="1" applyAlignment="1" applyProtection="1">
      <alignment horizontal="right" vertical="center"/>
      <protection locked="0"/>
    </xf>
    <xf numFmtId="0" fontId="5" fillId="0" borderId="0" xfId="0" applyFont="1" applyAlignment="1">
      <alignment vertical="center" wrapText="1"/>
    </xf>
    <xf numFmtId="4" fontId="6" fillId="0" borderId="2" xfId="0" applyNumberFormat="1" applyFont="1" applyBorder="1" applyAlignment="1">
      <alignment horizontal="right" vertical="center" wrapText="1"/>
    </xf>
    <xf numFmtId="4" fontId="6" fillId="0" borderId="8" xfId="0" applyNumberFormat="1" applyFont="1" applyBorder="1" applyAlignment="1">
      <alignment horizontal="right" vertical="center" wrapText="1"/>
    </xf>
    <xf numFmtId="4" fontId="6" fillId="2" borderId="22" xfId="0" applyNumberFormat="1" applyFont="1" applyFill="1" applyBorder="1" applyAlignment="1">
      <alignment horizontal="right" vertical="center" wrapText="1"/>
    </xf>
    <xf numFmtId="4" fontId="16" fillId="0" borderId="45" xfId="0" applyNumberFormat="1" applyFont="1" applyBorder="1" applyAlignment="1">
      <alignment horizontal="right" vertical="center"/>
    </xf>
    <xf numFmtId="4" fontId="16" fillId="0" borderId="18" xfId="0" applyNumberFormat="1" applyFont="1" applyBorder="1" applyAlignment="1">
      <alignment horizontal="right" vertical="center"/>
    </xf>
    <xf numFmtId="4" fontId="16" fillId="0" borderId="2" xfId="0" applyNumberFormat="1" applyFont="1" applyBorder="1" applyAlignment="1">
      <alignment horizontal="right" vertical="center"/>
    </xf>
    <xf numFmtId="4" fontId="16" fillId="0" borderId="8" xfId="0" applyNumberFormat="1" applyFont="1" applyBorder="1" applyAlignment="1">
      <alignment horizontal="right" vertical="center"/>
    </xf>
    <xf numFmtId="0" fontId="48"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Alignment="1">
      <alignment vertical="center" wrapText="1"/>
    </xf>
    <xf numFmtId="4" fontId="16" fillId="3" borderId="45" xfId="0" applyNumberFormat="1" applyFont="1" applyFill="1" applyBorder="1" applyAlignment="1">
      <alignment horizontal="right" vertical="center"/>
    </xf>
    <xf numFmtId="4" fontId="16" fillId="3" borderId="18" xfId="0" applyNumberFormat="1" applyFont="1" applyFill="1" applyBorder="1" applyAlignment="1">
      <alignment horizontal="right" vertical="center"/>
    </xf>
    <xf numFmtId="0" fontId="52" fillId="0" borderId="0" xfId="0" applyFont="1" applyAlignment="1" applyProtection="1">
      <alignment horizontal="center"/>
      <protection locked="0"/>
    </xf>
    <xf numFmtId="0" fontId="51" fillId="0" borderId="0" xfId="0" applyFont="1" applyAlignment="1" applyProtection="1">
      <alignment horizontal="left"/>
      <protection locked="0"/>
    </xf>
    <xf numFmtId="0" fontId="48" fillId="0" borderId="0" xfId="0" applyFont="1" applyAlignment="1" applyProtection="1">
      <alignment horizontal="left"/>
      <protection locked="0"/>
    </xf>
    <xf numFmtId="0" fontId="51" fillId="0" borderId="0" xfId="0" applyFont="1" applyAlignment="1" applyProtection="1">
      <alignment horizontal="center" vertical="center"/>
      <protection locked="0"/>
    </xf>
    <xf numFmtId="0" fontId="53" fillId="0" borderId="0" xfId="0" applyFont="1" applyAlignment="1" applyProtection="1">
      <alignment horizontal="center" vertical="center"/>
      <protection locked="0"/>
    </xf>
    <xf numFmtId="0" fontId="5" fillId="0" borderId="8" xfId="0" applyFont="1" applyBorder="1" applyAlignment="1" applyProtection="1">
      <alignment horizontal="center" vertical="center"/>
      <protection locked="0"/>
    </xf>
    <xf numFmtId="4" fontId="0" fillId="0" borderId="8" xfId="0" applyNumberFormat="1" applyBorder="1" applyAlignment="1" applyProtection="1">
      <alignment horizontal="center"/>
      <protection locked="0"/>
    </xf>
    <xf numFmtId="4" fontId="16" fillId="0" borderId="9" xfId="0" applyNumberFormat="1" applyFont="1" applyBorder="1" applyAlignment="1" applyProtection="1">
      <alignment horizontal="left" vertical="top"/>
      <protection locked="0"/>
    </xf>
    <xf numFmtId="4" fontId="51" fillId="0" borderId="0" xfId="0" applyNumberFormat="1" applyFont="1" applyAlignment="1" applyProtection="1">
      <alignment horizontal="left"/>
      <protection locked="0"/>
    </xf>
    <xf numFmtId="4" fontId="6" fillId="0" borderId="0" xfId="0" applyNumberFormat="1" applyFont="1" applyProtection="1">
      <protection locked="0"/>
    </xf>
    <xf numFmtId="4" fontId="5" fillId="0" borderId="0" xfId="0" applyNumberFormat="1" applyFont="1" applyAlignment="1" applyProtection="1">
      <alignment horizontal="left"/>
      <protection locked="0"/>
    </xf>
    <xf numFmtId="0" fontId="52" fillId="0" borderId="0" xfId="0" applyFont="1" applyAlignment="1">
      <alignment horizontal="left"/>
    </xf>
    <xf numFmtId="0" fontId="10" fillId="0" borderId="0" xfId="0" applyFont="1" applyAlignment="1" applyProtection="1">
      <alignment horizontal="center" vertical="center" wrapText="1"/>
      <protection locked="0"/>
    </xf>
    <xf numFmtId="0" fontId="45" fillId="0" borderId="0" xfId="0" applyFont="1" applyAlignment="1">
      <alignment horizontal="left"/>
    </xf>
    <xf numFmtId="0" fontId="45" fillId="0" borderId="0" xfId="0" applyFont="1" applyAlignment="1" applyProtection="1">
      <alignment horizontal="left"/>
      <protection locked="0"/>
    </xf>
    <xf numFmtId="0" fontId="1" fillId="0" borderId="0" xfId="0" applyFont="1" applyProtection="1">
      <protection locked="0"/>
    </xf>
    <xf numFmtId="3" fontId="11" fillId="0" borderId="17" xfId="0" applyNumberFormat="1" applyFont="1" applyBorder="1" applyAlignment="1">
      <alignment horizontal="right" vertical="center" wrapText="1"/>
    </xf>
    <xf numFmtId="3" fontId="22" fillId="0" borderId="17" xfId="0" applyNumberFormat="1" applyFont="1" applyBorder="1" applyAlignment="1" applyProtection="1">
      <alignment horizontal="right" vertical="center" wrapText="1"/>
      <protection locked="0"/>
    </xf>
    <xf numFmtId="3" fontId="22" fillId="0" borderId="17" xfId="0" applyNumberFormat="1" applyFont="1" applyBorder="1" applyAlignment="1">
      <alignment horizontal="right" vertical="center" wrapText="1"/>
    </xf>
    <xf numFmtId="3" fontId="11" fillId="0" borderId="17" xfId="0" applyNumberFormat="1" applyFont="1" applyBorder="1" applyAlignment="1" applyProtection="1">
      <alignment horizontal="right" vertical="center" wrapText="1"/>
      <protection locked="0"/>
    </xf>
    <xf numFmtId="3" fontId="3" fillId="0" borderId="21" xfId="0" applyNumberFormat="1" applyFont="1" applyBorder="1" applyAlignment="1">
      <alignment horizontal="right" vertical="center" wrapText="1"/>
    </xf>
    <xf numFmtId="0" fontId="3" fillId="0" borderId="46" xfId="0" applyFont="1" applyBorder="1" applyAlignment="1" applyProtection="1">
      <alignment vertical="center" wrapText="1"/>
      <protection locked="0"/>
    </xf>
    <xf numFmtId="3" fontId="3" fillId="0" borderId="17" xfId="0" applyNumberFormat="1" applyFont="1" applyBorder="1" applyAlignment="1">
      <alignment horizontal="right" vertical="center" wrapText="1"/>
    </xf>
    <xf numFmtId="3" fontId="3" fillId="0" borderId="45" xfId="0" applyNumberFormat="1" applyFont="1" applyBorder="1" applyAlignment="1">
      <alignment horizontal="right" vertical="center" wrapText="1"/>
    </xf>
    <xf numFmtId="3" fontId="1" fillId="0" borderId="17" xfId="0" applyNumberFormat="1" applyFont="1" applyBorder="1" applyAlignment="1" applyProtection="1">
      <alignment horizontal="right" vertical="center" wrapText="1"/>
      <protection locked="0"/>
    </xf>
    <xf numFmtId="3" fontId="1" fillId="0" borderId="17" xfId="0" applyNumberFormat="1" applyFont="1" applyBorder="1" applyAlignment="1">
      <alignment horizontal="right" vertical="center" wrapText="1"/>
    </xf>
    <xf numFmtId="3" fontId="1" fillId="0" borderId="45" xfId="0" applyNumberFormat="1" applyFont="1" applyBorder="1" applyAlignment="1">
      <alignment horizontal="right" vertical="center" wrapText="1"/>
    </xf>
    <xf numFmtId="0" fontId="1" fillId="0" borderId="46" xfId="0" applyFont="1" applyBorder="1" applyAlignment="1" applyProtection="1">
      <alignment horizontal="left" vertical="top" wrapText="1" indent="2"/>
      <protection locked="0"/>
    </xf>
    <xf numFmtId="3" fontId="1" fillId="0" borderId="21" xfId="0" applyNumberFormat="1" applyFont="1" applyBorder="1" applyAlignment="1">
      <alignment horizontal="right" vertical="center" wrapText="1"/>
    </xf>
    <xf numFmtId="3" fontId="1" fillId="0" borderId="43" xfId="0" applyNumberFormat="1" applyFont="1" applyBorder="1" applyAlignment="1">
      <alignment horizontal="right" vertical="center" wrapText="1"/>
    </xf>
    <xf numFmtId="3" fontId="3" fillId="0" borderId="43" xfId="0" applyNumberFormat="1" applyFont="1" applyBorder="1" applyAlignment="1">
      <alignment horizontal="right" vertical="center" wrapText="1"/>
    </xf>
    <xf numFmtId="3" fontId="1" fillId="0" borderId="16" xfId="0" applyNumberFormat="1" applyFont="1" applyBorder="1" applyAlignment="1">
      <alignment horizontal="right" vertical="center" wrapText="1"/>
    </xf>
    <xf numFmtId="3" fontId="1" fillId="0" borderId="18" xfId="0" applyNumberFormat="1" applyFont="1" applyBorder="1" applyAlignment="1">
      <alignment horizontal="right" vertical="center" wrapText="1"/>
    </xf>
    <xf numFmtId="3" fontId="3" fillId="0" borderId="16" xfId="0" applyNumberFormat="1" applyFont="1" applyBorder="1" applyAlignment="1">
      <alignment horizontal="right" vertical="center" wrapText="1"/>
    </xf>
    <xf numFmtId="3" fontId="3" fillId="0" borderId="18" xfId="0" applyNumberFormat="1" applyFont="1" applyBorder="1" applyAlignment="1">
      <alignment horizontal="right" vertical="center" wrapText="1"/>
    </xf>
    <xf numFmtId="3" fontId="22" fillId="0" borderId="45" xfId="0" applyNumberFormat="1" applyFont="1" applyBorder="1" applyAlignment="1">
      <alignment horizontal="right" vertical="center" wrapText="1"/>
    </xf>
    <xf numFmtId="49" fontId="3" fillId="0" borderId="16" xfId="0" applyNumberFormat="1" applyFont="1" applyBorder="1" applyAlignment="1">
      <alignment horizontal="center" vertical="center" wrapText="1"/>
    </xf>
    <xf numFmtId="49" fontId="3" fillId="0" borderId="18" xfId="0" applyNumberFormat="1" applyFont="1" applyBorder="1" applyAlignment="1">
      <alignment horizontal="center" vertical="center" wrapText="1"/>
    </xf>
    <xf numFmtId="0" fontId="1" fillId="0" borderId="44" xfId="0" applyFont="1" applyBorder="1" applyAlignment="1">
      <alignment vertical="center" wrapText="1"/>
    </xf>
    <xf numFmtId="0" fontId="1" fillId="0" borderId="46" xfId="0" applyFont="1" applyBorder="1" applyAlignment="1">
      <alignment horizontal="left" vertical="center" wrapText="1" indent="3"/>
    </xf>
    <xf numFmtId="0" fontId="1" fillId="0" borderId="46" xfId="0" applyFont="1" applyBorder="1" applyAlignment="1">
      <alignment vertical="center" wrapText="1"/>
    </xf>
    <xf numFmtId="0" fontId="1" fillId="0" borderId="47" xfId="0" applyFont="1" applyBorder="1" applyAlignment="1">
      <alignment horizontal="left" vertical="center" wrapText="1" indent="3"/>
    </xf>
    <xf numFmtId="0" fontId="3" fillId="0" borderId="42" xfId="0" applyFont="1" applyBorder="1" applyAlignment="1">
      <alignment vertical="center" wrapText="1"/>
    </xf>
    <xf numFmtId="3" fontId="1" fillId="0" borderId="16" xfId="0" applyNumberFormat="1" applyFont="1" applyBorder="1" applyAlignment="1" applyProtection="1">
      <alignment horizontal="right" vertical="center" wrapText="1"/>
      <protection locked="0"/>
    </xf>
    <xf numFmtId="3" fontId="15" fillId="0" borderId="6" xfId="0" applyNumberFormat="1" applyFont="1" applyBorder="1" applyAlignment="1">
      <alignment horizontal="right" vertical="center"/>
    </xf>
    <xf numFmtId="3" fontId="1" fillId="0" borderId="6" xfId="0" applyNumberFormat="1" applyFont="1" applyBorder="1" applyAlignment="1" applyProtection="1">
      <alignment horizontal="right" vertical="center"/>
      <protection locked="0"/>
    </xf>
    <xf numFmtId="3" fontId="1" fillId="0" borderId="6" xfId="0" applyNumberFormat="1" applyFont="1" applyBorder="1" applyAlignment="1">
      <alignment horizontal="right" vertical="center"/>
    </xf>
    <xf numFmtId="3" fontId="1" fillId="0" borderId="4" xfId="0" applyNumberFormat="1" applyFont="1" applyBorder="1" applyAlignment="1">
      <alignment horizontal="right" vertical="center"/>
    </xf>
    <xf numFmtId="3" fontId="1" fillId="0" borderId="6" xfId="0" applyNumberFormat="1" applyFont="1" applyBorder="1" applyAlignment="1" applyProtection="1">
      <alignment horizontal="right" vertical="center" wrapText="1"/>
      <protection locked="0"/>
    </xf>
    <xf numFmtId="3" fontId="1" fillId="0" borderId="9" xfId="0" applyNumberFormat="1" applyFont="1" applyBorder="1" applyAlignment="1" applyProtection="1">
      <alignment horizontal="right" vertical="center"/>
      <protection locked="0"/>
    </xf>
    <xf numFmtId="3" fontId="1" fillId="0" borderId="9" xfId="0" applyNumberFormat="1" applyFont="1" applyBorder="1" applyAlignment="1">
      <alignment horizontal="right" vertical="center"/>
    </xf>
    <xf numFmtId="3" fontId="1" fillId="0" borderId="13" xfId="0" applyNumberFormat="1" applyFont="1" applyBorder="1" applyAlignment="1" applyProtection="1">
      <alignment horizontal="right" vertical="center"/>
      <protection locked="0"/>
    </xf>
    <xf numFmtId="4" fontId="16" fillId="0" borderId="0" xfId="0" applyNumberFormat="1" applyFont="1" applyAlignment="1" applyProtection="1">
      <alignment horizontal="left" vertical="top"/>
      <protection locked="0"/>
    </xf>
    <xf numFmtId="0" fontId="15" fillId="0" borderId="0" xfId="0" applyFont="1" applyAlignment="1" applyProtection="1">
      <alignment horizontal="justify" vertical="top" wrapText="1"/>
      <protection locked="0"/>
    </xf>
    <xf numFmtId="0" fontId="3" fillId="0" borderId="0" xfId="0" applyFont="1" applyAlignment="1" applyProtection="1">
      <alignment horizontal="center" vertical="center" wrapText="1"/>
      <protection locked="0"/>
    </xf>
    <xf numFmtId="3" fontId="3" fillId="0" borderId="0" xfId="0" applyNumberFormat="1" applyFont="1" applyAlignment="1">
      <alignment horizontal="right" vertical="center" wrapText="1"/>
    </xf>
    <xf numFmtId="0" fontId="3" fillId="0" borderId="0" xfId="0" applyFont="1" applyAlignment="1" applyProtection="1">
      <alignment horizontal="justify" vertical="center" wrapText="1"/>
      <protection locked="0"/>
    </xf>
    <xf numFmtId="0" fontId="1" fillId="0" borderId="0" xfId="0" applyFont="1" applyAlignment="1" applyProtection="1">
      <alignment horizontal="left" vertical="center" wrapText="1" indent="2"/>
      <protection locked="0"/>
    </xf>
    <xf numFmtId="3" fontId="1" fillId="0" borderId="0" xfId="0" applyNumberFormat="1" applyFont="1" applyAlignment="1" applyProtection="1">
      <alignment horizontal="right" vertical="center" wrapText="1"/>
      <protection locked="0"/>
    </xf>
    <xf numFmtId="3" fontId="1" fillId="0" borderId="0" xfId="0" applyNumberFormat="1" applyFont="1" applyAlignment="1">
      <alignment horizontal="right" vertical="center" wrapText="1"/>
    </xf>
    <xf numFmtId="0" fontId="2" fillId="0" borderId="0" xfId="0" applyFont="1" applyAlignment="1" applyProtection="1">
      <alignment horizontal="justify" vertical="center"/>
      <protection locked="0"/>
    </xf>
    <xf numFmtId="0" fontId="16" fillId="0" borderId="0" xfId="0" applyFont="1" applyAlignment="1" applyProtection="1">
      <alignment horizontal="justify" vertical="center"/>
      <protection locked="0"/>
    </xf>
    <xf numFmtId="4" fontId="16" fillId="0" borderId="0" xfId="0" applyNumberFormat="1" applyFont="1" applyAlignment="1">
      <alignment horizontal="right" vertical="center"/>
    </xf>
    <xf numFmtId="0" fontId="21" fillId="0" borderId="0" xfId="0" applyFont="1" applyAlignment="1" applyProtection="1">
      <alignment vertical="center"/>
      <protection locked="0"/>
    </xf>
    <xf numFmtId="0" fontId="33" fillId="0" borderId="0" xfId="0" applyFont="1" applyAlignment="1" applyProtection="1">
      <alignment horizontal="center" vertical="center"/>
      <protection locked="0"/>
    </xf>
    <xf numFmtId="0" fontId="33" fillId="0" borderId="0" xfId="0" applyFont="1" applyAlignment="1" applyProtection="1">
      <alignment vertical="center"/>
      <protection locked="0"/>
    </xf>
    <xf numFmtId="4" fontId="33" fillId="0" borderId="0" xfId="0" applyNumberFormat="1" applyFont="1" applyAlignment="1">
      <alignment horizontal="right" vertical="center"/>
    </xf>
    <xf numFmtId="4" fontId="2" fillId="0" borderId="0" xfId="0" applyNumberFormat="1" applyFont="1" applyAlignment="1" applyProtection="1">
      <alignment horizontal="right" vertical="center"/>
      <protection locked="0"/>
    </xf>
    <xf numFmtId="0" fontId="3" fillId="0" borderId="0" xfId="0" applyFont="1" applyAlignment="1">
      <alignment vertical="center"/>
    </xf>
    <xf numFmtId="3" fontId="3" fillId="0" borderId="0" xfId="0" applyNumberFormat="1" applyFont="1" applyAlignment="1" applyProtection="1">
      <alignment horizontal="right" vertical="center" wrapText="1"/>
      <protection locked="0"/>
    </xf>
    <xf numFmtId="0" fontId="0" fillId="0" borderId="8" xfId="0" applyBorder="1" applyAlignment="1" applyProtection="1">
      <alignment horizontal="center"/>
      <protection locked="0"/>
    </xf>
    <xf numFmtId="3" fontId="22" fillId="0" borderId="45" xfId="0" applyNumberFormat="1" applyFont="1" applyBorder="1" applyAlignment="1" applyProtection="1">
      <alignment horizontal="right" vertical="center" wrapText="1"/>
      <protection locked="0"/>
    </xf>
    <xf numFmtId="0" fontId="1" fillId="0" borderId="46" xfId="0" applyFont="1" applyBorder="1" applyAlignment="1">
      <alignment horizontal="justify" vertical="center" wrapText="1"/>
    </xf>
    <xf numFmtId="0" fontId="54" fillId="0" borderId="0" xfId="0" applyFont="1"/>
    <xf numFmtId="3" fontId="22" fillId="0" borderId="16" xfId="0" applyNumberFormat="1" applyFont="1" applyBorder="1" applyAlignment="1" applyProtection="1">
      <alignment horizontal="right" vertical="center" wrapText="1"/>
      <protection locked="0"/>
    </xf>
    <xf numFmtId="3" fontId="22" fillId="0" borderId="16" xfId="0" applyNumberFormat="1" applyFont="1" applyBorder="1" applyAlignment="1">
      <alignment horizontal="right" vertical="center" wrapText="1"/>
    </xf>
    <xf numFmtId="3" fontId="22" fillId="0" borderId="18" xfId="0" applyNumberFormat="1" applyFont="1" applyBorder="1" applyAlignment="1">
      <alignment horizontal="right" vertical="center" wrapText="1"/>
    </xf>
    <xf numFmtId="3" fontId="11" fillId="0" borderId="16" xfId="0" applyNumberFormat="1" applyFont="1" applyBorder="1" applyAlignment="1">
      <alignment horizontal="right" vertical="center" wrapText="1"/>
    </xf>
    <xf numFmtId="3" fontId="31" fillId="0" borderId="16" xfId="0" applyNumberFormat="1" applyFont="1" applyBorder="1" applyAlignment="1">
      <alignment horizontal="right" vertical="center" wrapText="1"/>
    </xf>
    <xf numFmtId="3" fontId="11" fillId="0" borderId="18" xfId="0" applyNumberFormat="1" applyFont="1" applyBorder="1" applyAlignment="1">
      <alignment horizontal="right" vertical="center" wrapText="1"/>
    </xf>
    <xf numFmtId="0" fontId="5" fillId="0" borderId="5" xfId="0" applyFont="1" applyBorder="1" applyAlignment="1" applyProtection="1">
      <alignment horizontal="center" wrapText="1"/>
      <protection locked="0"/>
    </xf>
    <xf numFmtId="0" fontId="5" fillId="0" borderId="5" xfId="0" applyFont="1" applyBorder="1" applyAlignment="1" applyProtection="1">
      <alignment horizontal="left" vertical="top" wrapText="1"/>
      <protection locked="0"/>
    </xf>
    <xf numFmtId="0" fontId="5" fillId="0" borderId="5" xfId="0" applyFont="1" applyBorder="1" applyAlignment="1" applyProtection="1">
      <alignment vertical="top" wrapText="1"/>
      <protection locked="0"/>
    </xf>
    <xf numFmtId="4" fontId="6" fillId="0" borderId="8" xfId="0" applyNumberFormat="1" applyFont="1" applyBorder="1" applyAlignment="1" applyProtection="1">
      <alignment horizontal="right" vertical="top"/>
      <protection locked="0"/>
    </xf>
    <xf numFmtId="0" fontId="3" fillId="0" borderId="2" xfId="0" applyFont="1" applyBorder="1" applyAlignment="1" applyProtection="1">
      <alignment horizontal="justify" vertical="center" wrapText="1"/>
      <protection locked="0"/>
    </xf>
    <xf numFmtId="3" fontId="3" fillId="0" borderId="2" xfId="0" applyNumberFormat="1" applyFont="1" applyBorder="1" applyAlignment="1">
      <alignment horizontal="right" vertical="center" wrapText="1"/>
    </xf>
    <xf numFmtId="0" fontId="1" fillId="0" borderId="0" xfId="0" applyFont="1" applyAlignment="1" applyProtection="1">
      <alignment horizontal="justify" vertical="center" wrapText="1"/>
      <protection locked="0"/>
    </xf>
    <xf numFmtId="0" fontId="6" fillId="0" borderId="8" xfId="0" applyFont="1" applyBorder="1" applyAlignment="1" applyProtection="1">
      <alignment vertical="center" wrapText="1"/>
      <protection locked="0"/>
    </xf>
    <xf numFmtId="43" fontId="5" fillId="0" borderId="0" xfId="12" applyFont="1" applyBorder="1" applyAlignment="1" applyProtection="1">
      <alignment horizontal="right" vertical="top"/>
      <protection locked="0"/>
    </xf>
    <xf numFmtId="43" fontId="5" fillId="0" borderId="6" xfId="12" applyFont="1" applyBorder="1" applyAlignment="1" applyProtection="1">
      <alignment horizontal="right" vertical="top"/>
      <protection locked="0"/>
    </xf>
    <xf numFmtId="0" fontId="6" fillId="0" borderId="5" xfId="0" applyFont="1" applyBorder="1" applyAlignment="1" applyProtection="1">
      <alignment horizontal="justify" vertical="top"/>
      <protection locked="0"/>
    </xf>
    <xf numFmtId="4" fontId="15" fillId="0" borderId="0" xfId="0" applyNumberFormat="1" applyFont="1" applyAlignment="1">
      <alignment horizontal="right" vertical="top"/>
    </xf>
    <xf numFmtId="4" fontId="15" fillId="0" borderId="6" xfId="0" applyNumberFormat="1" applyFont="1" applyBorder="1" applyAlignment="1">
      <alignment horizontal="right" vertical="top"/>
    </xf>
    <xf numFmtId="0" fontId="7" fillId="0" borderId="5" xfId="0" applyFont="1" applyBorder="1" applyAlignment="1" applyProtection="1">
      <alignment horizontal="justify" vertical="top"/>
      <protection locked="0"/>
    </xf>
    <xf numFmtId="4" fontId="3" fillId="0" borderId="0" xfId="0" applyNumberFormat="1" applyFont="1" applyAlignment="1">
      <alignment horizontal="right" vertical="top"/>
    </xf>
    <xf numFmtId="4" fontId="3" fillId="0" borderId="6" xfId="0" applyNumberFormat="1" applyFont="1" applyBorder="1" applyAlignment="1">
      <alignment horizontal="right" vertical="top"/>
    </xf>
    <xf numFmtId="0" fontId="22" fillId="0" borderId="5" xfId="0" applyFont="1" applyBorder="1" applyAlignment="1" applyProtection="1">
      <alignment horizontal="justify" vertical="top"/>
      <protection locked="0"/>
    </xf>
    <xf numFmtId="4" fontId="22" fillId="0" borderId="0" xfId="0" applyNumberFormat="1" applyFont="1" applyAlignment="1" applyProtection="1">
      <alignment horizontal="right" vertical="top"/>
      <protection locked="0"/>
    </xf>
    <xf numFmtId="4" fontId="22" fillId="0" borderId="6" xfId="0" applyNumberFormat="1" applyFont="1" applyBorder="1" applyAlignment="1" applyProtection="1">
      <alignment horizontal="right" vertical="top"/>
      <protection locked="0"/>
    </xf>
    <xf numFmtId="4" fontId="3" fillId="0" borderId="0" xfId="0" applyNumberFormat="1" applyFont="1" applyAlignment="1" applyProtection="1">
      <alignment horizontal="right" vertical="top"/>
      <protection locked="0"/>
    </xf>
    <xf numFmtId="4" fontId="3" fillId="0" borderId="6" xfId="0" applyNumberFormat="1" applyFont="1" applyBorder="1" applyAlignment="1" applyProtection="1">
      <alignment horizontal="right" vertical="top"/>
      <protection locked="0"/>
    </xf>
    <xf numFmtId="0" fontId="18" fillId="0" borderId="5" xfId="0" applyFont="1" applyBorder="1" applyAlignment="1" applyProtection="1">
      <alignment horizontal="justify" vertical="top"/>
      <protection locked="0"/>
    </xf>
    <xf numFmtId="4" fontId="1" fillId="0" borderId="0" xfId="0" applyNumberFormat="1" applyFont="1" applyAlignment="1" applyProtection="1">
      <alignment horizontal="right"/>
      <protection locked="0"/>
    </xf>
    <xf numFmtId="4" fontId="1" fillId="0" borderId="6" xfId="0" applyNumberFormat="1" applyFont="1" applyBorder="1" applyAlignment="1" applyProtection="1">
      <alignment horizontal="right"/>
      <protection locked="0"/>
    </xf>
    <xf numFmtId="0" fontId="1" fillId="0" borderId="5" xfId="0" applyFont="1" applyBorder="1" applyAlignment="1" applyProtection="1">
      <alignment horizontal="justify" vertical="top"/>
      <protection locked="0"/>
    </xf>
    <xf numFmtId="0" fontId="22" fillId="0" borderId="7" xfId="0" applyFont="1" applyBorder="1" applyAlignment="1" applyProtection="1">
      <alignment horizontal="justify" vertical="top"/>
      <protection locked="0"/>
    </xf>
    <xf numFmtId="4" fontId="22" fillId="0" borderId="8" xfId="0" applyNumberFormat="1" applyFont="1" applyBorder="1" applyAlignment="1" applyProtection="1">
      <alignment horizontal="right" vertical="top"/>
      <protection locked="0"/>
    </xf>
    <xf numFmtId="4" fontId="22" fillId="0" borderId="9" xfId="0" applyNumberFormat="1" applyFont="1" applyBorder="1" applyAlignment="1" applyProtection="1">
      <alignment horizontal="right" vertical="top"/>
      <protection locked="0"/>
    </xf>
    <xf numFmtId="0" fontId="22" fillId="0" borderId="0" xfId="0" applyFont="1" applyAlignment="1" applyProtection="1">
      <alignment horizontal="justify" vertical="top"/>
      <protection locked="0"/>
    </xf>
    <xf numFmtId="0" fontId="21" fillId="0" borderId="1" xfId="0" applyFont="1" applyBorder="1" applyAlignment="1" applyProtection="1">
      <alignment vertical="center"/>
      <protection locked="0"/>
    </xf>
    <xf numFmtId="0" fontId="21" fillId="0" borderId="26" xfId="0" applyFont="1" applyBorder="1" applyAlignment="1" applyProtection="1">
      <alignment vertical="center"/>
      <protection locked="0"/>
    </xf>
    <xf numFmtId="4" fontId="16" fillId="0" borderId="17" xfId="0" applyNumberFormat="1" applyFont="1" applyBorder="1" applyAlignment="1" applyProtection="1">
      <alignment horizontal="justify" vertical="center"/>
      <protection locked="0"/>
    </xf>
    <xf numFmtId="4" fontId="16" fillId="0" borderId="45" xfId="0" applyNumberFormat="1" applyFont="1" applyBorder="1" applyAlignment="1" applyProtection="1">
      <alignment horizontal="justify" vertical="center"/>
      <protection locked="0"/>
    </xf>
    <xf numFmtId="0" fontId="21" fillId="0" borderId="5" xfId="0" applyFont="1" applyBorder="1" applyAlignment="1" applyProtection="1">
      <alignment vertical="center"/>
      <protection locked="0"/>
    </xf>
    <xf numFmtId="0" fontId="21" fillId="0" borderId="14" xfId="0" applyFont="1" applyBorder="1" applyAlignment="1" applyProtection="1">
      <alignment vertical="center"/>
      <protection locked="0"/>
    </xf>
    <xf numFmtId="4" fontId="19" fillId="0" borderId="17" xfId="0" applyNumberFormat="1" applyFont="1" applyBorder="1" applyAlignment="1">
      <alignment horizontal="right" vertical="center"/>
    </xf>
    <xf numFmtId="4" fontId="30" fillId="0" borderId="17" xfId="0" applyNumberFormat="1" applyFont="1" applyBorder="1" applyAlignment="1">
      <alignment horizontal="right" vertical="center"/>
    </xf>
    <xf numFmtId="4" fontId="30" fillId="0" borderId="45" xfId="0" applyNumberFormat="1" applyFont="1" applyBorder="1" applyAlignment="1">
      <alignment horizontal="right" vertical="center"/>
    </xf>
    <xf numFmtId="0" fontId="21" fillId="0" borderId="5" xfId="0" applyFont="1" applyBorder="1" applyAlignment="1" applyProtection="1">
      <alignment horizontal="justify" vertical="center"/>
      <protection locked="0"/>
    </xf>
    <xf numFmtId="0" fontId="29" fillId="0" borderId="14" xfId="0" applyFont="1" applyBorder="1" applyAlignment="1" applyProtection="1">
      <alignment horizontal="justify" vertical="center"/>
      <protection locked="0"/>
    </xf>
    <xf numFmtId="4" fontId="2" fillId="0" borderId="17" xfId="0" applyNumberFormat="1" applyFont="1" applyBorder="1" applyAlignment="1" applyProtection="1">
      <alignment horizontal="right" vertical="center"/>
      <protection locked="0"/>
    </xf>
    <xf numFmtId="4" fontId="2" fillId="0" borderId="45" xfId="0" applyNumberFormat="1" applyFont="1" applyBorder="1" applyAlignment="1" applyProtection="1">
      <alignment horizontal="right" vertical="center"/>
      <protection locked="0"/>
    </xf>
    <xf numFmtId="0" fontId="16" fillId="0" borderId="5" xfId="0" applyFont="1" applyBorder="1" applyAlignment="1" applyProtection="1">
      <alignment horizontal="justify" vertical="center"/>
      <protection locked="0"/>
    </xf>
    <xf numFmtId="0" fontId="2" fillId="0" borderId="14" xfId="0" applyFont="1" applyBorder="1" applyAlignment="1" applyProtection="1">
      <alignment horizontal="left" vertical="center" wrapText="1" indent="2"/>
      <protection locked="0"/>
    </xf>
    <xf numFmtId="4" fontId="2" fillId="0" borderId="17" xfId="0" applyNumberFormat="1" applyFont="1" applyBorder="1" applyAlignment="1">
      <alignment horizontal="right" vertical="center"/>
    </xf>
    <xf numFmtId="4" fontId="2" fillId="0" borderId="45" xfId="0" applyNumberFormat="1" applyFont="1" applyBorder="1" applyAlignment="1">
      <alignment horizontal="right" vertical="center"/>
    </xf>
    <xf numFmtId="0" fontId="16" fillId="0" borderId="7" xfId="0" applyFont="1" applyBorder="1" applyAlignment="1" applyProtection="1">
      <alignment horizontal="justify" vertical="center"/>
      <protection locked="0"/>
    </xf>
    <xf numFmtId="0" fontId="16" fillId="0" borderId="27" xfId="0" applyFont="1" applyBorder="1" applyAlignment="1" applyProtection="1">
      <alignment horizontal="justify" vertical="center"/>
      <protection locked="0"/>
    </xf>
    <xf numFmtId="4" fontId="2" fillId="0" borderId="16" xfId="0" applyNumberFormat="1" applyFont="1" applyBorder="1" applyAlignment="1" applyProtection="1">
      <alignment horizontal="right" vertical="center"/>
      <protection locked="0"/>
    </xf>
    <xf numFmtId="4" fontId="2" fillId="0" borderId="18" xfId="0" applyNumberFormat="1" applyFont="1" applyBorder="1" applyAlignment="1" applyProtection="1">
      <alignment horizontal="right" vertical="center"/>
      <protection locked="0"/>
    </xf>
    <xf numFmtId="4" fontId="23" fillId="0" borderId="0" xfId="0" applyNumberFormat="1" applyFont="1" applyAlignment="1" applyProtection="1">
      <alignment horizontal="right" vertical="center" wrapText="1"/>
      <protection locked="0"/>
    </xf>
    <xf numFmtId="4" fontId="10" fillId="0" borderId="0" xfId="0" applyNumberFormat="1" applyFont="1" applyAlignment="1" applyProtection="1">
      <alignment horizontal="right" vertical="center" wrapText="1"/>
      <protection locked="0"/>
    </xf>
    <xf numFmtId="4" fontId="11" fillId="0" borderId="0" xfId="0" applyNumberFormat="1" applyFont="1" applyAlignment="1" applyProtection="1">
      <alignment vertical="center"/>
      <protection locked="0"/>
    </xf>
    <xf numFmtId="3" fontId="11" fillId="0" borderId="0" xfId="0" applyNumberFormat="1" applyFont="1" applyAlignment="1">
      <alignment horizontal="right" vertical="center" wrapText="1"/>
    </xf>
    <xf numFmtId="3" fontId="31" fillId="0" borderId="0" xfId="0" applyNumberFormat="1" applyFont="1" applyAlignment="1">
      <alignment horizontal="right" vertical="center" wrapText="1"/>
    </xf>
    <xf numFmtId="0" fontId="3" fillId="0" borderId="0" xfId="0" applyFont="1" applyAlignment="1">
      <alignment vertical="center" wrapText="1"/>
    </xf>
    <xf numFmtId="4" fontId="5" fillId="0" borderId="48" xfId="0" applyNumberFormat="1" applyFont="1" applyBorder="1" applyAlignment="1" applyProtection="1">
      <alignment horizontal="left" vertical="top"/>
      <protection locked="0"/>
    </xf>
    <xf numFmtId="0" fontId="55" fillId="0" borderId="0" xfId="0" applyFont="1" applyAlignment="1">
      <alignment horizontal="left"/>
    </xf>
    <xf numFmtId="0" fontId="12" fillId="0" borderId="0" xfId="0" applyFont="1" applyAlignment="1" applyProtection="1">
      <alignment vertical="center"/>
      <protection locked="0"/>
    </xf>
    <xf numFmtId="4" fontId="33" fillId="0" borderId="22" xfId="0" applyNumberFormat="1" applyFont="1" applyBorder="1" applyAlignment="1">
      <alignment horizontal="right" vertical="center"/>
    </xf>
    <xf numFmtId="0" fontId="33" fillId="0" borderId="19" xfId="0" applyFont="1" applyBorder="1" applyAlignment="1">
      <alignment horizontal="center" vertical="center"/>
    </xf>
    <xf numFmtId="0" fontId="33" fillId="0" borderId="31" xfId="0" applyFont="1" applyBorder="1" applyAlignment="1">
      <alignment horizontal="center" vertical="center"/>
    </xf>
    <xf numFmtId="0" fontId="33" fillId="0" borderId="33" xfId="0" applyFont="1" applyBorder="1" applyAlignment="1">
      <alignment horizontal="center" vertical="center"/>
    </xf>
    <xf numFmtId="0" fontId="5" fillId="0" borderId="17" xfId="0" applyFont="1" applyBorder="1"/>
    <xf numFmtId="0" fontId="33" fillId="0" borderId="36" xfId="0" applyFont="1" applyBorder="1" applyAlignment="1">
      <alignment horizontal="center" vertical="center"/>
    </xf>
    <xf numFmtId="0" fontId="5" fillId="0" borderId="14" xfId="0" applyFont="1" applyBorder="1"/>
    <xf numFmtId="0" fontId="33" fillId="0" borderId="32" xfId="0" applyFont="1" applyBorder="1" applyAlignment="1">
      <alignment horizontal="right" vertical="center"/>
    </xf>
    <xf numFmtId="0" fontId="5" fillId="0" borderId="2" xfId="0" applyFont="1" applyBorder="1"/>
    <xf numFmtId="0" fontId="25" fillId="0" borderId="4" xfId="0" applyFont="1" applyBorder="1" applyAlignment="1">
      <alignment horizontal="justify" vertical="center" wrapText="1"/>
    </xf>
    <xf numFmtId="0" fontId="12" fillId="0" borderId="4" xfId="0" applyFont="1" applyBorder="1" applyAlignment="1">
      <alignment horizontal="left" vertical="center" wrapText="1"/>
    </xf>
    <xf numFmtId="0" fontId="24" fillId="0" borderId="6" xfId="0" applyFont="1" applyBorder="1" applyAlignment="1">
      <alignment horizontal="justify" vertical="center" wrapText="1"/>
    </xf>
    <xf numFmtId="0" fontId="63" fillId="6" borderId="6" xfId="0" applyFont="1" applyFill="1" applyBorder="1" applyAlignment="1">
      <alignment horizontal="center" vertical="center" wrapText="1"/>
    </xf>
    <xf numFmtId="0" fontId="63" fillId="6" borderId="9" xfId="0" applyFont="1" applyFill="1" applyBorder="1" applyAlignment="1">
      <alignment horizontal="center" vertical="center" wrapText="1"/>
    </xf>
    <xf numFmtId="0" fontId="64" fillId="0" borderId="6" xfId="0" applyFont="1" applyBorder="1" applyAlignment="1">
      <alignment horizontal="justify" vertical="center" wrapText="1"/>
    </xf>
    <xf numFmtId="0" fontId="59" fillId="4" borderId="6" xfId="0" applyFont="1" applyFill="1" applyBorder="1" applyAlignment="1">
      <alignment horizontal="center" vertical="center" wrapText="1"/>
    </xf>
    <xf numFmtId="0" fontId="25" fillId="4" borderId="13" xfId="0" applyFont="1" applyFill="1" applyBorder="1" applyAlignment="1">
      <alignment horizontal="center" vertical="center" wrapText="1"/>
    </xf>
    <xf numFmtId="0" fontId="25" fillId="4" borderId="9" xfId="0" applyFont="1" applyFill="1" applyBorder="1" applyAlignment="1">
      <alignment horizontal="center" vertical="center" wrapText="1"/>
    </xf>
    <xf numFmtId="0" fontId="25" fillId="0" borderId="4" xfId="0" applyFont="1" applyBorder="1" applyAlignment="1">
      <alignment horizontal="left" vertical="center" wrapText="1"/>
    </xf>
    <xf numFmtId="0" fontId="12" fillId="0" borderId="4" xfId="0" applyFont="1" applyBorder="1" applyAlignment="1">
      <alignment horizontal="left" vertical="center" wrapText="1" indent="1"/>
    </xf>
    <xf numFmtId="0" fontId="12" fillId="0" borderId="13" xfId="0" applyFont="1" applyBorder="1" applyAlignment="1">
      <alignment horizontal="justify" vertical="center" wrapText="1"/>
    </xf>
    <xf numFmtId="0" fontId="25" fillId="0" borderId="9" xfId="0" applyFont="1" applyBorder="1" applyAlignment="1">
      <alignment horizontal="justify" vertical="center" wrapText="1"/>
    </xf>
    <xf numFmtId="0" fontId="63" fillId="6" borderId="3" xfId="0" applyFont="1" applyFill="1" applyBorder="1" applyAlignment="1">
      <alignment horizontal="center" vertical="center" wrapText="1"/>
    </xf>
    <xf numFmtId="0" fontId="65" fillId="6" borderId="9" xfId="0" applyFont="1" applyFill="1" applyBorder="1" applyAlignment="1">
      <alignment vertical="center" wrapText="1"/>
    </xf>
    <xf numFmtId="0" fontId="63" fillId="0" borderId="4" xfId="0" applyFont="1" applyBorder="1" applyAlignment="1">
      <alignment horizontal="left" vertical="center" wrapText="1"/>
    </xf>
    <xf numFmtId="0" fontId="64" fillId="0" borderId="4" xfId="0" applyFont="1" applyBorder="1" applyAlignment="1">
      <alignment horizontal="justify" vertical="center" wrapText="1"/>
    </xf>
    <xf numFmtId="0" fontId="64" fillId="0" borderId="13" xfId="0" applyFont="1" applyBorder="1" applyAlignment="1">
      <alignment horizontal="justify" vertical="center" wrapText="1"/>
    </xf>
    <xf numFmtId="0" fontId="57" fillId="0" borderId="0" xfId="0" applyFont="1" applyAlignment="1">
      <alignment horizontal="center" vertical="center"/>
    </xf>
    <xf numFmtId="0" fontId="57" fillId="0" borderId="9" xfId="0" applyFont="1" applyBorder="1" applyAlignment="1">
      <alignment vertical="center" wrapText="1"/>
    </xf>
    <xf numFmtId="0" fontId="57" fillId="0" borderId="7" xfId="0" applyFont="1" applyBorder="1" applyAlignment="1">
      <alignment vertical="center" wrapText="1"/>
    </xf>
    <xf numFmtId="0" fontId="59" fillId="6" borderId="9" xfId="0" applyFont="1" applyFill="1" applyBorder="1" applyAlignment="1">
      <alignment horizontal="center" vertical="center" wrapText="1"/>
    </xf>
    <xf numFmtId="0" fontId="60" fillId="0" borderId="6" xfId="0" applyFont="1" applyBorder="1" applyAlignment="1">
      <alignment vertical="center" wrapText="1"/>
    </xf>
    <xf numFmtId="0" fontId="59" fillId="0" borderId="6" xfId="0" applyFont="1" applyBorder="1" applyAlignment="1">
      <alignment vertical="center" wrapText="1"/>
    </xf>
    <xf numFmtId="0" fontId="60" fillId="0" borderId="6" xfId="0" applyFont="1" applyBorder="1" applyAlignment="1">
      <alignment horizontal="left" vertical="center" wrapText="1" indent="5"/>
    </xf>
    <xf numFmtId="0" fontId="60" fillId="0" borderId="7" xfId="0" applyFont="1" applyBorder="1" applyAlignment="1">
      <alignment vertical="center" wrapText="1"/>
    </xf>
    <xf numFmtId="0" fontId="59" fillId="0" borderId="9" xfId="0" applyFont="1" applyBorder="1" applyAlignment="1">
      <alignment vertical="center" wrapText="1"/>
    </xf>
    <xf numFmtId="0" fontId="60" fillId="0" borderId="9" xfId="0" applyFont="1" applyBorder="1" applyAlignment="1">
      <alignment vertical="center" wrapText="1"/>
    </xf>
    <xf numFmtId="0" fontId="66" fillId="0" borderId="7" xfId="0" applyFont="1" applyBorder="1" applyAlignment="1">
      <alignment horizontal="left" vertical="center"/>
    </xf>
    <xf numFmtId="0" fontId="60" fillId="0" borderId="7" xfId="0" applyFont="1" applyBorder="1" applyAlignment="1">
      <alignment horizontal="left" vertical="center"/>
    </xf>
    <xf numFmtId="0" fontId="59" fillId="6" borderId="3" xfId="0" applyFont="1" applyFill="1" applyBorder="1" applyAlignment="1">
      <alignment horizontal="center" vertical="center"/>
    </xf>
    <xf numFmtId="0" fontId="59" fillId="6" borderId="9" xfId="0" applyFont="1" applyFill="1" applyBorder="1" applyAlignment="1">
      <alignment horizontal="center" vertical="center"/>
    </xf>
    <xf numFmtId="0" fontId="60" fillId="0" borderId="6" xfId="0" applyFont="1" applyBorder="1" applyAlignment="1">
      <alignment vertical="center"/>
    </xf>
    <xf numFmtId="0" fontId="60" fillId="0" borderId="6" xfId="0" applyFont="1" applyBorder="1" applyAlignment="1">
      <alignment horizontal="left" vertical="center" indent="5"/>
    </xf>
    <xf numFmtId="0" fontId="60" fillId="0" borderId="6" xfId="0" applyFont="1" applyBorder="1" applyAlignment="1">
      <alignment horizontal="justify" vertical="center"/>
    </xf>
    <xf numFmtId="0" fontId="59" fillId="0" borderId="6" xfId="0" applyFont="1" applyBorder="1" applyAlignment="1">
      <alignment horizontal="left" vertical="center" indent="1"/>
    </xf>
    <xf numFmtId="0" fontId="60" fillId="0" borderId="9" xfId="0" applyFont="1" applyBorder="1" applyAlignment="1">
      <alignment horizontal="left" vertical="center" indent="1"/>
    </xf>
    <xf numFmtId="0" fontId="59" fillId="0" borderId="0" xfId="0" applyFont="1" applyAlignment="1">
      <alignment vertical="center"/>
    </xf>
    <xf numFmtId="0" fontId="59" fillId="0" borderId="5" xfId="0" applyFont="1" applyBorder="1" applyAlignment="1">
      <alignment horizontal="left" vertical="center" wrapText="1"/>
    </xf>
    <xf numFmtId="0" fontId="60" fillId="0" borderId="5" xfId="0" applyFont="1" applyBorder="1" applyAlignment="1">
      <alignment horizontal="left" vertical="center" wrapText="1"/>
    </xf>
    <xf numFmtId="0" fontId="60" fillId="0" borderId="5" xfId="0" applyFont="1" applyBorder="1" applyAlignment="1">
      <alignment horizontal="left" vertical="center" wrapText="1" indent="1"/>
    </xf>
    <xf numFmtId="0" fontId="59" fillId="0" borderId="7" xfId="0" applyFont="1" applyBorder="1" applyAlignment="1">
      <alignment horizontal="left" vertical="center" wrapText="1"/>
    </xf>
    <xf numFmtId="0" fontId="59" fillId="0" borderId="13" xfId="0" applyFont="1" applyBorder="1" applyAlignment="1">
      <alignment horizontal="center" vertical="center" wrapText="1"/>
    </xf>
    <xf numFmtId="0" fontId="59" fillId="0" borderId="9" xfId="0" applyFont="1" applyBorder="1" applyAlignment="1">
      <alignment horizontal="center" vertical="center" wrapText="1"/>
    </xf>
    <xf numFmtId="0" fontId="10" fillId="0" borderId="0" xfId="0" applyFont="1" applyProtection="1">
      <protection locked="0"/>
    </xf>
    <xf numFmtId="0" fontId="39" fillId="4" borderId="0" xfId="0" applyFont="1" applyFill="1" applyAlignment="1">
      <alignment vertical="center" wrapText="1"/>
    </xf>
    <xf numFmtId="0" fontId="58" fillId="4" borderId="0" xfId="0" applyFont="1" applyFill="1" applyAlignment="1">
      <alignment vertical="center" wrapText="1"/>
    </xf>
    <xf numFmtId="0" fontId="40" fillId="0" borderId="0" xfId="0" applyFont="1"/>
    <xf numFmtId="0" fontId="60" fillId="0" borderId="6" xfId="0" applyFont="1" applyBorder="1" applyAlignment="1">
      <alignment horizontal="right" vertical="center"/>
    </xf>
    <xf numFmtId="0" fontId="60" fillId="0" borderId="13" xfId="0" applyFont="1" applyBorder="1" applyAlignment="1">
      <alignment horizontal="right" vertical="center"/>
    </xf>
    <xf numFmtId="0" fontId="60" fillId="0" borderId="9" xfId="0" applyFont="1" applyBorder="1" applyAlignment="1">
      <alignment horizontal="right" vertical="center"/>
    </xf>
    <xf numFmtId="43" fontId="59" fillId="0" borderId="6" xfId="0" applyNumberFormat="1" applyFont="1" applyBorder="1" applyAlignment="1">
      <alignment horizontal="right" vertical="center" wrapText="1"/>
    </xf>
    <xf numFmtId="43" fontId="60" fillId="0" borderId="6" xfId="0" applyNumberFormat="1" applyFont="1" applyBorder="1" applyAlignment="1">
      <alignment horizontal="right" vertical="center" wrapText="1"/>
    </xf>
    <xf numFmtId="43" fontId="60" fillId="0" borderId="9" xfId="0" applyNumberFormat="1" applyFont="1" applyBorder="1" applyAlignment="1">
      <alignment horizontal="right" vertical="center" wrapText="1"/>
    </xf>
    <xf numFmtId="0" fontId="61" fillId="0" borderId="9" xfId="0" applyFont="1" applyBorder="1" applyAlignment="1">
      <alignment horizontal="right" vertical="center" wrapText="1"/>
    </xf>
    <xf numFmtId="43" fontId="25" fillId="0" borderId="6" xfId="0" applyNumberFormat="1" applyFont="1" applyBorder="1" applyAlignment="1">
      <alignment horizontal="right" vertical="center" wrapText="1"/>
    </xf>
    <xf numFmtId="0" fontId="59" fillId="0" borderId="50" xfId="0" applyFont="1" applyBorder="1" applyAlignment="1">
      <alignment vertical="center"/>
    </xf>
    <xf numFmtId="43" fontId="60" fillId="0" borderId="6" xfId="0" applyNumberFormat="1" applyFont="1" applyBorder="1" applyAlignment="1">
      <alignment horizontal="right" vertical="center"/>
    </xf>
    <xf numFmtId="43" fontId="60" fillId="0" borderId="9" xfId="0" applyNumberFormat="1" applyFont="1" applyBorder="1" applyAlignment="1">
      <alignment horizontal="right" vertical="center"/>
    </xf>
    <xf numFmtId="43" fontId="59" fillId="0" borderId="6" xfId="0" applyNumberFormat="1" applyFont="1" applyBorder="1" applyAlignment="1">
      <alignment horizontal="right" vertical="center"/>
    </xf>
    <xf numFmtId="43" fontId="60" fillId="0" borderId="6" xfId="0" applyNumberFormat="1" applyFont="1" applyBorder="1" applyAlignment="1" applyProtection="1">
      <alignment horizontal="right" vertical="center"/>
      <protection locked="0"/>
    </xf>
    <xf numFmtId="43" fontId="60" fillId="0" borderId="9" xfId="0" applyNumberFormat="1" applyFont="1" applyBorder="1" applyAlignment="1" applyProtection="1">
      <alignment horizontal="right" vertical="center"/>
      <protection locked="0"/>
    </xf>
    <xf numFmtId="43" fontId="60" fillId="6" borderId="6" xfId="0" applyNumberFormat="1" applyFont="1" applyFill="1" applyBorder="1" applyAlignment="1">
      <alignment horizontal="right" vertical="center"/>
    </xf>
    <xf numFmtId="43" fontId="25" fillId="0" borderId="6" xfId="0" applyNumberFormat="1" applyFont="1" applyBorder="1" applyAlignment="1" applyProtection="1">
      <alignment horizontal="right" vertical="center" wrapText="1"/>
      <protection locked="0"/>
    </xf>
    <xf numFmtId="0" fontId="70" fillId="0" borderId="8" xfId="0" applyFont="1" applyBorder="1" applyAlignment="1">
      <alignment horizontal="left" vertical="center"/>
    </xf>
    <xf numFmtId="0" fontId="70" fillId="0" borderId="13" xfId="0" applyFont="1" applyBorder="1" applyAlignment="1">
      <alignment horizontal="center" vertical="center"/>
    </xf>
    <xf numFmtId="0" fontId="70" fillId="0" borderId="9" xfId="0" applyFont="1" applyBorder="1" applyAlignment="1">
      <alignment horizontal="center" vertical="center"/>
    </xf>
    <xf numFmtId="0" fontId="23" fillId="0" borderId="13" xfId="0" applyFont="1" applyBorder="1" applyAlignment="1">
      <alignment horizontal="justify" vertical="center" wrapText="1"/>
    </xf>
    <xf numFmtId="0" fontId="59" fillId="6" borderId="3" xfId="0" applyFont="1" applyFill="1" applyBorder="1" applyAlignment="1">
      <alignment horizontal="center" vertical="center" wrapText="1"/>
    </xf>
    <xf numFmtId="43" fontId="23" fillId="0" borderId="9" xfId="0" applyNumberFormat="1" applyFont="1" applyBorder="1" applyAlignment="1">
      <alignment horizontal="right" vertical="center" wrapText="1"/>
    </xf>
    <xf numFmtId="43" fontId="60" fillId="0" borderId="6" xfId="0" applyNumberFormat="1" applyFont="1" applyBorder="1" applyAlignment="1" applyProtection="1">
      <alignment horizontal="right" vertical="center" wrapText="1"/>
      <protection locked="0"/>
    </xf>
    <xf numFmtId="0" fontId="25" fillId="0" borderId="13" xfId="0" applyFont="1" applyBorder="1" applyAlignment="1">
      <alignment horizontal="left" vertical="center" wrapText="1"/>
    </xf>
    <xf numFmtId="0" fontId="25" fillId="0" borderId="8" xfId="0" applyFont="1" applyBorder="1" applyAlignment="1">
      <alignment horizontal="justify" vertical="center" wrapText="1"/>
    </xf>
    <xf numFmtId="0" fontId="25" fillId="0" borderId="9" xfId="0" applyFont="1" applyBorder="1" applyAlignment="1">
      <alignment horizontal="left" vertical="center" wrapText="1"/>
    </xf>
    <xf numFmtId="43" fontId="12" fillId="0" borderId="9" xfId="0" applyNumberFormat="1" applyFont="1" applyBorder="1" applyAlignment="1">
      <alignment horizontal="justify" vertical="center" wrapText="1"/>
    </xf>
    <xf numFmtId="0" fontId="12" fillId="0" borderId="8" xfId="0" applyFont="1" applyBorder="1" applyAlignment="1">
      <alignment horizontal="justify" vertical="center" wrapText="1"/>
    </xf>
    <xf numFmtId="0" fontId="12" fillId="0" borderId="9" xfId="0" applyFont="1" applyBorder="1" applyAlignment="1">
      <alignment horizontal="justify" vertical="center" wrapText="1"/>
    </xf>
    <xf numFmtId="0" fontId="25" fillId="0" borderId="6" xfId="0" applyFont="1" applyBorder="1" applyAlignment="1">
      <alignment horizontal="justify" vertical="center" wrapText="1"/>
    </xf>
    <xf numFmtId="0" fontId="12" fillId="0" borderId="0" xfId="0" applyFont="1" applyAlignment="1">
      <alignment horizontal="justify" vertical="center" wrapText="1"/>
    </xf>
    <xf numFmtId="0" fontId="12" fillId="0" borderId="6" xfId="0" applyFont="1" applyBorder="1" applyAlignment="1">
      <alignment horizontal="justify" vertical="center" wrapText="1"/>
    </xf>
    <xf numFmtId="0" fontId="25" fillId="0" borderId="0" xfId="0" applyFont="1" applyAlignment="1">
      <alignment horizontal="justify" vertical="center" wrapText="1"/>
    </xf>
    <xf numFmtId="0" fontId="12" fillId="0" borderId="4" xfId="0" applyFont="1" applyBorder="1" applyAlignment="1">
      <alignment horizontal="left" vertical="top" wrapText="1"/>
    </xf>
    <xf numFmtId="43" fontId="12" fillId="0" borderId="6" xfId="0" applyNumberFormat="1" applyFont="1" applyBorder="1" applyAlignment="1" applyProtection="1">
      <alignment horizontal="right" vertical="center" wrapText="1"/>
      <protection locked="0"/>
    </xf>
    <xf numFmtId="0" fontId="12" fillId="0" borderId="4" xfId="0" applyFont="1" applyBorder="1" applyAlignment="1">
      <alignment horizontal="justify" vertical="center" wrapText="1"/>
    </xf>
    <xf numFmtId="43" fontId="12" fillId="0" borderId="6" xfId="0" applyNumberFormat="1" applyFont="1" applyBorder="1" applyAlignment="1">
      <alignment horizontal="right" vertical="center" wrapText="1"/>
    </xf>
    <xf numFmtId="43" fontId="12" fillId="0" borderId="9" xfId="0" applyNumberFormat="1" applyFont="1" applyBorder="1" applyAlignment="1" applyProtection="1">
      <alignment horizontal="right" vertical="center" wrapText="1"/>
      <protection locked="0"/>
    </xf>
    <xf numFmtId="43" fontId="12" fillId="0" borderId="6" xfId="0" applyNumberFormat="1" applyFont="1" applyBorder="1" applyAlignment="1">
      <alignment horizontal="justify" vertical="center" wrapText="1"/>
    </xf>
    <xf numFmtId="43" fontId="25" fillId="0" borderId="9" xfId="0" applyNumberFormat="1" applyFont="1" applyBorder="1" applyAlignment="1">
      <alignment horizontal="right" vertical="center" wrapText="1"/>
    </xf>
    <xf numFmtId="43" fontId="59" fillId="6" borderId="6" xfId="0" applyNumberFormat="1" applyFont="1" applyFill="1" applyBorder="1" applyAlignment="1">
      <alignment horizontal="right" vertical="center" wrapText="1"/>
    </xf>
    <xf numFmtId="43" fontId="69" fillId="0" borderId="4" xfId="0" applyNumberFormat="1" applyFont="1" applyBorder="1" applyAlignment="1">
      <alignment vertical="center"/>
    </xf>
    <xf numFmtId="43" fontId="70" fillId="0" borderId="4" xfId="0" applyNumberFormat="1" applyFont="1" applyBorder="1" applyAlignment="1">
      <alignment vertical="center"/>
    </xf>
    <xf numFmtId="43" fontId="70" fillId="0" borderId="6" xfId="0" applyNumberFormat="1" applyFont="1" applyBorder="1" applyAlignment="1">
      <alignment vertical="center"/>
    </xf>
    <xf numFmtId="43" fontId="70" fillId="0" borderId="4" xfId="0" applyNumberFormat="1" applyFont="1" applyBorder="1" applyAlignment="1" applyProtection="1">
      <alignment vertical="center"/>
      <protection locked="0"/>
    </xf>
    <xf numFmtId="0" fontId="69" fillId="0" borderId="9" xfId="0" applyFont="1" applyBorder="1" applyAlignment="1">
      <alignment horizontal="center" vertical="center" wrapText="1"/>
    </xf>
    <xf numFmtId="43" fontId="59" fillId="0" borderId="4" xfId="0" applyNumberFormat="1" applyFont="1" applyBorder="1" applyAlignment="1">
      <alignment horizontal="right" wrapText="1"/>
    </xf>
    <xf numFmtId="43" fontId="59" fillId="0" borderId="6" xfId="0" applyNumberFormat="1" applyFont="1" applyBorder="1" applyAlignment="1">
      <alignment horizontal="right" wrapText="1"/>
    </xf>
    <xf numFmtId="43" fontId="59" fillId="0" borderId="4" xfId="0" applyNumberFormat="1" applyFont="1" applyBorder="1" applyAlignment="1" applyProtection="1">
      <alignment horizontal="right" wrapText="1"/>
      <protection locked="0"/>
    </xf>
    <xf numFmtId="43" fontId="59" fillId="0" borderId="6" xfId="0" applyNumberFormat="1" applyFont="1" applyBorder="1" applyAlignment="1" applyProtection="1">
      <alignment horizontal="right" wrapText="1"/>
      <protection locked="0"/>
    </xf>
    <xf numFmtId="0" fontId="25" fillId="0" borderId="49" xfId="0" applyFont="1" applyBorder="1" applyAlignment="1">
      <alignment horizontal="justify" vertical="center" wrapText="1"/>
    </xf>
    <xf numFmtId="43" fontId="25" fillId="0" borderId="3" xfId="0" applyNumberFormat="1" applyFont="1" applyBorder="1" applyAlignment="1">
      <alignment horizontal="right" vertical="center" wrapText="1"/>
    </xf>
    <xf numFmtId="0" fontId="12" fillId="0" borderId="2" xfId="0" applyFont="1" applyBorder="1" applyAlignment="1">
      <alignment horizontal="justify" vertical="center" wrapText="1"/>
    </xf>
    <xf numFmtId="0" fontId="25" fillId="0" borderId="3" xfId="0" applyFont="1" applyBorder="1" applyAlignment="1">
      <alignment horizontal="justify" vertical="center" wrapText="1"/>
    </xf>
    <xf numFmtId="0" fontId="60" fillId="0" borderId="8" xfId="0" applyFont="1" applyBorder="1" applyAlignment="1">
      <alignment horizontal="left" vertical="center"/>
    </xf>
    <xf numFmtId="0" fontId="60" fillId="0" borderId="51" xfId="0" applyFont="1" applyBorder="1" applyAlignment="1">
      <alignment horizontal="left" vertical="justify"/>
    </xf>
    <xf numFmtId="43" fontId="70" fillId="0" borderId="13" xfId="0" applyNumberFormat="1" applyFont="1" applyBorder="1" applyAlignment="1" applyProtection="1">
      <alignment vertical="center"/>
      <protection locked="0"/>
    </xf>
    <xf numFmtId="43" fontId="70" fillId="0" borderId="13" xfId="0" applyNumberFormat="1" applyFont="1" applyBorder="1" applyAlignment="1">
      <alignment vertical="center"/>
    </xf>
    <xf numFmtId="43" fontId="70" fillId="0" borderId="9" xfId="0" applyNumberFormat="1" applyFont="1" applyBorder="1" applyAlignment="1">
      <alignment vertical="center"/>
    </xf>
    <xf numFmtId="0" fontId="12" fillId="0" borderId="6" xfId="0" applyFont="1" applyBorder="1" applyAlignment="1">
      <alignment horizontal="center" vertical="center" wrapText="1"/>
    </xf>
    <xf numFmtId="0" fontId="25" fillId="0" borderId="0" xfId="0" applyFont="1" applyAlignment="1">
      <alignment vertical="center"/>
    </xf>
    <xf numFmtId="43" fontId="12" fillId="0" borderId="6" xfId="0" applyNumberFormat="1" applyFont="1" applyBorder="1" applyAlignment="1">
      <alignmen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43" fontId="12" fillId="0" borderId="6" xfId="0" applyNumberFormat="1" applyFont="1" applyBorder="1" applyAlignment="1" applyProtection="1">
      <alignment vertical="center"/>
      <protection locked="0"/>
    </xf>
    <xf numFmtId="0" fontId="25" fillId="0" borderId="5" xfId="0" applyFont="1" applyBorder="1" applyAlignment="1">
      <alignment horizontal="justify" vertical="center"/>
    </xf>
    <xf numFmtId="0" fontId="25" fillId="0" borderId="6" xfId="0" applyFont="1" applyBorder="1" applyAlignment="1">
      <alignment horizontal="justify" vertical="center"/>
    </xf>
    <xf numFmtId="43" fontId="25" fillId="0" borderId="6" xfId="0" applyNumberFormat="1" applyFont="1" applyBorder="1" applyAlignment="1">
      <alignment vertical="center"/>
    </xf>
    <xf numFmtId="43" fontId="25" fillId="0" borderId="6" xfId="0" applyNumberFormat="1" applyFont="1" applyBorder="1" applyAlignment="1" applyProtection="1">
      <alignment vertical="center"/>
      <protection locked="0"/>
    </xf>
    <xf numFmtId="0" fontId="12" fillId="0" borderId="7" xfId="0" applyFont="1" applyBorder="1" applyAlignment="1">
      <alignment horizontal="left" vertical="center"/>
    </xf>
    <xf numFmtId="0" fontId="12" fillId="0" borderId="9" xfId="0" applyFont="1" applyBorder="1" applyAlignment="1">
      <alignment horizontal="left" vertical="center"/>
    </xf>
    <xf numFmtId="43" fontId="12" fillId="0" borderId="9" xfId="0" applyNumberFormat="1" applyFont="1" applyBorder="1" applyAlignment="1" applyProtection="1">
      <alignment vertical="center"/>
      <protection locked="0"/>
    </xf>
    <xf numFmtId="43" fontId="12" fillId="0" borderId="9" xfId="0" applyNumberFormat="1" applyFont="1" applyBorder="1" applyAlignment="1">
      <alignment vertical="center"/>
    </xf>
    <xf numFmtId="0" fontId="12" fillId="0" borderId="0" xfId="0" applyFont="1" applyAlignment="1">
      <alignment horizontal="left" vertical="center"/>
    </xf>
    <xf numFmtId="43" fontId="12" fillId="0" borderId="0" xfId="0" applyNumberFormat="1" applyFont="1" applyAlignment="1" applyProtection="1">
      <alignment vertical="center"/>
      <protection locked="0"/>
    </xf>
    <xf numFmtId="43" fontId="12" fillId="0" borderId="0" xfId="0" applyNumberFormat="1" applyFont="1" applyAlignment="1">
      <alignment vertical="center"/>
    </xf>
    <xf numFmtId="0" fontId="70" fillId="0" borderId="7" xfId="0" applyFont="1" applyBorder="1" applyAlignment="1">
      <alignment horizontal="left" vertical="center"/>
    </xf>
    <xf numFmtId="0" fontId="70" fillId="0" borderId="0" xfId="0" applyFont="1" applyAlignment="1">
      <alignment horizontal="left" vertical="center"/>
    </xf>
    <xf numFmtId="41" fontId="60" fillId="0" borderId="6" xfId="0" applyNumberFormat="1" applyFont="1" applyBorder="1" applyAlignment="1" applyProtection="1">
      <alignment vertical="center" wrapText="1"/>
      <protection locked="0"/>
    </xf>
    <xf numFmtId="0" fontId="41" fillId="0" borderId="0" xfId="0" applyFont="1" applyAlignment="1">
      <alignment wrapText="1"/>
    </xf>
    <xf numFmtId="41" fontId="60" fillId="0" borderId="6" xfId="0" applyNumberFormat="1" applyFont="1" applyBorder="1" applyAlignment="1">
      <alignment vertical="center" wrapText="1"/>
    </xf>
    <xf numFmtId="41" fontId="60" fillId="0" borderId="6" xfId="0" applyNumberFormat="1" applyFont="1" applyBorder="1" applyAlignment="1">
      <alignment horizontal="right" vertical="center"/>
    </xf>
    <xf numFmtId="41" fontId="60" fillId="6" borderId="6" xfId="0" applyNumberFormat="1" applyFont="1" applyFill="1" applyBorder="1" applyAlignment="1">
      <alignment horizontal="right" vertical="center" wrapText="1"/>
    </xf>
    <xf numFmtId="41" fontId="59" fillId="0" borderId="6" xfId="0" applyNumberFormat="1" applyFont="1" applyBorder="1" applyAlignment="1">
      <alignment horizontal="right" vertical="center" wrapText="1"/>
    </xf>
    <xf numFmtId="41" fontId="59" fillId="0" borderId="6" xfId="0" applyNumberFormat="1" applyFont="1" applyBorder="1" applyAlignment="1">
      <alignment horizontal="right" vertical="center"/>
    </xf>
    <xf numFmtId="41" fontId="59" fillId="0" borderId="6" xfId="0" applyNumberFormat="1" applyFont="1" applyBorder="1" applyAlignment="1">
      <alignment vertical="center" wrapText="1"/>
    </xf>
    <xf numFmtId="41" fontId="59" fillId="0" borderId="6" xfId="0" applyNumberFormat="1" applyFont="1" applyBorder="1" applyAlignment="1" applyProtection="1">
      <alignment vertical="center" wrapText="1"/>
      <protection locked="0"/>
    </xf>
    <xf numFmtId="41" fontId="60" fillId="2" borderId="6" xfId="0" applyNumberFormat="1" applyFont="1" applyFill="1" applyBorder="1" applyAlignment="1">
      <alignment vertical="center" wrapText="1"/>
    </xf>
    <xf numFmtId="41" fontId="60" fillId="0" borderId="6" xfId="0" applyNumberFormat="1" applyFont="1" applyBorder="1" applyAlignment="1">
      <alignment horizontal="right" vertical="center" wrapText="1"/>
    </xf>
    <xf numFmtId="0" fontId="69" fillId="0" borderId="6" xfId="0" applyFont="1" applyBorder="1" applyAlignment="1">
      <alignment horizontal="center" vertical="center"/>
    </xf>
    <xf numFmtId="0" fontId="69" fillId="0" borderId="6" xfId="0" applyFont="1" applyBorder="1" applyAlignment="1">
      <alignment horizontal="center" vertical="center" wrapText="1"/>
    </xf>
    <xf numFmtId="0" fontId="69" fillId="0" borderId="4" xfId="0" applyFont="1" applyBorder="1" applyAlignment="1">
      <alignment horizontal="center" vertical="center"/>
    </xf>
    <xf numFmtId="43" fontId="59" fillId="0" borderId="6" xfId="0" applyNumberFormat="1" applyFont="1" applyBorder="1" applyAlignment="1" applyProtection="1">
      <alignment horizontal="right" vertical="center" wrapText="1"/>
      <protection locked="0"/>
    </xf>
    <xf numFmtId="0" fontId="71" fillId="0" borderId="0" xfId="0" applyFont="1" applyProtection="1">
      <protection locked="0"/>
    </xf>
    <xf numFmtId="0" fontId="72" fillId="0" borderId="0" xfId="0" applyFont="1" applyProtection="1">
      <protection locked="0"/>
    </xf>
    <xf numFmtId="0" fontId="73" fillId="0" borderId="0" xfId="0" applyFont="1" applyProtection="1">
      <protection locked="0"/>
    </xf>
    <xf numFmtId="0" fontId="66" fillId="0" borderId="3" xfId="0" applyFont="1" applyBorder="1" applyAlignment="1">
      <alignment horizontal="center" vertical="center"/>
    </xf>
    <xf numFmtId="43" fontId="60" fillId="0" borderId="4" xfId="0" applyNumberFormat="1" applyFont="1" applyBorder="1" applyAlignment="1" applyProtection="1">
      <alignment horizontal="right" vertical="center"/>
      <protection locked="0"/>
    </xf>
    <xf numFmtId="43" fontId="60" fillId="0" borderId="4" xfId="0" applyNumberFormat="1" applyFont="1" applyBorder="1" applyAlignment="1">
      <alignment horizontal="right" vertical="center"/>
    </xf>
    <xf numFmtId="0" fontId="60" fillId="0" borderId="51" xfId="0" applyFont="1" applyBorder="1" applyAlignment="1">
      <alignment horizontal="left" vertical="center"/>
    </xf>
    <xf numFmtId="0" fontId="12" fillId="0" borderId="3" xfId="0" applyFont="1" applyBorder="1" applyAlignment="1">
      <alignment horizontal="center" vertical="center" wrapText="1"/>
    </xf>
    <xf numFmtId="0" fontId="6" fillId="0" borderId="8" xfId="0" applyFont="1" applyBorder="1" applyAlignment="1" applyProtection="1">
      <alignment horizontal="center" vertical="top"/>
      <protection locked="0"/>
    </xf>
    <xf numFmtId="0" fontId="5" fillId="0" borderId="0" xfId="0" applyFont="1" applyAlignment="1" applyProtection="1">
      <alignment horizontal="left" wrapText="1"/>
      <protection locked="0"/>
    </xf>
    <xf numFmtId="0" fontId="59" fillId="0" borderId="5" xfId="0" applyFont="1" applyBorder="1" applyAlignment="1">
      <alignment horizontal="justify" vertical="center" wrapText="1"/>
    </xf>
    <xf numFmtId="0" fontId="59" fillId="0" borderId="6" xfId="0" applyFont="1" applyBorder="1" applyAlignment="1">
      <alignment horizontal="justify" vertical="center" wrapText="1"/>
    </xf>
    <xf numFmtId="0" fontId="59" fillId="4" borderId="9" xfId="0" applyFont="1" applyFill="1" applyBorder="1" applyAlignment="1">
      <alignment horizontal="center" vertical="center" wrapText="1"/>
    </xf>
    <xf numFmtId="0" fontId="60" fillId="0" borderId="5" xfId="0" applyFont="1" applyBorder="1" applyAlignment="1">
      <alignment horizontal="justify" vertical="center" wrapText="1"/>
    </xf>
    <xf numFmtId="0" fontId="60" fillId="0" borderId="6" xfId="0" applyFont="1" applyBorder="1" applyAlignment="1">
      <alignment horizontal="justify" vertical="center" wrapText="1"/>
    </xf>
    <xf numFmtId="0" fontId="60" fillId="0" borderId="0" xfId="0" applyFont="1" applyAlignment="1">
      <alignment horizontal="left" vertical="center"/>
    </xf>
    <xf numFmtId="0" fontId="60" fillId="0" borderId="50" xfId="0" applyFont="1" applyBorder="1" applyAlignment="1">
      <alignment horizontal="left" vertical="center"/>
    </xf>
    <xf numFmtId="0" fontId="60" fillId="0" borderId="5" xfId="0" applyFont="1" applyBorder="1" applyAlignment="1">
      <alignment horizontal="left" vertical="center"/>
    </xf>
    <xf numFmtId="0" fontId="60" fillId="0" borderId="0" xfId="0" applyFont="1" applyAlignment="1">
      <alignment vertical="center"/>
    </xf>
    <xf numFmtId="0" fontId="60" fillId="0" borderId="50" xfId="0" applyFont="1" applyBorder="1" applyAlignment="1">
      <alignment vertical="center"/>
    </xf>
    <xf numFmtId="0" fontId="60" fillId="0" borderId="50" xfId="0" applyFont="1" applyBorder="1" applyAlignment="1">
      <alignment horizontal="left" vertical="justify"/>
    </xf>
    <xf numFmtId="0" fontId="3" fillId="0" borderId="47" xfId="0" applyFont="1" applyBorder="1" applyAlignment="1" applyProtection="1">
      <alignment horizontal="center" vertical="center" wrapText="1"/>
      <protection locked="0"/>
    </xf>
    <xf numFmtId="0" fontId="25" fillId="0" borderId="9" xfId="0" applyFont="1" applyBorder="1" applyAlignment="1">
      <alignment horizontal="center" vertical="center" wrapText="1"/>
    </xf>
    <xf numFmtId="0" fontId="59" fillId="6" borderId="12" xfId="0" applyFont="1" applyFill="1" applyBorder="1" applyAlignment="1">
      <alignment horizontal="center" vertical="center" wrapText="1"/>
    </xf>
    <xf numFmtId="0" fontId="59" fillId="6" borderId="49" xfId="0" applyFont="1" applyFill="1" applyBorder="1" applyAlignment="1">
      <alignment horizontal="center" vertical="center" wrapText="1"/>
    </xf>
    <xf numFmtId="0" fontId="59" fillId="6" borderId="13" xfId="0" applyFont="1" applyFill="1" applyBorder="1" applyAlignment="1">
      <alignment horizontal="center" vertical="center" wrapText="1"/>
    </xf>
    <xf numFmtId="0" fontId="32" fillId="0" borderId="0" xfId="0" applyFont="1" applyAlignment="1" applyProtection="1">
      <alignment horizontal="center"/>
      <protection locked="0"/>
    </xf>
    <xf numFmtId="0" fontId="33" fillId="0" borderId="7" xfId="0" applyFont="1" applyBorder="1" applyAlignment="1" applyProtection="1">
      <alignment horizontal="center" vertical="center"/>
      <protection locked="0"/>
    </xf>
    <xf numFmtId="0" fontId="33" fillId="0" borderId="27" xfId="0" applyFont="1" applyBorder="1" applyAlignment="1" applyProtection="1">
      <alignment horizontal="center" vertical="center"/>
      <protection locked="0"/>
    </xf>
    <xf numFmtId="0" fontId="33" fillId="0" borderId="16" xfId="0" applyFont="1" applyBorder="1" applyAlignment="1" applyProtection="1">
      <alignment horizontal="center" vertical="center"/>
      <protection locked="0"/>
    </xf>
    <xf numFmtId="0" fontId="33" fillId="0" borderId="18" xfId="0" applyFont="1" applyBorder="1" applyAlignment="1" applyProtection="1">
      <alignment horizontal="center" vertical="center"/>
      <protection locked="0"/>
    </xf>
    <xf numFmtId="0" fontId="33" fillId="0" borderId="2" xfId="0" applyFont="1" applyBorder="1" applyAlignment="1">
      <alignment horizontal="center" vertical="center"/>
    </xf>
    <xf numFmtId="0" fontId="59" fillId="0" borderId="5" xfId="0" applyFont="1" applyBorder="1" applyAlignment="1">
      <alignment vertical="center"/>
    </xf>
    <xf numFmtId="0" fontId="60" fillId="0" borderId="5" xfId="0" applyFont="1" applyBorder="1" applyAlignment="1">
      <alignment vertical="center"/>
    </xf>
    <xf numFmtId="0" fontId="60" fillId="0" borderId="6" xfId="0" applyFont="1" applyBorder="1" applyAlignment="1">
      <alignment horizontal="left" vertical="center" indent="1"/>
    </xf>
    <xf numFmtId="0" fontId="59" fillId="0" borderId="6" xfId="0" applyFont="1" applyBorder="1" applyAlignment="1">
      <alignment vertical="center"/>
    </xf>
    <xf numFmtId="0" fontId="59" fillId="0" borderId="5" xfId="0" applyFont="1" applyBorder="1" applyAlignment="1">
      <alignment vertical="center" wrapText="1"/>
    </xf>
    <xf numFmtId="0" fontId="58" fillId="4" borderId="0" xfId="0" applyFont="1" applyFill="1" applyAlignment="1">
      <alignment horizontal="center" vertical="center" wrapText="1"/>
    </xf>
    <xf numFmtId="0" fontId="60" fillId="0" borderId="5" xfId="0" applyFont="1" applyBorder="1" applyAlignment="1">
      <alignment vertical="center" wrapText="1"/>
    </xf>
    <xf numFmtId="3" fontId="3" fillId="0" borderId="9" xfId="0" applyNumberFormat="1" applyFont="1" applyBorder="1" applyAlignment="1">
      <alignment horizontal="right" vertical="center" wrapText="1"/>
    </xf>
    <xf numFmtId="0" fontId="11" fillId="0" borderId="10" xfId="0" applyFont="1" applyBorder="1" applyAlignment="1" applyProtection="1">
      <alignment vertical="center" wrapText="1"/>
      <protection locked="0"/>
    </xf>
    <xf numFmtId="0" fontId="11" fillId="0" borderId="12" xfId="0" applyFont="1" applyBorder="1" applyAlignment="1" applyProtection="1">
      <alignment vertical="center" wrapText="1"/>
      <protection locked="0"/>
    </xf>
    <xf numFmtId="4" fontId="11" fillId="0" borderId="10" xfId="0" applyNumberFormat="1" applyFont="1" applyBorder="1" applyAlignment="1" applyProtection="1">
      <alignment vertical="center"/>
      <protection locked="0"/>
    </xf>
    <xf numFmtId="4" fontId="11" fillId="0" borderId="12" xfId="0" applyNumberFormat="1" applyFont="1" applyBorder="1" applyAlignment="1" applyProtection="1">
      <alignment vertical="center"/>
      <protection locked="0"/>
    </xf>
    <xf numFmtId="0" fontId="6" fillId="0" borderId="0" xfId="0" applyFont="1" applyAlignment="1">
      <alignment horizontal="center"/>
    </xf>
    <xf numFmtId="0" fontId="75" fillId="0" borderId="9" xfId="0" applyFont="1" applyBorder="1" applyAlignment="1">
      <alignment horizontal="justify" vertical="center" wrapText="1"/>
    </xf>
    <xf numFmtId="0" fontId="75" fillId="6" borderId="9" xfId="0" applyFont="1" applyFill="1" applyBorder="1" applyAlignment="1">
      <alignment horizontal="justify" vertical="center" wrapText="1"/>
    </xf>
    <xf numFmtId="0" fontId="75" fillId="6" borderId="6" xfId="0" applyFont="1" applyFill="1" applyBorder="1" applyAlignment="1">
      <alignment horizontal="justify" vertical="center" wrapText="1"/>
    </xf>
    <xf numFmtId="0" fontId="75" fillId="0" borderId="6" xfId="0" applyFont="1" applyBorder="1" applyAlignment="1">
      <alignment horizontal="justify" vertical="center" wrapText="1"/>
    </xf>
    <xf numFmtId="0" fontId="1" fillId="0" borderId="8" xfId="0" applyFont="1" applyBorder="1" applyAlignment="1" applyProtection="1">
      <alignment horizontal="justify" vertical="center" wrapText="1"/>
      <protection locked="0"/>
    </xf>
    <xf numFmtId="0" fontId="3" fillId="0" borderId="49" xfId="0" applyFont="1" applyBorder="1" applyAlignment="1" applyProtection="1">
      <alignment horizontal="center" vertical="center" wrapText="1"/>
      <protection locked="0"/>
    </xf>
    <xf numFmtId="49" fontId="3" fillId="4" borderId="13" xfId="0" applyNumberFormat="1" applyFont="1" applyFill="1" applyBorder="1" applyAlignment="1" applyProtection="1">
      <alignment horizontal="center" vertical="center" wrapText="1"/>
      <protection locked="0"/>
    </xf>
    <xf numFmtId="4" fontId="3" fillId="0" borderId="4" xfId="0" applyNumberFormat="1" applyFont="1" applyBorder="1" applyAlignment="1" applyProtection="1">
      <alignment horizontal="right" vertical="center" wrapText="1"/>
      <protection locked="0"/>
    </xf>
    <xf numFmtId="4" fontId="3" fillId="0" borderId="4" xfId="0" applyNumberFormat="1" applyFont="1" applyBorder="1" applyAlignment="1">
      <alignment horizontal="right" vertical="center" wrapText="1"/>
    </xf>
    <xf numFmtId="3" fontId="1" fillId="0" borderId="4" xfId="0" applyNumberFormat="1" applyFont="1" applyBorder="1" applyAlignment="1" applyProtection="1">
      <alignment horizontal="right" vertical="center" wrapText="1"/>
      <protection locked="0"/>
    </xf>
    <xf numFmtId="3" fontId="1" fillId="0" borderId="4" xfId="0" applyNumberFormat="1" applyFont="1" applyBorder="1" applyAlignment="1">
      <alignment horizontal="right" vertical="center" wrapText="1"/>
    </xf>
    <xf numFmtId="3" fontId="1" fillId="0" borderId="13" xfId="0" applyNumberFormat="1" applyFont="1" applyBorder="1" applyAlignment="1" applyProtection="1">
      <alignment horizontal="right" vertical="center" wrapText="1"/>
      <protection locked="0"/>
    </xf>
    <xf numFmtId="3" fontId="1" fillId="0" borderId="13" xfId="0" applyNumberFormat="1" applyFont="1" applyBorder="1" applyAlignment="1">
      <alignment horizontal="right" vertical="center" wrapText="1"/>
    </xf>
    <xf numFmtId="3" fontId="3" fillId="0" borderId="13" xfId="0" applyNumberFormat="1" applyFont="1" applyBorder="1" applyAlignment="1">
      <alignment horizontal="right" vertical="center" wrapText="1"/>
    </xf>
    <xf numFmtId="0" fontId="33" fillId="0" borderId="56" xfId="0" applyFont="1" applyBorder="1" applyAlignment="1">
      <alignment horizontal="center" vertical="center"/>
    </xf>
    <xf numFmtId="0" fontId="37" fillId="0" borderId="56" xfId="0" applyFont="1" applyBorder="1" applyAlignment="1">
      <alignment horizontal="center" vertical="center"/>
    </xf>
    <xf numFmtId="0" fontId="33" fillId="0" borderId="56" xfId="0" applyFont="1" applyBorder="1" applyAlignment="1">
      <alignment horizontal="right" vertical="center"/>
    </xf>
    <xf numFmtId="0" fontId="70" fillId="0" borderId="5" xfId="0" applyFont="1" applyBorder="1" applyAlignment="1">
      <alignment horizontal="left" vertical="center"/>
    </xf>
    <xf numFmtId="0" fontId="69" fillId="0" borderId="9" xfId="0" applyFont="1" applyBorder="1" applyAlignment="1">
      <alignment horizontal="center" vertical="center"/>
    </xf>
    <xf numFmtId="0" fontId="69" fillId="0" borderId="5" xfId="0" applyFont="1" applyBorder="1" applyAlignment="1">
      <alignment horizontal="center" vertical="center"/>
    </xf>
    <xf numFmtId="0" fontId="76" fillId="0" borderId="9" xfId="0" applyFont="1" applyBorder="1" applyAlignment="1">
      <alignment horizontal="center" vertical="center" wrapText="1"/>
    </xf>
    <xf numFmtId="0" fontId="21" fillId="0" borderId="39" xfId="0" applyFont="1" applyBorder="1" applyAlignment="1" applyProtection="1">
      <alignment horizontal="center" vertical="center" wrapText="1"/>
      <protection locked="0"/>
    </xf>
    <xf numFmtId="0" fontId="6" fillId="0" borderId="5" xfId="0" applyFont="1" applyBorder="1" applyAlignment="1" applyProtection="1">
      <alignment horizontal="justify" vertical="top" wrapText="1"/>
      <protection locked="0"/>
    </xf>
    <xf numFmtId="0" fontId="6" fillId="0" borderId="0" xfId="0" applyFont="1" applyAlignment="1" applyProtection="1">
      <alignment horizontal="justify" vertical="top" wrapText="1"/>
      <protection locked="0"/>
    </xf>
    <xf numFmtId="0" fontId="27" fillId="0" borderId="39" xfId="0" applyFont="1" applyBorder="1" applyAlignment="1" applyProtection="1">
      <alignment horizontal="center" vertical="center" wrapText="1"/>
      <protection locked="0"/>
    </xf>
    <xf numFmtId="4" fontId="19" fillId="0" borderId="45" xfId="0" applyNumberFormat="1" applyFont="1" applyBorder="1" applyAlignment="1">
      <alignment horizontal="right" vertical="center"/>
    </xf>
    <xf numFmtId="0" fontId="39" fillId="7" borderId="13" xfId="0" applyFont="1" applyFill="1" applyBorder="1" applyAlignment="1">
      <alignment horizontal="center" vertical="center"/>
    </xf>
    <xf numFmtId="0" fontId="39" fillId="7" borderId="9" xfId="0" applyFont="1" applyFill="1" applyBorder="1" applyAlignment="1">
      <alignment horizontal="center" vertical="center" wrapText="1"/>
    </xf>
    <xf numFmtId="0" fontId="39" fillId="7" borderId="9" xfId="0" applyFont="1" applyFill="1" applyBorder="1" applyAlignment="1">
      <alignment horizontal="center" vertical="center"/>
    </xf>
    <xf numFmtId="0" fontId="57" fillId="0" borderId="57" xfId="0" applyFont="1" applyBorder="1" applyAlignment="1">
      <alignment horizontal="justify" vertical="center"/>
    </xf>
    <xf numFmtId="0" fontId="57" fillId="0" borderId="58" xfId="0" applyFont="1" applyBorder="1" applyAlignment="1">
      <alignment horizontal="center" vertical="center" wrapText="1"/>
    </xf>
    <xf numFmtId="0" fontId="57" fillId="0" borderId="58" xfId="0" applyFont="1" applyBorder="1" applyAlignment="1">
      <alignment horizontal="center" vertical="center"/>
    </xf>
    <xf numFmtId="0" fontId="58" fillId="0" borderId="57" xfId="0" applyFont="1" applyBorder="1" applyAlignment="1">
      <alignment horizontal="justify" vertical="center"/>
    </xf>
    <xf numFmtId="43" fontId="57" fillId="0" borderId="58" xfId="12" applyFont="1" applyBorder="1" applyAlignment="1">
      <alignment horizontal="center" vertical="center" wrapText="1"/>
    </xf>
    <xf numFmtId="0" fontId="57" fillId="2" borderId="58" xfId="0" applyFont="1" applyFill="1" applyBorder="1" applyAlignment="1">
      <alignment horizontal="center" vertical="center" wrapText="1"/>
    </xf>
    <xf numFmtId="0" fontId="57" fillId="2" borderId="58" xfId="0" applyFont="1" applyFill="1" applyBorder="1" applyAlignment="1">
      <alignment horizontal="center" vertical="center"/>
    </xf>
    <xf numFmtId="43" fontId="57" fillId="0" borderId="58" xfId="12" applyFont="1" applyBorder="1" applyAlignment="1">
      <alignment horizontal="center" vertical="center"/>
    </xf>
    <xf numFmtId="0" fontId="77" fillId="0" borderId="57" xfId="0" applyFont="1" applyBorder="1" applyAlignment="1">
      <alignment horizontal="justify" vertical="center"/>
    </xf>
    <xf numFmtId="43" fontId="66" fillId="0" borderId="58" xfId="12" applyFont="1" applyBorder="1" applyAlignment="1" applyProtection="1">
      <alignment horizontal="center" vertical="center" wrapText="1"/>
      <protection locked="0"/>
    </xf>
    <xf numFmtId="0" fontId="66" fillId="2" borderId="58" xfId="0" applyFont="1" applyFill="1" applyBorder="1" applyAlignment="1">
      <alignment horizontal="center" vertical="center" wrapText="1"/>
    </xf>
    <xf numFmtId="0" fontId="66" fillId="2" borderId="58" xfId="0" applyFont="1" applyFill="1" applyBorder="1" applyAlignment="1">
      <alignment horizontal="center" vertical="center"/>
    </xf>
    <xf numFmtId="0" fontId="57" fillId="0" borderId="58" xfId="0" applyFont="1" applyBorder="1" applyAlignment="1">
      <alignment horizontal="justify" vertical="center" wrapText="1"/>
    </xf>
    <xf numFmtId="0" fontId="57" fillId="0" borderId="58" xfId="0" applyFont="1" applyBorder="1" applyAlignment="1">
      <alignment horizontal="justify" vertical="center"/>
    </xf>
    <xf numFmtId="43" fontId="66" fillId="0" borderId="58" xfId="12" applyFont="1" applyBorder="1" applyAlignment="1" applyProtection="1">
      <alignment horizontal="center" vertical="center"/>
      <protection locked="0"/>
    </xf>
    <xf numFmtId="0" fontId="66" fillId="0" borderId="58" xfId="0" applyFont="1" applyBorder="1" applyAlignment="1">
      <alignment horizontal="center" vertical="center" wrapText="1"/>
    </xf>
    <xf numFmtId="0" fontId="66" fillId="0" borderId="58" xfId="0" applyFont="1" applyBorder="1" applyAlignment="1">
      <alignment horizontal="center" vertical="center"/>
    </xf>
    <xf numFmtId="0" fontId="58" fillId="0" borderId="13" xfId="0" applyFont="1" applyBorder="1" applyAlignment="1">
      <alignment horizontal="left" vertical="center"/>
    </xf>
    <xf numFmtId="0" fontId="57" fillId="0" borderId="9" xfId="0" applyFont="1" applyBorder="1" applyAlignment="1">
      <alignment horizontal="center" vertical="center" wrapText="1"/>
    </xf>
    <xf numFmtId="0" fontId="57" fillId="0" borderId="9" xfId="0" applyFont="1" applyBorder="1" applyAlignment="1">
      <alignment horizontal="center" vertical="center"/>
    </xf>
    <xf numFmtId="43" fontId="57" fillId="0" borderId="9" xfId="12" applyFont="1" applyBorder="1" applyAlignment="1">
      <alignment horizontal="center" vertical="center" wrapText="1"/>
    </xf>
    <xf numFmtId="43" fontId="57" fillId="0" borderId="9" xfId="12" applyFont="1" applyBorder="1" applyAlignment="1">
      <alignment horizontal="center" vertical="center"/>
    </xf>
    <xf numFmtId="0" fontId="78" fillId="0" borderId="0" xfId="0" applyFont="1" applyAlignment="1">
      <alignment horizontal="left" vertical="center"/>
    </xf>
    <xf numFmtId="0" fontId="58" fillId="0" borderId="13" xfId="0" applyFont="1" applyBorder="1" applyAlignment="1">
      <alignment horizontal="left" vertical="center" wrapText="1"/>
    </xf>
    <xf numFmtId="0" fontId="58" fillId="0" borderId="57" xfId="0" applyFont="1" applyBorder="1" applyAlignment="1">
      <alignment horizontal="left" vertical="center" wrapText="1"/>
    </xf>
    <xf numFmtId="0" fontId="3" fillId="0" borderId="61" xfId="0" applyFont="1" applyBorder="1" applyAlignment="1" applyProtection="1">
      <alignment horizontal="center" vertical="center" wrapText="1"/>
      <protection locked="0"/>
    </xf>
    <xf numFmtId="0" fontId="3" fillId="4" borderId="61" xfId="0" applyFont="1" applyFill="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1" fillId="0" borderId="5" xfId="0" applyFont="1" applyBorder="1" applyAlignment="1" applyProtection="1">
      <alignment vertical="center" wrapText="1"/>
      <protection locked="0"/>
    </xf>
    <xf numFmtId="0" fontId="1" fillId="0" borderId="6" xfId="0" applyFont="1" applyBorder="1" applyAlignment="1" applyProtection="1">
      <alignment vertical="center" wrapText="1"/>
      <protection locked="0"/>
    </xf>
    <xf numFmtId="0" fontId="1" fillId="0" borderId="6" xfId="0" applyFont="1" applyBorder="1" applyAlignment="1" applyProtection="1">
      <alignment horizontal="left" vertical="center" wrapText="1"/>
      <protection locked="0"/>
    </xf>
    <xf numFmtId="0" fontId="22" fillId="0" borderId="0" xfId="0" applyFont="1" applyAlignment="1">
      <alignment vertical="center"/>
    </xf>
    <xf numFmtId="0" fontId="80" fillId="0" borderId="0" xfId="0" applyFont="1" applyAlignment="1" applyProtection="1">
      <alignment horizontal="center" vertical="center"/>
      <protection locked="0"/>
    </xf>
    <xf numFmtId="0" fontId="81" fillId="0" borderId="0" xfId="0" applyFont="1" applyAlignment="1" applyProtection="1">
      <alignment horizontal="left" vertical="center"/>
      <protection locked="0"/>
    </xf>
    <xf numFmtId="4" fontId="81" fillId="0" borderId="0" xfId="0" applyNumberFormat="1" applyFont="1" applyAlignment="1" applyProtection="1">
      <alignment horizontal="right" vertical="center" wrapText="1"/>
      <protection locked="0"/>
    </xf>
    <xf numFmtId="4" fontId="81" fillId="0" borderId="0" xfId="0" applyNumberFormat="1" applyFont="1" applyAlignment="1" applyProtection="1">
      <alignment vertical="center"/>
      <protection locked="0"/>
    </xf>
    <xf numFmtId="0" fontId="84" fillId="0" borderId="0" xfId="0" applyFont="1" applyAlignment="1" applyProtection="1">
      <alignment vertical="center"/>
      <protection locked="0"/>
    </xf>
    <xf numFmtId="0" fontId="81" fillId="0" borderId="0" xfId="0" applyFont="1" applyAlignment="1" applyProtection="1">
      <alignment vertical="center"/>
      <protection locked="0"/>
    </xf>
    <xf numFmtId="43" fontId="0" fillId="0" borderId="0" xfId="12" applyFont="1" applyAlignment="1">
      <alignment horizontal="center"/>
    </xf>
    <xf numFmtId="43" fontId="90" fillId="0" borderId="19" xfId="12" applyFont="1" applyBorder="1" applyAlignment="1">
      <alignment horizontal="center" vertical="center"/>
    </xf>
    <xf numFmtId="0" fontId="90" fillId="0" borderId="19" xfId="0" applyFont="1" applyBorder="1" applyAlignment="1">
      <alignment horizontal="justify" vertical="center"/>
    </xf>
    <xf numFmtId="43" fontId="91" fillId="0" borderId="19" xfId="12" applyFont="1" applyBorder="1" applyAlignment="1">
      <alignment horizontal="center" vertical="center"/>
    </xf>
    <xf numFmtId="0" fontId="91" fillId="0" borderId="19" xfId="0" applyFont="1" applyBorder="1" applyAlignment="1">
      <alignment horizontal="justify" vertical="center"/>
    </xf>
    <xf numFmtId="0" fontId="0" fillId="8" borderId="0" xfId="0" applyFill="1"/>
    <xf numFmtId="43" fontId="90" fillId="8" borderId="19" xfId="12" applyFont="1" applyFill="1" applyBorder="1" applyAlignment="1">
      <alignment horizontal="center" vertical="center"/>
    </xf>
    <xf numFmtId="0" fontId="90" fillId="8" borderId="19" xfId="0" applyFont="1" applyFill="1" applyBorder="1" applyAlignment="1">
      <alignment horizontal="justify" vertical="center"/>
    </xf>
    <xf numFmtId="43" fontId="92" fillId="0" borderId="19" xfId="12" applyFont="1" applyBorder="1" applyAlignment="1">
      <alignment horizontal="center" vertical="center"/>
    </xf>
    <xf numFmtId="43" fontId="91" fillId="0" borderId="19" xfId="12" applyFont="1" applyFill="1" applyBorder="1" applyAlignment="1">
      <alignment horizontal="center" vertical="center"/>
    </xf>
    <xf numFmtId="43" fontId="93" fillId="0" borderId="19" xfId="12" applyFont="1" applyFill="1" applyBorder="1" applyAlignment="1">
      <alignment horizontal="center" vertical="center"/>
    </xf>
    <xf numFmtId="43" fontId="93" fillId="0" borderId="19" xfId="12" applyFont="1" applyBorder="1" applyAlignment="1">
      <alignment horizontal="center" vertical="center"/>
    </xf>
    <xf numFmtId="0" fontId="94" fillId="0" borderId="19" xfId="0" applyFont="1" applyBorder="1" applyAlignment="1">
      <alignment horizontal="justify" vertical="center"/>
    </xf>
    <xf numFmtId="43" fontId="91" fillId="8" borderId="19" xfId="12" applyFont="1" applyFill="1" applyBorder="1" applyAlignment="1">
      <alignment horizontal="center" vertical="center"/>
    </xf>
    <xf numFmtId="43" fontId="90" fillId="0" borderId="6" xfId="12" applyFont="1" applyBorder="1" applyAlignment="1">
      <alignment horizontal="center" vertical="center"/>
    </xf>
    <xf numFmtId="43" fontId="90" fillId="0" borderId="3" xfId="12" applyFont="1" applyBorder="1" applyAlignment="1">
      <alignment horizontal="center" vertical="center"/>
    </xf>
    <xf numFmtId="43" fontId="15" fillId="0" borderId="0" xfId="0" applyNumberFormat="1" applyFont="1" applyAlignment="1">
      <alignment wrapText="1"/>
    </xf>
    <xf numFmtId="0" fontId="7" fillId="0" borderId="0" xfId="0" applyFont="1" applyProtection="1">
      <protection locked="0"/>
    </xf>
    <xf numFmtId="43" fontId="15" fillId="0" borderId="6" xfId="0" applyNumberFormat="1" applyFont="1" applyBorder="1" applyAlignment="1">
      <alignment wrapText="1"/>
    </xf>
    <xf numFmtId="43" fontId="3" fillId="0" borderId="0" xfId="0" applyNumberFormat="1" applyFont="1" applyAlignment="1">
      <alignment wrapText="1"/>
    </xf>
    <xf numFmtId="43" fontId="3" fillId="0" borderId="6" xfId="0" applyNumberFormat="1" applyFont="1" applyBorder="1" applyAlignment="1">
      <alignment wrapText="1"/>
    </xf>
    <xf numFmtId="0" fontId="7" fillId="0" borderId="0" xfId="0" applyFont="1" applyAlignment="1" applyProtection="1">
      <alignment horizontal="left" wrapText="1"/>
      <protection locked="0"/>
    </xf>
    <xf numFmtId="43" fontId="3" fillId="0" borderId="0" xfId="0" applyNumberFormat="1" applyFont="1" applyAlignment="1">
      <alignment vertical="center" wrapText="1"/>
    </xf>
    <xf numFmtId="43" fontId="3" fillId="0" borderId="6" xfId="0" applyNumberFormat="1" applyFont="1" applyBorder="1" applyAlignment="1">
      <alignment vertical="center" wrapText="1"/>
    </xf>
    <xf numFmtId="43" fontId="15" fillId="0" borderId="0" xfId="0" applyNumberFormat="1" applyFont="1"/>
    <xf numFmtId="43" fontId="15" fillId="0" borderId="6" xfId="0" applyNumberFormat="1" applyFont="1" applyBorder="1"/>
    <xf numFmtId="0" fontId="96" fillId="0" borderId="0" xfId="0" applyFont="1" applyAlignment="1" applyProtection="1">
      <alignment vertical="center" wrapText="1"/>
      <protection locked="0"/>
    </xf>
    <xf numFmtId="0" fontId="96" fillId="0" borderId="5" xfId="0" applyFont="1" applyBorder="1" applyAlignment="1" applyProtection="1">
      <alignment vertical="center" wrapText="1"/>
      <protection locked="0"/>
    </xf>
    <xf numFmtId="0" fontId="21" fillId="0" borderId="5" xfId="0" applyFont="1" applyBorder="1" applyAlignment="1" applyProtection="1">
      <alignment horizontal="left" vertical="top"/>
      <protection locked="0"/>
    </xf>
    <xf numFmtId="0" fontId="21" fillId="0" borderId="0" xfId="0" applyFont="1" applyAlignment="1" applyProtection="1">
      <alignment horizontal="left" vertical="top"/>
      <protection locked="0"/>
    </xf>
    <xf numFmtId="43" fontId="6" fillId="0" borderId="0" xfId="12" applyFont="1" applyFill="1" applyBorder="1" applyAlignment="1" applyProtection="1">
      <alignment horizontal="right" vertical="top"/>
    </xf>
    <xf numFmtId="43" fontId="6" fillId="0" borderId="6" xfId="12" applyFont="1" applyFill="1" applyBorder="1" applyAlignment="1" applyProtection="1">
      <alignment horizontal="right" vertical="top"/>
    </xf>
    <xf numFmtId="0" fontId="7" fillId="0" borderId="5"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43" fontId="7" fillId="0" borderId="0" xfId="12" applyFont="1" applyFill="1" applyBorder="1" applyAlignment="1" applyProtection="1">
      <alignment horizontal="right" vertical="top"/>
    </xf>
    <xf numFmtId="43" fontId="7" fillId="0" borderId="6" xfId="12" applyFont="1" applyFill="1" applyBorder="1" applyAlignment="1" applyProtection="1">
      <alignment horizontal="right" vertical="top"/>
    </xf>
    <xf numFmtId="0" fontId="21" fillId="3" borderId="40" xfId="0" applyFont="1" applyFill="1" applyBorder="1" applyAlignment="1" applyProtection="1">
      <alignment horizontal="center" vertical="center"/>
      <protection locked="0"/>
    </xf>
    <xf numFmtId="0" fontId="25" fillId="0" borderId="5" xfId="0" applyFont="1" applyBorder="1" applyAlignment="1">
      <alignment horizontal="left" vertical="center"/>
    </xf>
    <xf numFmtId="4" fontId="6" fillId="2" borderId="18" xfId="0" applyNumberFormat="1" applyFont="1" applyFill="1" applyBorder="1" applyAlignment="1">
      <alignment horizontal="right" vertical="center" wrapText="1"/>
    </xf>
    <xf numFmtId="0" fontId="6" fillId="2" borderId="61" xfId="0" applyFont="1" applyFill="1" applyBorder="1" applyAlignment="1" applyProtection="1">
      <alignment horizontal="center" vertical="top"/>
      <protection locked="0"/>
    </xf>
    <xf numFmtId="0" fontId="21" fillId="3" borderId="55" xfId="0" applyFont="1" applyFill="1" applyBorder="1" applyAlignment="1" applyProtection="1">
      <alignment vertical="center"/>
      <protection locked="0"/>
    </xf>
    <xf numFmtId="0" fontId="21" fillId="3" borderId="20" xfId="0" applyFont="1" applyFill="1" applyBorder="1" applyAlignment="1" applyProtection="1">
      <alignment vertical="center"/>
      <protection locked="0"/>
    </xf>
    <xf numFmtId="0" fontId="3" fillId="4" borderId="63" xfId="0"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64" xfId="0" applyFont="1" applyBorder="1" applyAlignment="1" applyProtection="1">
      <alignment horizontal="center" vertical="center" wrapText="1"/>
      <protection locked="0"/>
    </xf>
    <xf numFmtId="0" fontId="3" fillId="0" borderId="30" xfId="0" applyFont="1" applyBorder="1" applyAlignment="1" applyProtection="1">
      <alignment horizontal="center" vertical="center" wrapText="1"/>
      <protection locked="0"/>
    </xf>
    <xf numFmtId="49" fontId="3" fillId="0" borderId="27" xfId="0" applyNumberFormat="1" applyFont="1" applyBorder="1" applyAlignment="1" applyProtection="1">
      <alignment horizontal="center" vertical="center" wrapText="1"/>
      <protection locked="0"/>
    </xf>
    <xf numFmtId="0" fontId="3" fillId="0" borderId="47" xfId="0" applyFont="1" applyBorder="1" applyAlignment="1" applyProtection="1">
      <alignment horizontal="left" vertical="center" wrapText="1"/>
      <protection locked="0"/>
    </xf>
    <xf numFmtId="0" fontId="3" fillId="0" borderId="17" xfId="0" applyFont="1" applyBorder="1" applyAlignment="1" applyProtection="1">
      <alignment horizontal="center" vertical="center" wrapText="1"/>
      <protection locked="0"/>
    </xf>
    <xf numFmtId="4" fontId="11" fillId="0" borderId="17" xfId="0" applyNumberFormat="1"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33" fillId="0" borderId="20" xfId="0" applyFont="1" applyBorder="1" applyAlignment="1" applyProtection="1">
      <alignment horizontal="center" vertical="center"/>
      <protection locked="0"/>
    </xf>
    <xf numFmtId="0" fontId="75" fillId="6" borderId="13" xfId="0" applyFont="1" applyFill="1" applyBorder="1" applyAlignment="1">
      <alignment horizontal="justify" vertical="center" wrapText="1"/>
    </xf>
    <xf numFmtId="0" fontId="75" fillId="0" borderId="13" xfId="0" applyFont="1" applyBorder="1" applyAlignment="1">
      <alignment horizontal="justify" vertical="center" wrapText="1"/>
    </xf>
    <xf numFmtId="0" fontId="33" fillId="0" borderId="15" xfId="0" applyFont="1" applyBorder="1" applyAlignment="1" applyProtection="1">
      <alignment horizontal="center" vertical="center"/>
      <protection locked="0"/>
    </xf>
    <xf numFmtId="0" fontId="33" fillId="0" borderId="22" xfId="0" applyFont="1" applyBorder="1" applyAlignment="1" applyProtection="1">
      <alignment horizontal="center" vertical="center"/>
      <protection locked="0"/>
    </xf>
    <xf numFmtId="0" fontId="32" fillId="0" borderId="0" xfId="0" applyFont="1" applyAlignment="1" applyProtection="1">
      <alignment horizontal="left"/>
      <protection locked="0"/>
    </xf>
    <xf numFmtId="0" fontId="25" fillId="0" borderId="7" xfId="0" applyFont="1" applyBorder="1" applyAlignment="1">
      <alignment horizontal="left" vertical="center"/>
    </xf>
    <xf numFmtId="0" fontId="33" fillId="0" borderId="25" xfId="0" applyFont="1" applyBorder="1" applyAlignment="1" applyProtection="1">
      <alignment horizontal="center" vertical="center"/>
      <protection locked="0"/>
    </xf>
    <xf numFmtId="0" fontId="97" fillId="0" borderId="0" xfId="14" applyFont="1" applyAlignment="1" applyProtection="1">
      <alignment horizontal="center" vertical="center"/>
      <protection locked="0"/>
    </xf>
    <xf numFmtId="4" fontId="33" fillId="0" borderId="17" xfId="0" applyNumberFormat="1" applyFont="1" applyBorder="1" applyAlignment="1">
      <alignment horizontal="right" vertical="center" wrapText="1"/>
    </xf>
    <xf numFmtId="4" fontId="33" fillId="0" borderId="14" xfId="6" applyNumberFormat="1" applyFont="1" applyBorder="1" applyAlignment="1" applyProtection="1">
      <alignment horizontal="right" vertical="center" wrapText="1"/>
    </xf>
    <xf numFmtId="4" fontId="33" fillId="0" borderId="6" xfId="6" applyNumberFormat="1" applyFont="1" applyBorder="1" applyAlignment="1" applyProtection="1">
      <alignment horizontal="right" vertical="center" wrapText="1"/>
    </xf>
    <xf numFmtId="0" fontId="98" fillId="0" borderId="0" xfId="0" applyFont="1" applyProtection="1">
      <protection locked="0"/>
    </xf>
    <xf numFmtId="0" fontId="90" fillId="0" borderId="0" xfId="0" applyFont="1" applyAlignment="1">
      <alignment horizontal="center" vertical="center"/>
    </xf>
    <xf numFmtId="0" fontId="99" fillId="0" borderId="0" xfId="0" applyFont="1"/>
    <xf numFmtId="0" fontId="57" fillId="6" borderId="0" xfId="0" applyFont="1" applyFill="1" applyAlignment="1">
      <alignment horizontal="center" vertical="center"/>
    </xf>
    <xf numFmtId="0" fontId="57" fillId="6" borderId="8" xfId="0" applyFont="1" applyFill="1" applyBorder="1" applyAlignment="1">
      <alignment vertical="center" wrapText="1"/>
    </xf>
    <xf numFmtId="0" fontId="57" fillId="6" borderId="9" xfId="0" applyFont="1" applyFill="1" applyBorder="1" applyAlignment="1">
      <alignment vertical="center" wrapText="1"/>
    </xf>
    <xf numFmtId="0" fontId="57" fillId="6" borderId="13" xfId="0" applyFont="1" applyFill="1" applyBorder="1" applyAlignment="1">
      <alignment horizontal="center" vertical="center" wrapText="1"/>
    </xf>
    <xf numFmtId="0" fontId="66" fillId="6" borderId="9" xfId="0" applyFont="1" applyFill="1" applyBorder="1" applyAlignment="1">
      <alignment horizontal="center" vertical="center" wrapText="1"/>
    </xf>
    <xf numFmtId="0" fontId="66" fillId="6" borderId="11" xfId="0" applyFont="1" applyFill="1" applyBorder="1" applyAlignment="1">
      <alignment horizontal="center" vertical="center"/>
    </xf>
    <xf numFmtId="0" fontId="66" fillId="6" borderId="61" xfId="0" applyFont="1" applyFill="1" applyBorder="1" applyAlignment="1">
      <alignment horizontal="center" vertical="center" wrapText="1"/>
    </xf>
    <xf numFmtId="0" fontId="57" fillId="9" borderId="8" xfId="0" applyFont="1" applyFill="1" applyBorder="1" applyAlignment="1">
      <alignment horizontal="center" vertical="center" wrapText="1"/>
    </xf>
    <xf numFmtId="0" fontId="57" fillId="9" borderId="9" xfId="0" applyFont="1" applyFill="1" applyBorder="1" applyAlignment="1">
      <alignment horizontal="center" vertical="center" wrapText="1"/>
    </xf>
    <xf numFmtId="0" fontId="57" fillId="10" borderId="7" xfId="0" applyFont="1" applyFill="1" applyBorder="1" applyAlignment="1">
      <alignment horizontal="center" vertical="center" wrapText="1"/>
    </xf>
    <xf numFmtId="0" fontId="66" fillId="10" borderId="8" xfId="0" applyFont="1" applyFill="1" applyBorder="1" applyAlignment="1">
      <alignment horizontal="center" vertical="center" wrapText="1"/>
    </xf>
    <xf numFmtId="0" fontId="66" fillId="10" borderId="8" xfId="0" applyFont="1" applyFill="1" applyBorder="1" applyAlignment="1">
      <alignment vertical="center" wrapText="1"/>
    </xf>
    <xf numFmtId="0" fontId="66" fillId="10" borderId="9" xfId="0" applyFont="1" applyFill="1" applyBorder="1" applyAlignment="1">
      <alignment horizontal="center" vertical="center" wrapText="1"/>
    </xf>
    <xf numFmtId="0" fontId="57" fillId="0" borderId="7" xfId="0" applyFont="1" applyBorder="1" applyAlignment="1">
      <alignment horizontal="center" vertical="center" wrapText="1"/>
    </xf>
    <xf numFmtId="0" fontId="101" fillId="0" borderId="8" xfId="0" applyFont="1" applyBorder="1" applyAlignment="1">
      <alignment horizontal="center" vertical="center"/>
    </xf>
    <xf numFmtId="0" fontId="101" fillId="0" borderId="8" xfId="0" applyFont="1" applyBorder="1" applyAlignment="1">
      <alignment vertical="center" wrapText="1"/>
    </xf>
    <xf numFmtId="0" fontId="66" fillId="0" borderId="4" xfId="0" applyFont="1" applyBorder="1" applyAlignment="1">
      <alignment horizontal="center" vertical="center" wrapText="1"/>
    </xf>
    <xf numFmtId="0" fontId="102" fillId="0" borderId="6" xfId="0" applyFont="1" applyBorder="1" applyAlignment="1">
      <alignment horizontal="center" vertical="center" wrapText="1"/>
    </xf>
    <xf numFmtId="0" fontId="66" fillId="0" borderId="6" xfId="0" applyFont="1" applyBorder="1" applyAlignment="1">
      <alignment horizontal="center" vertical="center" wrapText="1"/>
    </xf>
    <xf numFmtId="0" fontId="66" fillId="0" borderId="6" xfId="0" applyFont="1" applyBorder="1" applyAlignment="1">
      <alignment vertical="center" wrapText="1"/>
    </xf>
    <xf numFmtId="0" fontId="66" fillId="0" borderId="0" xfId="0" applyFont="1" applyAlignment="1">
      <alignment horizontal="center" vertical="center" wrapText="1"/>
    </xf>
    <xf numFmtId="0" fontId="66" fillId="0" borderId="49" xfId="0" applyFont="1" applyBorder="1" applyAlignment="1">
      <alignment horizontal="center" vertical="center" wrapText="1"/>
    </xf>
    <xf numFmtId="0" fontId="102" fillId="0" borderId="3" xfId="0" applyFont="1" applyBorder="1" applyAlignment="1">
      <alignment horizontal="center" vertical="center" wrapText="1"/>
    </xf>
    <xf numFmtId="0" fontId="66" fillId="0" borderId="3" xfId="0" applyFont="1" applyBorder="1" applyAlignment="1">
      <alignment horizontal="center" vertical="center" wrapText="1"/>
    </xf>
    <xf numFmtId="0" fontId="66" fillId="0" borderId="3" xfId="0" applyFont="1" applyBorder="1" applyAlignment="1">
      <alignment vertical="center" wrapText="1"/>
    </xf>
    <xf numFmtId="0" fontId="66" fillId="0" borderId="2" xfId="0" applyFont="1" applyBorder="1" applyAlignment="1">
      <alignment horizontal="center" vertical="center" wrapText="1"/>
    </xf>
    <xf numFmtId="0" fontId="66" fillId="0" borderId="12" xfId="0" applyFont="1" applyBorder="1" applyAlignment="1">
      <alignment horizontal="center" vertical="center" wrapText="1"/>
    </xf>
    <xf numFmtId="0" fontId="66" fillId="10" borderId="11" xfId="0" applyFont="1" applyFill="1" applyBorder="1" applyAlignment="1">
      <alignment horizontal="center" vertical="center" wrapText="1"/>
    </xf>
    <xf numFmtId="0" fontId="66" fillId="10" borderId="11" xfId="0" applyFont="1" applyFill="1" applyBorder="1" applyAlignment="1">
      <alignment vertical="center" wrapText="1"/>
    </xf>
    <xf numFmtId="0" fontId="66" fillId="10" borderId="12" xfId="0" applyFont="1" applyFill="1" applyBorder="1" applyAlignment="1">
      <alignment horizontal="center" vertical="center" wrapText="1"/>
    </xf>
    <xf numFmtId="0" fontId="101" fillId="10" borderId="7" xfId="0" applyFont="1" applyFill="1" applyBorder="1" applyAlignment="1">
      <alignment horizontal="right" vertical="center" wrapText="1"/>
    </xf>
    <xf numFmtId="0" fontId="101" fillId="10" borderId="8" xfId="0" applyFont="1" applyFill="1" applyBorder="1" applyAlignment="1">
      <alignment horizontal="center" vertical="center"/>
    </xf>
    <xf numFmtId="0" fontId="101" fillId="10" borderId="8" xfId="0" applyFont="1" applyFill="1" applyBorder="1" applyAlignment="1">
      <alignment vertical="center" wrapText="1"/>
    </xf>
    <xf numFmtId="0" fontId="101" fillId="0" borderId="8" xfId="0" applyFont="1" applyBorder="1" applyAlignment="1">
      <alignment horizontal="left" vertical="center" wrapText="1" indent="2"/>
    </xf>
    <xf numFmtId="0" fontId="101" fillId="0" borderId="7" xfId="0" applyFont="1" applyBorder="1" applyAlignment="1">
      <alignment horizontal="right" vertical="center" wrapText="1"/>
    </xf>
    <xf numFmtId="0" fontId="66" fillId="10" borderId="49" xfId="0" applyFont="1" applyFill="1" applyBorder="1" applyAlignment="1">
      <alignment horizontal="center" vertical="center" wrapText="1"/>
    </xf>
    <xf numFmtId="0" fontId="66" fillId="10" borderId="3" xfId="0" applyFont="1" applyFill="1" applyBorder="1" applyAlignment="1">
      <alignment horizontal="center" vertical="center" wrapText="1"/>
    </xf>
    <xf numFmtId="0" fontId="66" fillId="10" borderId="61" xfId="0" applyFont="1" applyFill="1" applyBorder="1" applyAlignment="1">
      <alignment horizontal="center" vertical="center" wrapText="1"/>
    </xf>
    <xf numFmtId="0" fontId="102" fillId="0" borderId="12" xfId="0" applyFont="1" applyBorder="1" applyAlignment="1">
      <alignment horizontal="center" vertical="center" wrapText="1"/>
    </xf>
    <xf numFmtId="0" fontId="66" fillId="0" borderId="12" xfId="0" applyFont="1" applyBorder="1" applyAlignment="1">
      <alignment vertical="center" wrapText="1"/>
    </xf>
    <xf numFmtId="0" fontId="66" fillId="0" borderId="11" xfId="0" applyFont="1" applyBorder="1" applyAlignment="1">
      <alignment horizontal="center" vertical="center" wrapText="1"/>
    </xf>
    <xf numFmtId="0" fontId="66" fillId="0" borderId="61" xfId="0" applyFont="1" applyBorder="1" applyAlignment="1">
      <alignment horizontal="center" vertical="center" wrapText="1"/>
    </xf>
    <xf numFmtId="0" fontId="66" fillId="10" borderId="13" xfId="0" applyFont="1" applyFill="1" applyBorder="1" applyAlignment="1">
      <alignment horizontal="center" vertical="center" wrapText="1"/>
    </xf>
    <xf numFmtId="0" fontId="102" fillId="0" borderId="9" xfId="0" applyFont="1" applyBorder="1" applyAlignment="1">
      <alignment horizontal="center" vertical="center" wrapText="1"/>
    </xf>
    <xf numFmtId="0" fontId="66" fillId="0" borderId="9" xfId="0" applyFont="1" applyBorder="1" applyAlignment="1">
      <alignment vertical="center" wrapText="1"/>
    </xf>
    <xf numFmtId="0" fontId="66" fillId="0" borderId="8"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9" xfId="0" applyFont="1" applyBorder="1" applyAlignment="1">
      <alignment horizontal="center" vertical="center" wrapText="1"/>
    </xf>
    <xf numFmtId="0" fontId="103" fillId="0" borderId="0" xfId="0" applyFont="1" applyAlignment="1">
      <alignment vertical="center"/>
    </xf>
    <xf numFmtId="0" fontId="57" fillId="10" borderId="10" xfId="0" applyFont="1" applyFill="1" applyBorder="1" applyAlignment="1">
      <alignment horizontal="center" vertical="center" wrapText="1"/>
    </xf>
    <xf numFmtId="0" fontId="101" fillId="0" borderId="8" xfId="0" applyFont="1" applyBorder="1" applyAlignment="1">
      <alignment horizontal="center" vertical="center" wrapText="1"/>
    </xf>
    <xf numFmtId="0" fontId="104" fillId="0" borderId="9" xfId="0" applyFont="1" applyBorder="1" applyAlignment="1">
      <alignment horizontal="center" vertical="center" wrapText="1"/>
    </xf>
    <xf numFmtId="0" fontId="66" fillId="10" borderId="0" xfId="0" applyFont="1" applyFill="1" applyAlignment="1">
      <alignment horizontal="center" vertical="center" wrapText="1"/>
    </xf>
    <xf numFmtId="0" fontId="66" fillId="10" borderId="4" xfId="0" applyFont="1" applyFill="1" applyBorder="1" applyAlignment="1">
      <alignment horizontal="center" vertical="center" wrapText="1"/>
    </xf>
    <xf numFmtId="0" fontId="66" fillId="10" borderId="2" xfId="0" applyFont="1" applyFill="1" applyBorder="1" applyAlignment="1">
      <alignment horizontal="center" vertical="center" wrapText="1"/>
    </xf>
    <xf numFmtId="0" fontId="102" fillId="10" borderId="8" xfId="0" applyFont="1" applyFill="1" applyBorder="1" applyAlignment="1">
      <alignment vertical="center" wrapText="1"/>
    </xf>
    <xf numFmtId="0" fontId="102" fillId="10" borderId="11" xfId="0" applyFont="1" applyFill="1" applyBorder="1" applyAlignment="1">
      <alignment vertical="center" wrapText="1"/>
    </xf>
    <xf numFmtId="0" fontId="66" fillId="0" borderId="5" xfId="0" applyFont="1" applyBorder="1" applyAlignment="1">
      <alignment horizontal="justify" vertical="center"/>
    </xf>
    <xf numFmtId="0" fontId="66" fillId="0" borderId="0" xfId="0" applyFont="1" applyAlignment="1">
      <alignment horizontal="justify" vertical="center"/>
    </xf>
    <xf numFmtId="0" fontId="66" fillId="0" borderId="6" xfId="0" applyFont="1" applyBorder="1" applyAlignment="1">
      <alignment horizontal="justify" vertical="center"/>
    </xf>
    <xf numFmtId="0" fontId="57" fillId="9" borderId="11" xfId="0" applyFont="1" applyFill="1" applyBorder="1" applyAlignment="1">
      <alignment horizontal="center" vertical="center" wrapText="1"/>
    </xf>
    <xf numFmtId="0" fontId="57" fillId="9" borderId="12" xfId="0" applyFont="1" applyFill="1" applyBorder="1" applyAlignment="1">
      <alignment horizontal="center" vertical="center" wrapText="1"/>
    </xf>
    <xf numFmtId="0" fontId="104" fillId="0" borderId="6" xfId="0" applyFont="1" applyBorder="1" applyAlignment="1">
      <alignment horizontal="center" vertical="center" wrapText="1"/>
    </xf>
    <xf numFmtId="0" fontId="104" fillId="0" borderId="3" xfId="0" applyFont="1" applyBorder="1" applyAlignment="1">
      <alignment horizontal="center" vertical="center" wrapText="1"/>
    </xf>
    <xf numFmtId="0" fontId="104" fillId="0" borderId="12" xfId="0" applyFont="1" applyBorder="1" applyAlignment="1">
      <alignment horizontal="center" vertical="center" wrapText="1"/>
    </xf>
    <xf numFmtId="0" fontId="57" fillId="9" borderId="9" xfId="0" applyFont="1" applyFill="1" applyBorder="1" applyAlignment="1">
      <alignment vertical="center" wrapText="1"/>
    </xf>
    <xf numFmtId="0" fontId="101" fillId="0" borderId="9" xfId="0" applyFont="1" applyBorder="1" applyAlignment="1">
      <alignment vertical="center" wrapText="1"/>
    </xf>
    <xf numFmtId="0" fontId="105" fillId="0" borderId="0" xfId="0" applyFont="1" applyAlignment="1">
      <alignment horizontal="right" vertical="center"/>
    </xf>
    <xf numFmtId="0" fontId="12" fillId="0" borderId="4" xfId="0" applyFont="1" applyBorder="1" applyAlignment="1">
      <alignment horizontal="justify" vertical="top" wrapText="1"/>
    </xf>
    <xf numFmtId="43" fontId="12" fillId="0" borderId="6" xfId="0" applyNumberFormat="1" applyFont="1" applyBorder="1" applyAlignment="1" applyProtection="1">
      <alignment horizontal="right" vertical="top" wrapText="1"/>
      <protection locked="0"/>
    </xf>
    <xf numFmtId="0" fontId="25" fillId="0" borderId="0" xfId="0" applyFont="1" applyAlignment="1">
      <alignment horizontal="justify" vertical="top" wrapText="1"/>
    </xf>
    <xf numFmtId="0" fontId="12" fillId="0" borderId="6" xfId="0" applyFont="1" applyBorder="1" applyAlignment="1">
      <alignment horizontal="justify" vertical="top" wrapText="1"/>
    </xf>
    <xf numFmtId="0" fontId="0" fillId="0" borderId="0" xfId="0" applyAlignment="1">
      <alignment vertical="top"/>
    </xf>
    <xf numFmtId="0" fontId="25" fillId="0" borderId="6" xfId="0" applyFont="1" applyBorder="1" applyAlignment="1">
      <alignment horizontal="justify" vertical="top" wrapText="1"/>
    </xf>
    <xf numFmtId="165" fontId="25" fillId="0" borderId="6" xfId="0" applyNumberFormat="1" applyFont="1" applyBorder="1" applyAlignment="1" applyProtection="1">
      <alignment horizontal="right" vertical="center" wrapText="1"/>
      <protection locked="0"/>
    </xf>
    <xf numFmtId="4" fontId="3" fillId="0" borderId="13" xfId="0" applyNumberFormat="1" applyFont="1" applyBorder="1" applyAlignment="1">
      <alignment horizontal="right" vertical="center" wrapText="1"/>
    </xf>
    <xf numFmtId="43" fontId="5" fillId="0" borderId="19" xfId="9" applyFont="1" applyFill="1" applyBorder="1" applyAlignment="1">
      <alignment vertical="center"/>
    </xf>
    <xf numFmtId="0" fontId="34" fillId="0" borderId="33" xfId="1" applyFont="1" applyBorder="1" applyAlignment="1">
      <alignment horizontal="center" vertical="center"/>
    </xf>
    <xf numFmtId="43" fontId="5" fillId="0" borderId="19" xfId="9" applyFont="1" applyFill="1" applyBorder="1" applyAlignment="1">
      <alignment horizontal="center" vertical="center"/>
    </xf>
    <xf numFmtId="0" fontId="33" fillId="0" borderId="14" xfId="0" applyFont="1" applyBorder="1" applyAlignment="1">
      <alignment horizontal="center" vertical="center" wrapText="1"/>
    </xf>
    <xf numFmtId="43" fontId="0" fillId="0" borderId="0" xfId="0" applyNumberFormat="1"/>
    <xf numFmtId="43" fontId="16" fillId="0" borderId="0" xfId="0" applyNumberFormat="1" applyFont="1" applyAlignment="1" applyProtection="1">
      <alignment horizontal="left" vertical="top"/>
      <protection locked="0"/>
    </xf>
    <xf numFmtId="43" fontId="22" fillId="0" borderId="0" xfId="12" applyFont="1" applyAlignment="1">
      <alignment vertical="center"/>
    </xf>
    <xf numFmtId="43" fontId="5" fillId="0" borderId="0" xfId="0" applyNumberFormat="1" applyFont="1" applyAlignment="1">
      <alignment vertical="center"/>
    </xf>
    <xf numFmtId="43" fontId="5" fillId="0" borderId="0" xfId="12" applyFont="1" applyAlignment="1" applyProtection="1">
      <alignment vertical="center"/>
      <protection locked="0"/>
    </xf>
    <xf numFmtId="43" fontId="3" fillId="0" borderId="2" xfId="12" applyFont="1" applyBorder="1" applyAlignment="1" applyProtection="1">
      <alignment vertical="center" wrapText="1"/>
      <protection locked="0"/>
    </xf>
    <xf numFmtId="43" fontId="12" fillId="0" borderId="2" xfId="12" applyFont="1" applyBorder="1" applyAlignment="1" applyProtection="1">
      <alignment horizontal="justify" vertical="center" wrapText="1"/>
      <protection locked="0"/>
    </xf>
    <xf numFmtId="43" fontId="23" fillId="0" borderId="0" xfId="0" applyNumberFormat="1" applyFont="1" applyAlignment="1" applyProtection="1">
      <alignment horizontal="justify" vertical="center" wrapText="1"/>
      <protection locked="0"/>
    </xf>
    <xf numFmtId="4" fontId="5" fillId="0" borderId="0" xfId="0" applyNumberFormat="1" applyFont="1" applyAlignment="1" applyProtection="1">
      <alignment horizontal="center" vertical="center"/>
      <protection locked="0"/>
    </xf>
    <xf numFmtId="166" fontId="0" fillId="0" borderId="0" xfId="0" applyNumberFormat="1"/>
    <xf numFmtId="4" fontId="1" fillId="0" borderId="4" xfId="0" applyNumberFormat="1" applyFont="1" applyBorder="1" applyAlignment="1" applyProtection="1">
      <alignment horizontal="right" vertical="center" wrapText="1"/>
      <protection locked="0"/>
    </xf>
    <xf numFmtId="167" fontId="5" fillId="0" borderId="0" xfId="12" applyNumberFormat="1" applyFont="1" applyAlignment="1">
      <alignment vertical="center"/>
    </xf>
    <xf numFmtId="41" fontId="0" fillId="0" borderId="0" xfId="0" applyNumberFormat="1"/>
    <xf numFmtId="4" fontId="5" fillId="0" borderId="0" xfId="0" applyNumberFormat="1" applyFont="1" applyAlignment="1" applyProtection="1">
      <alignment vertical="center"/>
      <protection locked="0"/>
    </xf>
    <xf numFmtId="43" fontId="12" fillId="0" borderId="0" xfId="12" applyFont="1" applyProtection="1">
      <protection locked="0"/>
    </xf>
    <xf numFmtId="43" fontId="0" fillId="0" borderId="0" xfId="12" applyFont="1"/>
    <xf numFmtId="43" fontId="106" fillId="0" borderId="0" xfId="12" applyFont="1"/>
    <xf numFmtId="4" fontId="5" fillId="0" borderId="0" xfId="0" applyNumberFormat="1" applyFont="1" applyProtection="1">
      <protection locked="0"/>
    </xf>
    <xf numFmtId="0" fontId="33" fillId="0" borderId="56" xfId="0" applyFont="1" applyBorder="1" applyAlignment="1">
      <alignment horizontal="center" vertical="center" wrapText="1"/>
    </xf>
    <xf numFmtId="0" fontId="37" fillId="0" borderId="56" xfId="0" applyFont="1" applyBorder="1" applyAlignment="1">
      <alignment horizontal="center" vertical="center" wrapText="1"/>
    </xf>
    <xf numFmtId="0" fontId="6" fillId="0" borderId="0" xfId="0" applyFont="1"/>
    <xf numFmtId="43" fontId="5" fillId="0" borderId="0" xfId="12" applyFont="1" applyAlignment="1">
      <alignment horizontal="center" vertical="center"/>
    </xf>
    <xf numFmtId="0" fontId="108" fillId="4" borderId="19" xfId="0" applyFont="1" applyFill="1" applyBorder="1" applyAlignment="1">
      <alignment horizontal="left" vertical="center" wrapText="1"/>
    </xf>
    <xf numFmtId="4" fontId="108" fillId="4" borderId="19" xfId="0" applyNumberFormat="1" applyFont="1" applyFill="1" applyBorder="1" applyAlignment="1">
      <alignment horizontal="left" vertical="center" wrapText="1"/>
    </xf>
    <xf numFmtId="168" fontId="108" fillId="4" borderId="19" xfId="12" applyNumberFormat="1" applyFont="1" applyFill="1" applyBorder="1" applyAlignment="1">
      <alignment horizontal="right" vertical="center" indent="1"/>
    </xf>
    <xf numFmtId="4" fontId="109" fillId="4" borderId="19" xfId="0" applyNumberFormat="1" applyFont="1" applyFill="1" applyBorder="1" applyAlignment="1">
      <alignment horizontal="left" vertical="center" wrapText="1"/>
    </xf>
    <xf numFmtId="168" fontId="109" fillId="4" borderId="19" xfId="12" applyNumberFormat="1" applyFont="1" applyFill="1" applyBorder="1" applyAlignment="1">
      <alignment horizontal="right" vertical="center" indent="1"/>
    </xf>
    <xf numFmtId="0" fontId="77" fillId="4" borderId="19" xfId="0" applyFont="1" applyFill="1" applyBorder="1"/>
    <xf numFmtId="43" fontId="108" fillId="4" borderId="19" xfId="12" applyFont="1" applyFill="1" applyBorder="1" applyAlignment="1">
      <alignment horizontal="right" vertical="center" indent="1"/>
    </xf>
    <xf numFmtId="4" fontId="58" fillId="4" borderId="19" xfId="0" applyNumberFormat="1" applyFont="1" applyFill="1" applyBorder="1" applyAlignment="1">
      <alignment horizontal="left" vertical="center" wrapText="1"/>
    </xf>
    <xf numFmtId="4" fontId="77" fillId="4" borderId="19" xfId="0" applyNumberFormat="1" applyFont="1" applyFill="1" applyBorder="1" applyAlignment="1">
      <alignment horizontal="left" vertical="center" wrapText="1"/>
    </xf>
    <xf numFmtId="0" fontId="109" fillId="4" borderId="19" xfId="0" applyFont="1" applyFill="1" applyBorder="1" applyAlignment="1">
      <alignment horizontal="left" vertical="center" wrapText="1"/>
    </xf>
    <xf numFmtId="0" fontId="77" fillId="4" borderId="19" xfId="0" applyFont="1" applyFill="1" applyBorder="1" applyAlignment="1">
      <alignment horizontal="left" vertical="center" wrapText="1"/>
    </xf>
    <xf numFmtId="0" fontId="58" fillId="4" borderId="19" xfId="0" applyFont="1" applyFill="1" applyBorder="1" applyAlignment="1">
      <alignment horizontal="left" vertical="center"/>
    </xf>
    <xf numFmtId="0" fontId="58" fillId="4" borderId="19" xfId="0" applyFont="1" applyFill="1" applyBorder="1" applyAlignment="1">
      <alignment horizontal="left" vertical="center" wrapText="1"/>
    </xf>
    <xf numFmtId="168" fontId="58" fillId="4" borderId="19" xfId="12" applyNumberFormat="1" applyFont="1" applyFill="1" applyBorder="1" applyAlignment="1">
      <alignment horizontal="right" vertical="center" indent="1"/>
    </xf>
    <xf numFmtId="0" fontId="108" fillId="0" borderId="17" xfId="0" applyFont="1" applyBorder="1" applyAlignment="1">
      <alignment horizontal="left" vertical="center" wrapText="1"/>
    </xf>
    <xf numFmtId="168" fontId="110" fillId="4" borderId="19" xfId="12" applyNumberFormat="1" applyFont="1" applyFill="1" applyBorder="1" applyAlignment="1">
      <alignment horizontal="right" vertical="center" indent="1"/>
    </xf>
    <xf numFmtId="43" fontId="5" fillId="0" borderId="0" xfId="12" applyFont="1" applyAlignment="1">
      <alignment vertical="center"/>
    </xf>
    <xf numFmtId="43" fontId="20" fillId="0" borderId="0" xfId="12" applyFont="1" applyAlignment="1">
      <alignment horizontal="left" vertical="center"/>
    </xf>
    <xf numFmtId="43" fontId="5" fillId="0" borderId="0" xfId="12" applyFont="1" applyAlignment="1">
      <alignment horizontal="left" vertical="center"/>
    </xf>
    <xf numFmtId="43" fontId="5" fillId="0" borderId="0" xfId="12" applyFont="1"/>
    <xf numFmtId="43" fontId="1" fillId="0" borderId="0" xfId="12" applyFont="1"/>
    <xf numFmtId="169" fontId="5" fillId="0" borderId="0" xfId="0" applyNumberFormat="1" applyFont="1" applyAlignment="1">
      <alignment vertical="center"/>
    </xf>
    <xf numFmtId="49" fontId="3" fillId="0" borderId="44" xfId="0" applyNumberFormat="1" applyFont="1" applyBorder="1" applyAlignment="1">
      <alignment horizontal="left" vertical="center" wrapText="1"/>
    </xf>
    <xf numFmtId="49" fontId="3" fillId="0" borderId="15" xfId="0" applyNumberFormat="1" applyFont="1" applyBorder="1" applyAlignment="1">
      <alignment horizontal="left" vertical="center" wrapText="1"/>
    </xf>
    <xf numFmtId="49" fontId="3" fillId="0" borderId="15" xfId="0" applyNumberFormat="1" applyFont="1" applyBorder="1" applyAlignment="1">
      <alignment horizontal="center" vertical="center" wrapText="1"/>
    </xf>
    <xf numFmtId="49" fontId="3" fillId="0" borderId="22" xfId="0" applyNumberFormat="1" applyFont="1" applyBorder="1" applyAlignment="1">
      <alignment horizontal="center" vertical="center" wrapText="1"/>
    </xf>
    <xf numFmtId="0" fontId="108" fillId="4" borderId="70" xfId="0" applyFont="1" applyFill="1" applyBorder="1" applyAlignment="1">
      <alignment horizontal="left" vertical="center" wrapText="1"/>
    </xf>
    <xf numFmtId="43" fontId="12" fillId="4" borderId="71" xfId="0" applyNumberFormat="1" applyFont="1" applyFill="1" applyBorder="1" applyAlignment="1">
      <alignment vertical="center"/>
    </xf>
    <xf numFmtId="0" fontId="108" fillId="4" borderId="70" xfId="0" applyFont="1" applyFill="1" applyBorder="1" applyAlignment="1">
      <alignment horizontal="left" vertical="center" wrapText="1" indent="2"/>
    </xf>
    <xf numFmtId="0" fontId="108" fillId="4" borderId="70" xfId="0" applyFont="1" applyFill="1" applyBorder="1" applyAlignment="1">
      <alignment horizontal="left" vertical="center" wrapText="1" indent="4"/>
    </xf>
    <xf numFmtId="0" fontId="109" fillId="4" borderId="70" xfId="0" applyFont="1" applyFill="1" applyBorder="1" applyAlignment="1">
      <alignment vertical="center" wrapText="1"/>
    </xf>
    <xf numFmtId="0" fontId="108" fillId="4" borderId="70" xfId="0" applyFont="1" applyFill="1" applyBorder="1" applyAlignment="1">
      <alignment horizontal="center" vertical="center" wrapText="1"/>
    </xf>
    <xf numFmtId="0" fontId="77" fillId="4" borderId="70" xfId="0" applyFont="1" applyFill="1" applyBorder="1"/>
    <xf numFmtId="0" fontId="77" fillId="4" borderId="70" xfId="0" applyFont="1" applyFill="1" applyBorder="1" applyAlignment="1">
      <alignment vertical="center" wrapText="1"/>
    </xf>
    <xf numFmtId="0" fontId="108" fillId="4" borderId="70" xfId="0" applyFont="1" applyFill="1" applyBorder="1" applyAlignment="1">
      <alignment horizontal="left" vertical="center"/>
    </xf>
    <xf numFmtId="0" fontId="108" fillId="4" borderId="70" xfId="0" applyFont="1" applyFill="1" applyBorder="1" applyAlignment="1">
      <alignment horizontal="center" vertical="center"/>
    </xf>
    <xf numFmtId="0" fontId="109" fillId="4" borderId="70" xfId="0" applyFont="1" applyFill="1" applyBorder="1" applyAlignment="1">
      <alignment horizontal="right" vertical="center"/>
    </xf>
    <xf numFmtId="0" fontId="77" fillId="4" borderId="70" xfId="0" applyFont="1" applyFill="1" applyBorder="1" applyAlignment="1">
      <alignment horizontal="right" vertical="center"/>
    </xf>
    <xf numFmtId="0" fontId="58" fillId="4" borderId="70" xfId="0" applyFont="1" applyFill="1" applyBorder="1" applyAlignment="1">
      <alignment horizontal="left" vertical="center"/>
    </xf>
    <xf numFmtId="0" fontId="58" fillId="4" borderId="70" xfId="0" applyFont="1" applyFill="1" applyBorder="1" applyAlignment="1">
      <alignment horizontal="center" vertical="center"/>
    </xf>
    <xf numFmtId="0" fontId="108" fillId="0" borderId="70" xfId="0" applyFont="1" applyBorder="1" applyAlignment="1">
      <alignment horizontal="left" vertical="center"/>
    </xf>
    <xf numFmtId="0" fontId="108" fillId="0" borderId="70" xfId="0" applyFont="1" applyBorder="1" applyAlignment="1">
      <alignment horizontal="center" vertical="center"/>
    </xf>
    <xf numFmtId="0" fontId="109" fillId="0" borderId="70" xfId="0" applyFont="1" applyBorder="1" applyAlignment="1">
      <alignment horizontal="right" vertical="center"/>
    </xf>
    <xf numFmtId="0" fontId="108" fillId="4" borderId="70" xfId="0" applyFont="1" applyFill="1" applyBorder="1" applyAlignment="1">
      <alignment horizontal="right" vertical="center"/>
    </xf>
    <xf numFmtId="0" fontId="54" fillId="4" borderId="72" xfId="0" applyFont="1" applyFill="1" applyBorder="1"/>
    <xf numFmtId="169" fontId="58" fillId="4" borderId="23" xfId="0" applyNumberFormat="1" applyFont="1" applyFill="1" applyBorder="1"/>
    <xf numFmtId="43" fontId="58" fillId="4" borderId="23" xfId="0" applyNumberFormat="1" applyFont="1" applyFill="1" applyBorder="1"/>
    <xf numFmtId="43" fontId="12" fillId="4" borderId="24" xfId="0" applyNumberFormat="1" applyFont="1" applyFill="1" applyBorder="1" applyAlignment="1">
      <alignment vertical="center"/>
    </xf>
    <xf numFmtId="0" fontId="3" fillId="0" borderId="16" xfId="0" applyFont="1" applyBorder="1" applyAlignment="1">
      <alignment horizontal="justify" vertical="center" wrapText="1"/>
    </xf>
    <xf numFmtId="0" fontId="25" fillId="0" borderId="0" xfId="0" applyFont="1" applyProtection="1">
      <protection locked="0"/>
    </xf>
    <xf numFmtId="3" fontId="5" fillId="0" borderId="0" xfId="0" applyNumberFormat="1" applyFont="1" applyAlignment="1" applyProtection="1">
      <alignment vertical="center"/>
      <protection locked="0"/>
    </xf>
    <xf numFmtId="43" fontId="12" fillId="0" borderId="0" xfId="12" applyFont="1" applyAlignment="1" applyProtection="1">
      <alignment vertical="center"/>
      <protection locked="0"/>
    </xf>
    <xf numFmtId="43" fontId="12" fillId="4" borderId="6" xfId="0" applyNumberFormat="1" applyFont="1" applyFill="1" applyBorder="1" applyAlignment="1">
      <alignment horizontal="right" vertical="center" wrapText="1"/>
    </xf>
    <xf numFmtId="3" fontId="22" fillId="4" borderId="17" xfId="0" applyNumberFormat="1" applyFont="1" applyFill="1" applyBorder="1" applyAlignment="1" applyProtection="1">
      <alignment horizontal="right" vertical="center" wrapText="1"/>
      <protection locked="0"/>
    </xf>
    <xf numFmtId="0" fontId="111" fillId="11" borderId="28" xfId="0" applyFont="1" applyFill="1" applyBorder="1" applyAlignment="1">
      <alignment horizontal="center" vertical="center" wrapText="1"/>
    </xf>
    <xf numFmtId="0" fontId="58" fillId="12" borderId="72" xfId="0" applyFont="1" applyFill="1" applyBorder="1" applyAlignment="1">
      <alignment horizontal="center" vertical="center" textRotation="90" wrapText="1"/>
    </xf>
    <xf numFmtId="0" fontId="58" fillId="12" borderId="72" xfId="0" applyFont="1" applyFill="1" applyBorder="1" applyAlignment="1">
      <alignment horizontal="center" vertical="center" textRotation="90"/>
    </xf>
    <xf numFmtId="0" fontId="58" fillId="12" borderId="23" xfId="0" applyFont="1" applyFill="1" applyBorder="1" applyAlignment="1">
      <alignment horizontal="center" vertical="center" textRotation="90"/>
    </xf>
    <xf numFmtId="0" fontId="58" fillId="13" borderId="23" xfId="0" applyFont="1" applyFill="1" applyBorder="1" applyAlignment="1">
      <alignment horizontal="center" vertical="center" textRotation="90"/>
    </xf>
    <xf numFmtId="0" fontId="58" fillId="13" borderId="24" xfId="0" applyFont="1" applyFill="1" applyBorder="1" applyAlignment="1">
      <alignment horizontal="center" vertical="center" textRotation="90"/>
    </xf>
    <xf numFmtId="0" fontId="58" fillId="14" borderId="72" xfId="0" applyFont="1" applyFill="1" applyBorder="1" applyAlignment="1">
      <alignment horizontal="center" vertical="center" textRotation="90" wrapText="1"/>
    </xf>
    <xf numFmtId="0" fontId="58" fillId="14" borderId="24" xfId="0" applyFont="1" applyFill="1" applyBorder="1" applyAlignment="1">
      <alignment horizontal="center" vertical="center" textRotation="90" wrapText="1"/>
    </xf>
    <xf numFmtId="0" fontId="58" fillId="15" borderId="72" xfId="0" applyFont="1" applyFill="1" applyBorder="1" applyAlignment="1">
      <alignment horizontal="center" vertical="center" textRotation="90" wrapText="1"/>
    </xf>
    <xf numFmtId="0" fontId="58" fillId="15" borderId="23" xfId="0" applyFont="1" applyFill="1" applyBorder="1" applyAlignment="1">
      <alignment horizontal="center" vertical="center" textRotation="90" wrapText="1"/>
    </xf>
    <xf numFmtId="0" fontId="58" fillId="15" borderId="73" xfId="0" applyFont="1" applyFill="1" applyBorder="1" applyAlignment="1">
      <alignment horizontal="center" vertical="center" textRotation="90" wrapText="1"/>
    </xf>
    <xf numFmtId="0" fontId="112" fillId="16" borderId="72" xfId="0" applyFont="1" applyFill="1" applyBorder="1" applyAlignment="1">
      <alignment horizontal="center" vertical="center" textRotation="90" wrapText="1"/>
    </xf>
    <xf numFmtId="0" fontId="112" fillId="16" borderId="74" xfId="0" applyFont="1" applyFill="1" applyBorder="1" applyAlignment="1">
      <alignment horizontal="center" vertical="center" textRotation="90" wrapText="1"/>
    </xf>
    <xf numFmtId="0" fontId="112" fillId="16" borderId="23" xfId="0" applyFont="1" applyFill="1" applyBorder="1" applyAlignment="1">
      <alignment horizontal="center" vertical="center" textRotation="90" wrapText="1"/>
    </xf>
    <xf numFmtId="0" fontId="112" fillId="16" borderId="24" xfId="0" applyFont="1" applyFill="1" applyBorder="1" applyAlignment="1">
      <alignment horizontal="center" vertical="center" textRotation="90" wrapText="1"/>
    </xf>
    <xf numFmtId="1" fontId="0" fillId="17" borderId="17" xfId="0" applyNumberFormat="1" applyFill="1" applyBorder="1" applyAlignment="1">
      <alignment horizontal="center"/>
    </xf>
    <xf numFmtId="0" fontId="0" fillId="17" borderId="17" xfId="0" applyFill="1" applyBorder="1" applyAlignment="1">
      <alignment horizontal="center"/>
    </xf>
    <xf numFmtId="0" fontId="0" fillId="17" borderId="16" xfId="0" applyFill="1" applyBorder="1" applyAlignment="1">
      <alignment horizontal="center"/>
    </xf>
    <xf numFmtId="0" fontId="113" fillId="4" borderId="19" xfId="0" applyFont="1" applyFill="1" applyBorder="1"/>
    <xf numFmtId="0" fontId="113" fillId="4" borderId="19" xfId="0" applyFont="1" applyFill="1" applyBorder="1" applyAlignment="1">
      <alignment horizontal="center"/>
    </xf>
    <xf numFmtId="0" fontId="113" fillId="4" borderId="19" xfId="0" applyFont="1" applyFill="1" applyBorder="1" applyAlignment="1">
      <alignment horizontal="right"/>
    </xf>
    <xf numFmtId="43" fontId="113" fillId="4" borderId="19" xfId="12" applyFont="1" applyFill="1" applyBorder="1"/>
    <xf numFmtId="0" fontId="113" fillId="4" borderId="19" xfId="0" applyFont="1" applyFill="1" applyBorder="1" applyAlignment="1">
      <alignment horizontal="left" vertical="top"/>
    </xf>
    <xf numFmtId="49" fontId="113" fillId="4" borderId="19" xfId="0" applyNumberFormat="1" applyFont="1" applyFill="1" applyBorder="1" applyAlignment="1">
      <alignment horizontal="center"/>
    </xf>
    <xf numFmtId="0" fontId="113" fillId="4" borderId="19" xfId="0" applyFont="1" applyFill="1" applyBorder="1" applyAlignment="1">
      <alignment horizontal="left"/>
    </xf>
    <xf numFmtId="4" fontId="114" fillId="4" borderId="75" xfId="0" applyNumberFormat="1" applyFont="1" applyFill="1" applyBorder="1" applyAlignment="1">
      <alignment horizontal="right" vertical="top"/>
    </xf>
    <xf numFmtId="170" fontId="114" fillId="4" borderId="75" xfId="0" applyNumberFormat="1" applyFont="1" applyFill="1" applyBorder="1" applyAlignment="1">
      <alignment horizontal="right" vertical="top"/>
    </xf>
    <xf numFmtId="43" fontId="113" fillId="4" borderId="19" xfId="12" quotePrefix="1" applyFont="1" applyFill="1" applyBorder="1"/>
    <xf numFmtId="1" fontId="113" fillId="4" borderId="19" xfId="0" applyNumberFormat="1" applyFont="1" applyFill="1" applyBorder="1"/>
    <xf numFmtId="43" fontId="40" fillId="0" borderId="0" xfId="0" applyNumberFormat="1" applyFont="1"/>
    <xf numFmtId="0" fontId="118" fillId="4" borderId="36" xfId="0" applyFont="1" applyFill="1" applyBorder="1" applyAlignment="1">
      <alignment horizontal="right" vertical="center" wrapText="1"/>
    </xf>
    <xf numFmtId="0" fontId="119" fillId="0" borderId="0" xfId="0" applyFont="1"/>
    <xf numFmtId="0" fontId="120" fillId="4" borderId="36" xfId="0" applyFont="1" applyFill="1" applyBorder="1" applyAlignment="1">
      <alignment horizontal="right" vertical="center" wrapText="1"/>
    </xf>
    <xf numFmtId="0" fontId="117" fillId="0" borderId="0" xfId="0" applyFont="1" applyAlignment="1">
      <alignment vertical="center" wrapText="1"/>
    </xf>
    <xf numFmtId="0" fontId="117" fillId="0" borderId="0" xfId="0" applyFont="1" applyAlignment="1">
      <alignment vertical="center"/>
    </xf>
    <xf numFmtId="0" fontId="119" fillId="0" borderId="32" xfId="0" applyFont="1" applyBorder="1"/>
    <xf numFmtId="0" fontId="121" fillId="0" borderId="32" xfId="0" applyFont="1" applyBorder="1"/>
    <xf numFmtId="0" fontId="122" fillId="0" borderId="32" xfId="0" applyFont="1" applyBorder="1"/>
    <xf numFmtId="0" fontId="122" fillId="0" borderId="32" xfId="0" applyFont="1" applyBorder="1" applyAlignment="1">
      <alignment horizontal="center"/>
    </xf>
    <xf numFmtId="4" fontId="122" fillId="0" borderId="32" xfId="0" applyNumberFormat="1" applyFont="1" applyBorder="1" applyAlignment="1">
      <alignment horizontal="center"/>
    </xf>
    <xf numFmtId="10" fontId="121" fillId="0" borderId="32" xfId="0" applyNumberFormat="1" applyFont="1" applyBorder="1"/>
    <xf numFmtId="0" fontId="121" fillId="0" borderId="0" xfId="0" applyFont="1"/>
    <xf numFmtId="0" fontId="116" fillId="4" borderId="19" xfId="0" applyFont="1" applyFill="1" applyBorder="1" applyAlignment="1">
      <alignment horizontal="center" vertical="center" wrapText="1" readingOrder="1"/>
    </xf>
    <xf numFmtId="0" fontId="116" fillId="2" borderId="19" xfId="0" applyFont="1" applyFill="1" applyBorder="1" applyAlignment="1">
      <alignment horizontal="center" vertical="center" wrapText="1" readingOrder="1"/>
    </xf>
    <xf numFmtId="4" fontId="116" fillId="2" borderId="19" xfId="0" applyNumberFormat="1" applyFont="1" applyFill="1" applyBorder="1" applyAlignment="1">
      <alignment horizontal="center" vertical="center" wrapText="1" readingOrder="1"/>
    </xf>
    <xf numFmtId="0" fontId="124" fillId="4" borderId="19" xfId="0" applyFont="1" applyFill="1" applyBorder="1" applyAlignment="1">
      <alignment horizontal="center" vertical="center" wrapText="1" readingOrder="1"/>
    </xf>
    <xf numFmtId="4" fontId="121" fillId="0" borderId="19" xfId="0" applyNumberFormat="1" applyFont="1" applyBorder="1" applyAlignment="1">
      <alignment horizontal="center" vertical="center"/>
    </xf>
    <xf numFmtId="0" fontId="121" fillId="0" borderId="0" xfId="0" applyFont="1" applyAlignment="1">
      <alignment vertical="center"/>
    </xf>
    <xf numFmtId="3" fontId="124" fillId="4" borderId="19" xfId="0" applyNumberFormat="1" applyFont="1" applyFill="1" applyBorder="1" applyAlignment="1">
      <alignment horizontal="center" vertical="center" wrapText="1" readingOrder="1"/>
    </xf>
    <xf numFmtId="0" fontId="124" fillId="0" borderId="19" xfId="0" applyFont="1" applyBorder="1" applyAlignment="1">
      <alignment horizontal="center" vertical="center" wrapText="1" readingOrder="1"/>
    </xf>
    <xf numFmtId="3" fontId="124" fillId="0" borderId="19" xfId="0" applyNumberFormat="1" applyFont="1" applyBorder="1" applyAlignment="1">
      <alignment horizontal="center" vertical="center" wrapText="1"/>
    </xf>
    <xf numFmtId="0" fontId="121" fillId="0" borderId="0" xfId="0" applyFont="1" applyAlignment="1">
      <alignment vertical="top"/>
    </xf>
    <xf numFmtId="3" fontId="124" fillId="0" borderId="19" xfId="0" applyNumberFormat="1" applyFont="1" applyBorder="1" applyAlignment="1">
      <alignment horizontal="center" vertical="center" wrapText="1" readingOrder="1"/>
    </xf>
    <xf numFmtId="4" fontId="124" fillId="0" borderId="19" xfId="0" applyNumberFormat="1" applyFont="1" applyBorder="1" applyAlignment="1">
      <alignment horizontal="center" vertical="center" wrapText="1"/>
    </xf>
    <xf numFmtId="0" fontId="124" fillId="0" borderId="19" xfId="0" applyFont="1" applyBorder="1" applyAlignment="1">
      <alignment horizontal="center" vertical="center" wrapText="1"/>
    </xf>
    <xf numFmtId="4" fontId="121" fillId="0" borderId="0" xfId="0" applyNumberFormat="1" applyFont="1" applyAlignment="1">
      <alignment vertical="top"/>
    </xf>
    <xf numFmtId="0" fontId="121" fillId="0" borderId="19" xfId="0" applyFont="1" applyBorder="1" applyAlignment="1">
      <alignment horizontal="center" vertical="center"/>
    </xf>
    <xf numFmtId="0" fontId="121" fillId="0" borderId="0" xfId="0" applyFont="1" applyAlignment="1">
      <alignment horizontal="center"/>
    </xf>
    <xf numFmtId="4" fontId="121" fillId="0" borderId="0" xfId="0" applyNumberFormat="1" applyFont="1" applyAlignment="1">
      <alignment horizontal="center"/>
    </xf>
    <xf numFmtId="10" fontId="121" fillId="0" borderId="0" xfId="0" applyNumberFormat="1" applyFont="1"/>
    <xf numFmtId="3" fontId="124" fillId="0" borderId="0" xfId="0" applyNumberFormat="1" applyFont="1" applyAlignment="1">
      <alignment horizontal="center" vertical="center" wrapText="1" readingOrder="1"/>
    </xf>
    <xf numFmtId="0" fontId="91" fillId="0" borderId="0" xfId="0" applyFont="1"/>
    <xf numFmtId="0" fontId="0" fillId="0" borderId="0" xfId="0" applyAlignment="1">
      <alignment vertical="center"/>
    </xf>
    <xf numFmtId="0" fontId="115" fillId="0" borderId="0" xfId="0" applyFont="1" applyAlignment="1">
      <alignment vertical="top" wrapText="1"/>
    </xf>
    <xf numFmtId="0" fontId="126" fillId="0" borderId="60" xfId="0" applyFont="1" applyBorder="1" applyAlignment="1">
      <alignment horizontal="center" vertical="top" wrapText="1"/>
    </xf>
    <xf numFmtId="0" fontId="126" fillId="0" borderId="0" xfId="0" applyFont="1" applyAlignment="1">
      <alignment horizontal="center" vertical="top" wrapText="1"/>
    </xf>
    <xf numFmtId="0" fontId="126" fillId="0" borderId="80" xfId="0" applyFont="1" applyBorder="1" applyAlignment="1">
      <alignment horizontal="center" vertical="top" wrapText="1"/>
    </xf>
    <xf numFmtId="0" fontId="129" fillId="19" borderId="84" xfId="0" applyFont="1" applyFill="1" applyBorder="1" applyAlignment="1">
      <alignment horizontal="center" vertical="top"/>
    </xf>
    <xf numFmtId="0" fontId="129" fillId="19" borderId="80" xfId="0" applyFont="1" applyFill="1" applyBorder="1" applyAlignment="1">
      <alignment horizontal="center" vertical="top"/>
    </xf>
    <xf numFmtId="0" fontId="0" fillId="3" borderId="86" xfId="0" applyFill="1" applyBorder="1" applyAlignment="1">
      <alignment vertical="top" wrapText="1"/>
    </xf>
    <xf numFmtId="0" fontId="0" fillId="3" borderId="86" xfId="0" applyFill="1" applyBorder="1" applyAlignment="1">
      <alignment horizontal="center" vertical="top" wrapText="1"/>
    </xf>
    <xf numFmtId="0" fontId="0" fillId="3" borderId="0" xfId="0" applyFill="1" applyAlignment="1">
      <alignment vertical="top" wrapText="1"/>
    </xf>
    <xf numFmtId="0" fontId="0" fillId="20" borderId="84" xfId="0" applyFill="1" applyBorder="1" applyAlignment="1">
      <alignment horizontal="center" vertical="center" wrapText="1"/>
    </xf>
    <xf numFmtId="0" fontId="0" fillId="21" borderId="84" xfId="0" applyFill="1" applyBorder="1" applyAlignment="1">
      <alignment horizontal="center" vertical="top" wrapText="1"/>
    </xf>
    <xf numFmtId="0" fontId="0" fillId="22" borderId="84" xfId="0" applyFill="1" applyBorder="1" applyAlignment="1">
      <alignment horizontal="center" vertical="top" wrapText="1"/>
    </xf>
    <xf numFmtId="0" fontId="0" fillId="3" borderId="0" xfId="0" applyFill="1" applyAlignment="1">
      <alignment horizontal="center" vertical="top" wrapText="1"/>
    </xf>
    <xf numFmtId="0" fontId="128" fillId="3" borderId="84" xfId="0" applyFont="1" applyFill="1" applyBorder="1" applyAlignment="1">
      <alignment horizontal="right" vertical="top" wrapText="1"/>
    </xf>
    <xf numFmtId="0" fontId="0" fillId="3" borderId="96" xfId="0" applyFill="1" applyBorder="1" applyAlignment="1">
      <alignment vertical="top" wrapText="1"/>
    </xf>
    <xf numFmtId="0" fontId="0" fillId="3" borderId="97" xfId="0" applyFill="1" applyBorder="1" applyAlignment="1">
      <alignment vertical="top" wrapText="1"/>
    </xf>
    <xf numFmtId="0" fontId="0" fillId="22" borderId="84" xfId="0" applyFill="1" applyBorder="1" applyAlignment="1">
      <alignment vertical="top" wrapText="1"/>
    </xf>
    <xf numFmtId="0" fontId="0" fillId="3" borderId="99" xfId="0" applyFill="1" applyBorder="1" applyAlignment="1">
      <alignment vertical="top" wrapText="1"/>
    </xf>
    <xf numFmtId="0" fontId="0" fillId="3" borderId="100" xfId="0" applyFill="1" applyBorder="1" applyAlignment="1">
      <alignment vertical="top" wrapText="1"/>
    </xf>
    <xf numFmtId="0" fontId="0" fillId="3" borderId="100" xfId="0" applyFill="1" applyBorder="1" applyAlignment="1">
      <alignment horizontal="center" vertical="top" wrapText="1"/>
    </xf>
    <xf numFmtId="0" fontId="129" fillId="19" borderId="92" xfId="0" applyFont="1" applyFill="1" applyBorder="1" applyAlignment="1">
      <alignment horizontal="center" vertical="top"/>
    </xf>
    <xf numFmtId="0" fontId="0" fillId="20" borderId="88" xfId="0" applyFill="1" applyBorder="1" applyAlignment="1">
      <alignment horizontal="center" vertical="center" wrapText="1"/>
    </xf>
    <xf numFmtId="0" fontId="0" fillId="21" borderId="78" xfId="0" applyFill="1" applyBorder="1" applyAlignment="1">
      <alignment horizontal="center" vertical="top" wrapText="1"/>
    </xf>
    <xf numFmtId="0" fontId="0" fillId="22" borderId="96" xfId="0" applyFill="1" applyBorder="1" applyAlignment="1">
      <alignment vertical="top" wrapText="1"/>
    </xf>
    <xf numFmtId="0" fontId="0" fillId="3" borderId="79" xfId="0" applyFill="1" applyBorder="1" applyAlignment="1">
      <alignment vertical="top" wrapText="1"/>
    </xf>
    <xf numFmtId="0" fontId="0" fillId="3" borderId="79" xfId="0" applyFill="1" applyBorder="1" applyAlignment="1">
      <alignment horizontal="center" vertical="top" wrapText="1"/>
    </xf>
    <xf numFmtId="0" fontId="0" fillId="0" borderId="0" xfId="0" applyAlignment="1">
      <alignment horizontal="center" vertical="top"/>
    </xf>
    <xf numFmtId="0" fontId="0" fillId="0" borderId="101" xfId="0" applyBorder="1" applyAlignment="1">
      <alignment vertical="top"/>
    </xf>
    <xf numFmtId="0" fontId="0" fillId="21" borderId="96" xfId="0" applyFill="1" applyBorder="1" applyAlignment="1">
      <alignment horizontal="center" vertical="top" wrapText="1"/>
    </xf>
    <xf numFmtId="0" fontId="0" fillId="0" borderId="98" xfId="0" applyBorder="1" applyAlignment="1">
      <alignment vertical="top"/>
    </xf>
    <xf numFmtId="0" fontId="129" fillId="19" borderId="88" xfId="0" applyFont="1" applyFill="1" applyBorder="1" applyAlignment="1">
      <alignment horizontal="center" vertical="top"/>
    </xf>
    <xf numFmtId="0" fontId="0" fillId="22" borderId="96" xfId="0" applyFill="1" applyBorder="1" applyAlignment="1">
      <alignment horizontal="center" vertical="top" wrapText="1"/>
    </xf>
    <xf numFmtId="4" fontId="12" fillId="4" borderId="0" xfId="0" applyNumberFormat="1" applyFont="1" applyFill="1" applyProtection="1">
      <protection locked="0"/>
    </xf>
    <xf numFmtId="4" fontId="25" fillId="4" borderId="0" xfId="0" applyNumberFormat="1" applyFont="1" applyFill="1" applyAlignment="1">
      <alignment vertical="top"/>
    </xf>
    <xf numFmtId="4" fontId="24" fillId="4" borderId="0" xfId="0" applyNumberFormat="1" applyFont="1" applyFill="1" applyAlignment="1">
      <alignment vertical="top"/>
    </xf>
    <xf numFmtId="4" fontId="12" fillId="4" borderId="0" xfId="0" applyNumberFormat="1" applyFont="1" applyFill="1" applyAlignment="1">
      <alignment vertical="top"/>
    </xf>
    <xf numFmtId="4" fontId="25" fillId="4" borderId="0" xfId="0" applyNumberFormat="1" applyFont="1" applyFill="1" applyAlignment="1" applyProtection="1">
      <alignment vertical="top"/>
      <protection locked="0"/>
    </xf>
    <xf numFmtId="4" fontId="12" fillId="4" borderId="0" xfId="0" applyNumberFormat="1" applyFont="1" applyFill="1" applyAlignment="1" applyProtection="1">
      <alignment vertical="top"/>
      <protection locked="0"/>
    </xf>
    <xf numFmtId="43" fontId="66" fillId="0" borderId="0" xfId="12" applyFont="1" applyAlignment="1">
      <alignment horizontal="center" vertical="center" wrapText="1"/>
    </xf>
    <xf numFmtId="43" fontId="66" fillId="0" borderId="2" xfId="12" applyFont="1" applyBorder="1" applyAlignment="1">
      <alignment horizontal="center" vertical="center" wrapText="1"/>
    </xf>
    <xf numFmtId="43" fontId="66" fillId="0" borderId="12" xfId="12" applyFont="1" applyBorder="1" applyAlignment="1">
      <alignment vertical="center" wrapText="1"/>
    </xf>
    <xf numFmtId="43" fontId="66" fillId="10" borderId="0" xfId="12" applyFont="1" applyFill="1" applyAlignment="1">
      <alignment horizontal="center" vertical="center" wrapText="1"/>
    </xf>
    <xf numFmtId="43" fontId="66" fillId="10" borderId="2" xfId="12" applyFont="1" applyFill="1" applyBorder="1" applyAlignment="1">
      <alignment horizontal="center" vertical="center" wrapText="1"/>
    </xf>
    <xf numFmtId="0" fontId="75" fillId="6" borderId="49" xfId="0" applyFont="1" applyFill="1" applyBorder="1" applyAlignment="1">
      <alignment horizontal="justify" vertical="center" wrapText="1"/>
    </xf>
    <xf numFmtId="0" fontId="75" fillId="6" borderId="13" xfId="0" applyFont="1" applyFill="1" applyBorder="1" applyAlignment="1">
      <alignment horizontal="justify" vertical="center" wrapText="1"/>
    </xf>
    <xf numFmtId="0" fontId="74" fillId="0" borderId="10" xfId="0" applyFont="1" applyBorder="1" applyAlignment="1">
      <alignment horizontal="justify" vertical="center" wrapText="1"/>
    </xf>
    <xf numFmtId="0" fontId="74" fillId="0" borderId="11" xfId="0" applyFont="1" applyBorder="1" applyAlignment="1">
      <alignment horizontal="justify" vertical="center" wrapText="1"/>
    </xf>
    <xf numFmtId="0" fontId="74" fillId="0" borderId="12" xfId="0" applyFont="1" applyBorder="1" applyAlignment="1">
      <alignment horizontal="justify" vertical="center" wrapText="1"/>
    </xf>
    <xf numFmtId="0" fontId="75" fillId="0" borderId="49" xfId="0" applyFont="1" applyBorder="1" applyAlignment="1">
      <alignment horizontal="justify" vertical="center" wrapText="1"/>
    </xf>
    <xf numFmtId="0" fontId="75" fillId="0" borderId="13" xfId="0" applyFont="1" applyBorder="1" applyAlignment="1">
      <alignment horizontal="justify" vertical="center" wrapText="1"/>
    </xf>
    <xf numFmtId="0" fontId="5" fillId="0" borderId="0" xfId="0" applyFont="1" applyAlignment="1" applyProtection="1">
      <alignment horizontal="left" wrapText="1"/>
      <protection locked="0"/>
    </xf>
    <xf numFmtId="0" fontId="10" fillId="0" borderId="0" xfId="0" applyFont="1" applyAlignment="1" applyProtection="1">
      <alignment horizontal="center" vertical="top"/>
      <protection locked="0"/>
    </xf>
    <xf numFmtId="0" fontId="6" fillId="0" borderId="0" xfId="0" applyFont="1" applyAlignment="1" applyProtection="1">
      <alignment horizontal="center" vertical="top"/>
      <protection locked="0"/>
    </xf>
    <xf numFmtId="0" fontId="6" fillId="0" borderId="8" xfId="0" applyFont="1" applyBorder="1" applyAlignment="1" applyProtection="1">
      <alignment horizontal="center" vertical="top"/>
      <protection locked="0"/>
    </xf>
    <xf numFmtId="0" fontId="10" fillId="0" borderId="0" xfId="0" applyFont="1" applyAlignment="1" applyProtection="1">
      <alignment horizontal="center"/>
      <protection locked="0"/>
    </xf>
    <xf numFmtId="0" fontId="3" fillId="4" borderId="0" xfId="0" applyFont="1" applyFill="1" applyAlignment="1" applyProtection="1">
      <alignment horizontal="center" vertical="center" wrapText="1"/>
      <protection locked="0"/>
    </xf>
    <xf numFmtId="0" fontId="68" fillId="4" borderId="8" xfId="0" applyFont="1" applyFill="1" applyBorder="1" applyAlignment="1">
      <alignment horizontal="center" vertical="center" wrapText="1"/>
    </xf>
    <xf numFmtId="0" fontId="21" fillId="0" borderId="5" xfId="0" applyFont="1" applyBorder="1" applyAlignment="1" applyProtection="1">
      <alignment horizontal="left" vertical="center" wrapText="1"/>
      <protection locked="0"/>
    </xf>
    <xf numFmtId="0" fontId="21" fillId="0" borderId="0" xfId="0" applyFont="1" applyAlignment="1" applyProtection="1">
      <alignment horizontal="left" vertical="center" wrapText="1"/>
      <protection locked="0"/>
    </xf>
    <xf numFmtId="0" fontId="16" fillId="0" borderId="37" xfId="0" applyFont="1" applyBorder="1" applyAlignment="1" applyProtection="1">
      <alignment horizontal="center" vertical="center"/>
      <protection locked="0"/>
    </xf>
    <xf numFmtId="0" fontId="16" fillId="0" borderId="38" xfId="0" applyFont="1" applyBorder="1" applyAlignment="1" applyProtection="1">
      <alignment horizontal="center" vertical="center"/>
      <protection locked="0"/>
    </xf>
    <xf numFmtId="0" fontId="11" fillId="0" borderId="8" xfId="0" applyFont="1" applyBorder="1" applyAlignment="1" applyProtection="1">
      <alignment horizontal="center" vertical="top"/>
      <protection locked="0"/>
    </xf>
    <xf numFmtId="0" fontId="39" fillId="7" borderId="1" xfId="0" applyFont="1" applyFill="1" applyBorder="1" applyAlignment="1">
      <alignment horizontal="center" vertical="center"/>
    </xf>
    <xf numFmtId="0" fontId="39" fillId="7" borderId="2" xfId="0" applyFont="1" applyFill="1" applyBorder="1" applyAlignment="1">
      <alignment horizontal="center" vertical="center"/>
    </xf>
    <xf numFmtId="0" fontId="39" fillId="7" borderId="3" xfId="0" applyFont="1" applyFill="1" applyBorder="1" applyAlignment="1">
      <alignment horizontal="center" vertical="center"/>
    </xf>
    <xf numFmtId="0" fontId="39" fillId="7" borderId="5" xfId="0" applyFont="1" applyFill="1" applyBorder="1" applyAlignment="1">
      <alignment horizontal="center" vertical="center"/>
    </xf>
    <xf numFmtId="0" fontId="39" fillId="7" borderId="0" xfId="0" applyFont="1" applyFill="1" applyAlignment="1">
      <alignment horizontal="center" vertical="center"/>
    </xf>
    <xf numFmtId="0" fontId="39" fillId="7" borderId="6" xfId="0" applyFont="1" applyFill="1" applyBorder="1" applyAlignment="1">
      <alignment horizontal="center" vertical="center"/>
    </xf>
    <xf numFmtId="0" fontId="39" fillId="7" borderId="7" xfId="0" applyFont="1" applyFill="1" applyBorder="1" applyAlignment="1">
      <alignment horizontal="center" vertical="center"/>
    </xf>
    <xf numFmtId="0" fontId="39" fillId="7" borderId="8" xfId="0" applyFont="1" applyFill="1" applyBorder="1" applyAlignment="1">
      <alignment horizontal="center" vertical="center"/>
    </xf>
    <xf numFmtId="0" fontId="39" fillId="7" borderId="9" xfId="0" applyFont="1" applyFill="1" applyBorder="1" applyAlignment="1">
      <alignment horizontal="center" vertical="center"/>
    </xf>
    <xf numFmtId="0" fontId="6" fillId="0" borderId="0" xfId="0" applyFont="1" applyAlignment="1">
      <alignment horizontal="center" vertical="top"/>
    </xf>
    <xf numFmtId="0" fontId="6" fillId="0" borderId="8" xfId="0" applyFont="1" applyBorder="1" applyAlignment="1">
      <alignment horizontal="center" vertical="top"/>
    </xf>
    <xf numFmtId="0" fontId="25" fillId="0" borderId="5" xfId="0" applyFont="1" applyBorder="1" applyAlignment="1" applyProtection="1">
      <alignment horizontal="justify" vertical="top"/>
      <protection locked="0"/>
    </xf>
    <xf numFmtId="0" fontId="25" fillId="0" borderId="0" xfId="0" applyFont="1" applyAlignment="1" applyProtection="1">
      <alignment horizontal="justify" vertical="top"/>
      <protection locked="0"/>
    </xf>
    <xf numFmtId="0" fontId="6" fillId="0" borderId="0" xfId="0" applyFont="1" applyAlignment="1" applyProtection="1">
      <alignment horizontal="center"/>
      <protection locked="0"/>
    </xf>
    <xf numFmtId="0" fontId="3" fillId="0" borderId="40"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25" fillId="0" borderId="8" xfId="0" applyFont="1" applyBorder="1" applyAlignment="1" applyProtection="1">
      <alignment horizontal="center" vertical="top"/>
      <protection locked="0"/>
    </xf>
    <xf numFmtId="0" fontId="6" fillId="0" borderId="42"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6" fillId="0" borderId="0" xfId="0" applyFont="1" applyAlignment="1">
      <alignment horizontal="center" vertical="center"/>
    </xf>
    <xf numFmtId="0" fontId="3" fillId="0" borderId="1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protection locked="0"/>
    </xf>
    <xf numFmtId="0" fontId="6" fillId="0" borderId="5" xfId="0" applyFont="1" applyBorder="1" applyAlignment="1" applyProtection="1">
      <alignment horizontal="justify" vertical="top" wrapText="1"/>
      <protection locked="0"/>
    </xf>
    <xf numFmtId="0" fontId="6" fillId="0" borderId="0" xfId="0" applyFont="1" applyAlignment="1" applyProtection="1">
      <alignment horizontal="justify" vertical="top" wrapText="1"/>
      <protection locked="0"/>
    </xf>
    <xf numFmtId="0" fontId="7" fillId="0" borderId="7" xfId="0" applyFont="1" applyBorder="1" applyAlignment="1" applyProtection="1">
      <alignment horizontal="justify" vertical="top" wrapText="1"/>
      <protection locked="0"/>
    </xf>
    <xf numFmtId="0" fontId="7" fillId="0" borderId="8" xfId="0" applyFont="1" applyBorder="1" applyAlignment="1" applyProtection="1">
      <alignment horizontal="justify" vertical="top" wrapText="1"/>
      <protection locked="0"/>
    </xf>
    <xf numFmtId="0" fontId="10" fillId="0" borderId="1"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7" fillId="0" borderId="5" xfId="0" applyFont="1" applyBorder="1" applyAlignment="1" applyProtection="1">
      <alignment horizontal="justify" vertical="top" wrapText="1"/>
      <protection locked="0"/>
    </xf>
    <xf numFmtId="0" fontId="7" fillId="0" borderId="0" xfId="0" applyFont="1" applyAlignment="1" applyProtection="1">
      <alignment horizontal="justify" vertical="top" wrapText="1"/>
      <protection locked="0"/>
    </xf>
    <xf numFmtId="0" fontId="6" fillId="0" borderId="5" xfId="0" applyFont="1" applyBorder="1" applyAlignment="1" applyProtection="1">
      <alignment horizontal="left" vertical="top" wrapText="1" indent="5"/>
      <protection locked="0"/>
    </xf>
    <xf numFmtId="0" fontId="6" fillId="0" borderId="0" xfId="0" applyFont="1" applyAlignment="1" applyProtection="1">
      <alignment horizontal="left" vertical="top" wrapText="1" indent="5"/>
      <protection locked="0"/>
    </xf>
    <xf numFmtId="0" fontId="59" fillId="0" borderId="5" xfId="0" applyFont="1" applyBorder="1" applyAlignment="1">
      <alignment horizontal="justify" vertical="center" wrapText="1"/>
    </xf>
    <xf numFmtId="0" fontId="59" fillId="0" borderId="6" xfId="0" applyFont="1" applyBorder="1" applyAlignment="1">
      <alignment horizontal="justify" vertical="center" wrapText="1"/>
    </xf>
    <xf numFmtId="0" fontId="60" fillId="0" borderId="5" xfId="0" applyFont="1" applyBorder="1" applyAlignment="1">
      <alignment horizontal="justify" vertical="center" wrapText="1"/>
    </xf>
    <xf numFmtId="0" fontId="60" fillId="0" borderId="6" xfId="0" applyFont="1" applyBorder="1" applyAlignment="1">
      <alignment horizontal="justify" vertical="center" wrapText="1"/>
    </xf>
    <xf numFmtId="0" fontId="62" fillId="0" borderId="0" xfId="0" applyFont="1" applyAlignment="1">
      <alignment horizontal="center" vertical="justify"/>
    </xf>
    <xf numFmtId="0" fontId="63" fillId="6" borderId="49" xfId="0" applyFont="1" applyFill="1" applyBorder="1" applyAlignment="1">
      <alignment horizontal="center" vertical="center"/>
    </xf>
    <xf numFmtId="0" fontId="63" fillId="6" borderId="4" xfId="0" applyFont="1" applyFill="1" applyBorder="1" applyAlignment="1">
      <alignment horizontal="center" vertical="center"/>
    </xf>
    <xf numFmtId="0" fontId="63" fillId="6" borderId="13" xfId="0" applyFont="1" applyFill="1" applyBorder="1" applyAlignment="1">
      <alignment horizontal="center" vertical="center"/>
    </xf>
    <xf numFmtId="0" fontId="63" fillId="6" borderId="49" xfId="0" applyFont="1" applyFill="1" applyBorder="1" applyAlignment="1">
      <alignment horizontal="center" vertical="center" wrapText="1"/>
    </xf>
    <xf numFmtId="0" fontId="63" fillId="6" borderId="4" xfId="0" applyFont="1" applyFill="1" applyBorder="1" applyAlignment="1">
      <alignment horizontal="center" vertical="center" wrapText="1"/>
    </xf>
    <xf numFmtId="0" fontId="63" fillId="6" borderId="13" xfId="0" applyFont="1" applyFill="1" applyBorder="1" applyAlignment="1">
      <alignment horizontal="center" vertical="center" wrapText="1"/>
    </xf>
    <xf numFmtId="0" fontId="61" fillId="0" borderId="7" xfId="0" applyFont="1" applyBorder="1" applyAlignment="1">
      <alignment horizontal="justify" vertical="center" wrapText="1"/>
    </xf>
    <xf numFmtId="0" fontId="61" fillId="0" borderId="9" xfId="0" applyFont="1" applyBorder="1" applyAlignment="1">
      <alignment horizontal="justify" vertical="center" wrapText="1"/>
    </xf>
    <xf numFmtId="0" fontId="39" fillId="4" borderId="0" xfId="0" applyFont="1" applyFill="1" applyAlignment="1">
      <alignment horizontal="center" vertical="center" wrapText="1"/>
    </xf>
    <xf numFmtId="0" fontId="58" fillId="4" borderId="8" xfId="0" applyFont="1" applyFill="1" applyBorder="1" applyAlignment="1">
      <alignment horizontal="center" vertical="center" wrapText="1"/>
    </xf>
    <xf numFmtId="0" fontId="59" fillId="4" borderId="1" xfId="0" applyFont="1" applyFill="1" applyBorder="1" applyAlignment="1">
      <alignment horizontal="center" vertical="center" wrapText="1"/>
    </xf>
    <xf numFmtId="0" fontId="59" fillId="4" borderId="3" xfId="0" applyFont="1" applyFill="1" applyBorder="1" applyAlignment="1">
      <alignment horizontal="center" vertical="center" wrapText="1"/>
    </xf>
    <xf numFmtId="0" fontId="59" fillId="4" borderId="7" xfId="0" applyFont="1" applyFill="1" applyBorder="1" applyAlignment="1">
      <alignment horizontal="center" vertical="center" wrapText="1"/>
    </xf>
    <xf numFmtId="0" fontId="59" fillId="4" borderId="9" xfId="0" applyFont="1" applyFill="1" applyBorder="1" applyAlignment="1">
      <alignment horizontal="center" vertical="center" wrapText="1"/>
    </xf>
    <xf numFmtId="0" fontId="59" fillId="4" borderId="49" xfId="0" applyFont="1" applyFill="1" applyBorder="1" applyAlignment="1">
      <alignment horizontal="center" vertical="center" wrapText="1"/>
    </xf>
    <xf numFmtId="0" fontId="59" fillId="4" borderId="13" xfId="0" applyFont="1" applyFill="1" applyBorder="1" applyAlignment="1">
      <alignment horizontal="center" vertical="center" wrapText="1"/>
    </xf>
    <xf numFmtId="0" fontId="59" fillId="0" borderId="1" xfId="0" applyFont="1" applyBorder="1" applyAlignment="1">
      <alignment horizontal="justify" vertical="center" wrapText="1"/>
    </xf>
    <xf numFmtId="0" fontId="59" fillId="0" borderId="3" xfId="0" applyFont="1" applyBorder="1" applyAlignment="1">
      <alignment horizontal="justify" vertical="center" wrapText="1"/>
    </xf>
    <xf numFmtId="0" fontId="3" fillId="0" borderId="5" xfId="0" applyFont="1" applyBorder="1" applyAlignment="1">
      <alignment horizontal="left" vertical="center" wrapText="1"/>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10" fillId="0" borderId="0" xfId="0" applyFont="1" applyAlignment="1">
      <alignment horizontal="center"/>
    </xf>
    <xf numFmtId="0" fontId="10" fillId="0" borderId="0" xfId="0" applyFont="1" applyAlignment="1">
      <alignment horizontal="center" vertical="top"/>
    </xf>
    <xf numFmtId="0" fontId="11" fillId="0" borderId="8" xfId="0" applyFont="1" applyBorder="1" applyAlignment="1">
      <alignment horizontal="center" vertical="top"/>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11" fillId="0" borderId="8" xfId="0" applyFont="1" applyBorder="1" applyAlignment="1">
      <alignment horizontal="left" vertical="top"/>
    </xf>
    <xf numFmtId="0" fontId="81" fillId="0" borderId="0" xfId="0" applyFont="1" applyAlignment="1" applyProtection="1">
      <alignment horizontal="left" vertical="center" wrapText="1"/>
      <protection locked="0"/>
    </xf>
    <xf numFmtId="0" fontId="25" fillId="0" borderId="10" xfId="0" applyFont="1" applyBorder="1" applyAlignment="1" applyProtection="1">
      <alignment horizontal="center" vertical="center"/>
      <protection locked="0"/>
    </xf>
    <xf numFmtId="0" fontId="25" fillId="0" borderId="12" xfId="0" applyFont="1" applyBorder="1" applyAlignment="1" applyProtection="1">
      <alignment horizontal="center" vertical="center"/>
      <protection locked="0"/>
    </xf>
    <xf numFmtId="0" fontId="3" fillId="0" borderId="5"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42" xfId="0" applyFont="1" applyBorder="1" applyAlignment="1">
      <alignment horizontal="center" vertical="center"/>
    </xf>
    <xf numFmtId="0" fontId="3" fillId="0" borderId="55" xfId="0" applyFont="1" applyBorder="1" applyAlignment="1">
      <alignment horizontal="center" vertical="center"/>
    </xf>
    <xf numFmtId="0" fontId="1" fillId="0" borderId="5" xfId="0" applyFont="1" applyBorder="1" applyAlignment="1" applyProtection="1">
      <alignment horizontal="left" vertical="center" wrapText="1" indent="1"/>
      <protection locked="0"/>
    </xf>
    <xf numFmtId="0" fontId="1" fillId="0" borderId="6" xfId="0" applyFont="1" applyBorder="1" applyAlignment="1" applyProtection="1">
      <alignment horizontal="left" vertical="center" wrapText="1" indent="1"/>
      <protection locked="0"/>
    </xf>
    <xf numFmtId="0" fontId="6" fillId="0" borderId="10"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3" fillId="0" borderId="1"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44"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46" xfId="0" applyFont="1" applyBorder="1" applyAlignment="1" applyProtection="1">
      <alignment horizontal="center" vertical="center"/>
      <protection locked="0"/>
    </xf>
    <xf numFmtId="0" fontId="3" fillId="0" borderId="60" xfId="0" applyFont="1" applyBorder="1" applyAlignment="1" applyProtection="1">
      <alignment horizontal="center" vertical="center"/>
      <protection locked="0"/>
    </xf>
    <xf numFmtId="0" fontId="3" fillId="0" borderId="47" xfId="0" applyFont="1" applyBorder="1" applyAlignment="1" applyProtection="1">
      <alignment horizontal="center" vertical="center"/>
      <protection locked="0"/>
    </xf>
    <xf numFmtId="0" fontId="3" fillId="0" borderId="54" xfId="0" applyFont="1" applyBorder="1" applyAlignment="1" applyProtection="1">
      <alignment horizontal="center" vertical="center"/>
      <protection locked="0"/>
    </xf>
    <xf numFmtId="0" fontId="66" fillId="0" borderId="8" xfId="0" applyFont="1" applyBorder="1" applyAlignment="1">
      <alignment horizontal="left" vertical="center"/>
    </xf>
    <xf numFmtId="0" fontId="66" fillId="0" borderId="51" xfId="0" applyFont="1" applyBorder="1" applyAlignment="1">
      <alignment horizontal="left" vertical="center"/>
    </xf>
    <xf numFmtId="0" fontId="59" fillId="0" borderId="5" xfId="0" applyFont="1" applyBorder="1" applyAlignment="1">
      <alignment horizontal="left" vertical="center"/>
    </xf>
    <xf numFmtId="0" fontId="59" fillId="0" borderId="0" xfId="0" applyFont="1" applyAlignment="1">
      <alignment horizontal="left" vertical="center"/>
    </xf>
    <xf numFmtId="0" fontId="59" fillId="0" borderId="50" xfId="0" applyFont="1" applyBorder="1" applyAlignment="1">
      <alignment horizontal="left" vertical="center"/>
    </xf>
    <xf numFmtId="0" fontId="60" fillId="0" borderId="0" xfId="0" applyFont="1" applyAlignment="1">
      <alignment horizontal="left" vertical="center"/>
    </xf>
    <xf numFmtId="0" fontId="60" fillId="0" borderId="50" xfId="0" applyFont="1" applyBorder="1" applyAlignment="1">
      <alignment horizontal="left" vertical="center"/>
    </xf>
    <xf numFmtId="0" fontId="60" fillId="0" borderId="0" xfId="0" applyFont="1" applyAlignment="1">
      <alignment horizontal="left" vertical="justify"/>
    </xf>
    <xf numFmtId="0" fontId="60" fillId="0" borderId="50" xfId="0" applyFont="1" applyBorder="1" applyAlignment="1">
      <alignment horizontal="left" vertical="justify"/>
    </xf>
    <xf numFmtId="0" fontId="68" fillId="0" borderId="5" xfId="0" applyFont="1" applyBorder="1" applyAlignment="1">
      <alignment horizontal="left" vertical="center"/>
    </xf>
    <xf numFmtId="0" fontId="68" fillId="0" borderId="0" xfId="0" applyFont="1" applyAlignment="1">
      <alignment horizontal="left" vertical="center"/>
    </xf>
    <xf numFmtId="0" fontId="68" fillId="0" borderId="50" xfId="0" applyFont="1" applyBorder="1" applyAlignment="1">
      <alignment horizontal="left" vertical="center"/>
    </xf>
    <xf numFmtId="43" fontId="59" fillId="0" borderId="52" xfId="0" applyNumberFormat="1" applyFont="1" applyBorder="1" applyAlignment="1">
      <alignment horizontal="right" vertical="center"/>
    </xf>
    <xf numFmtId="43" fontId="60" fillId="0" borderId="52" xfId="0" applyNumberFormat="1" applyFont="1" applyBorder="1" applyAlignment="1">
      <alignment horizontal="right" vertical="center"/>
    </xf>
    <xf numFmtId="0" fontId="60" fillId="0" borderId="0" xfId="0" applyFont="1" applyAlignment="1">
      <alignment vertical="center"/>
    </xf>
    <xf numFmtId="0" fontId="60" fillId="0" borderId="50" xfId="0" applyFont="1" applyBorder="1" applyAlignment="1">
      <alignment vertical="center"/>
    </xf>
    <xf numFmtId="0" fontId="60" fillId="0" borderId="1" xfId="0" applyFont="1" applyBorder="1" applyAlignment="1">
      <alignment horizontal="justify" vertical="center"/>
    </xf>
    <xf numFmtId="0" fontId="60" fillId="0" borderId="2" xfId="0" applyFont="1" applyBorder="1" applyAlignment="1">
      <alignment horizontal="justify" vertical="center"/>
    </xf>
    <xf numFmtId="0" fontId="60" fillId="0" borderId="3" xfId="0" applyFont="1" applyBorder="1" applyAlignment="1">
      <alignment horizontal="justify" vertical="center"/>
    </xf>
    <xf numFmtId="0" fontId="60" fillId="0" borderId="5" xfId="0" applyFont="1" applyBorder="1" applyAlignment="1">
      <alignment horizontal="left" vertical="center"/>
    </xf>
    <xf numFmtId="0" fontId="59" fillId="0" borderId="6" xfId="0" applyFont="1" applyBorder="1" applyAlignment="1">
      <alignment horizontal="left" vertical="center"/>
    </xf>
    <xf numFmtId="0" fontId="39" fillId="4" borderId="0" xfId="0" applyFont="1" applyFill="1" applyAlignment="1" applyProtection="1">
      <alignment horizontal="center" vertical="center" wrapText="1"/>
      <protection locked="0"/>
    </xf>
    <xf numFmtId="0" fontId="59" fillId="4" borderId="1" xfId="0" applyFont="1" applyFill="1" applyBorder="1" applyAlignment="1">
      <alignment horizontal="center" vertical="center"/>
    </xf>
    <xf numFmtId="0" fontId="59" fillId="4" borderId="2" xfId="0" applyFont="1" applyFill="1" applyBorder="1" applyAlignment="1">
      <alignment horizontal="center" vertical="center"/>
    </xf>
    <xf numFmtId="0" fontId="59" fillId="4" borderId="3" xfId="0" applyFont="1" applyFill="1" applyBorder="1" applyAlignment="1">
      <alignment horizontal="center" vertical="center"/>
    </xf>
    <xf numFmtId="0" fontId="59" fillId="4" borderId="10" xfId="0" applyFont="1" applyFill="1" applyBorder="1" applyAlignment="1">
      <alignment horizontal="center" vertical="center"/>
    </xf>
    <xf numFmtId="0" fontId="59" fillId="4" borderId="11" xfId="0" applyFont="1" applyFill="1" applyBorder="1" applyAlignment="1">
      <alignment horizontal="center" vertical="center"/>
    </xf>
    <xf numFmtId="0" fontId="59" fillId="4" borderId="12" xfId="0" applyFont="1" applyFill="1" applyBorder="1" applyAlignment="1">
      <alignment horizontal="center" vertical="center"/>
    </xf>
    <xf numFmtId="0" fontId="59" fillId="4" borderId="49" xfId="0" applyFont="1" applyFill="1" applyBorder="1" applyAlignment="1">
      <alignment horizontal="center" vertical="center"/>
    </xf>
    <xf numFmtId="0" fontId="59" fillId="4" borderId="4" xfId="0" applyFont="1" applyFill="1" applyBorder="1" applyAlignment="1">
      <alignment horizontal="center" vertical="center"/>
    </xf>
    <xf numFmtId="0" fontId="59" fillId="4" borderId="13" xfId="0" applyFont="1" applyFill="1" applyBorder="1" applyAlignment="1">
      <alignment horizontal="center" vertical="center"/>
    </xf>
    <xf numFmtId="0" fontId="59" fillId="4" borderId="5" xfId="0" applyFont="1" applyFill="1" applyBorder="1" applyAlignment="1">
      <alignment horizontal="center" vertical="center"/>
    </xf>
    <xf numFmtId="0" fontId="59" fillId="4" borderId="0" xfId="0" applyFont="1" applyFill="1" applyAlignment="1">
      <alignment horizontal="center" vertical="center"/>
    </xf>
    <xf numFmtId="0" fontId="59" fillId="4" borderId="6" xfId="0" applyFont="1" applyFill="1" applyBorder="1" applyAlignment="1">
      <alignment horizontal="center" vertical="center"/>
    </xf>
    <xf numFmtId="0" fontId="59" fillId="4" borderId="7" xfId="0" applyFont="1" applyFill="1" applyBorder="1" applyAlignment="1">
      <alignment horizontal="center" vertical="center"/>
    </xf>
    <xf numFmtId="0" fontId="59" fillId="4" borderId="8" xfId="0" applyFont="1" applyFill="1" applyBorder="1" applyAlignment="1">
      <alignment horizontal="center" vertical="center"/>
    </xf>
    <xf numFmtId="0" fontId="59" fillId="4" borderId="9" xfId="0" applyFont="1" applyFill="1" applyBorder="1" applyAlignment="1">
      <alignment horizontal="center" vertical="center"/>
    </xf>
    <xf numFmtId="0" fontId="59" fillId="4" borderId="49" xfId="0" applyFont="1" applyFill="1" applyBorder="1" applyAlignment="1">
      <alignment horizontal="center" vertical="justify"/>
    </xf>
    <xf numFmtId="0" fontId="59" fillId="4" borderId="13" xfId="0" applyFont="1" applyFill="1" applyBorder="1" applyAlignment="1">
      <alignment horizontal="center" vertical="justify"/>
    </xf>
    <xf numFmtId="0" fontId="21" fillId="2" borderId="10" xfId="0" applyFont="1" applyFill="1" applyBorder="1" applyAlignment="1" applyProtection="1">
      <alignment horizontal="left" vertical="center"/>
      <protection locked="0"/>
    </xf>
    <xf numFmtId="0" fontId="21" fillId="2" borderId="11" xfId="0" applyFont="1" applyFill="1" applyBorder="1" applyAlignment="1" applyProtection="1">
      <alignment horizontal="left" vertical="center"/>
      <protection locked="0"/>
    </xf>
    <xf numFmtId="0" fontId="21" fillId="2" borderId="20" xfId="0" applyFont="1" applyFill="1" applyBorder="1" applyAlignment="1" applyProtection="1">
      <alignment horizontal="left" vertical="center"/>
      <protection locked="0"/>
    </xf>
    <xf numFmtId="0" fontId="2" fillId="3" borderId="0" xfId="0" applyFont="1" applyFill="1" applyAlignment="1" applyProtection="1">
      <alignment horizontal="left" vertical="center"/>
      <protection locked="0"/>
    </xf>
    <xf numFmtId="0" fontId="2" fillId="3" borderId="14" xfId="0" applyFont="1" applyFill="1" applyBorder="1" applyAlignment="1" applyProtection="1">
      <alignment horizontal="left" vertical="center"/>
      <protection locked="0"/>
    </xf>
    <xf numFmtId="0" fontId="2" fillId="3" borderId="8" xfId="0" applyFont="1" applyFill="1" applyBorder="1" applyAlignment="1" applyProtection="1">
      <alignment horizontal="left" vertical="center"/>
      <protection locked="0"/>
    </xf>
    <xf numFmtId="0" fontId="2" fillId="3" borderId="27" xfId="0" applyFont="1" applyFill="1" applyBorder="1" applyAlignment="1" applyProtection="1">
      <alignment horizontal="left" vertical="center"/>
      <protection locked="0"/>
    </xf>
    <xf numFmtId="0" fontId="2" fillId="3" borderId="2" xfId="0" applyFont="1" applyFill="1" applyBorder="1" applyAlignment="1" applyProtection="1">
      <alignment horizontal="left" vertical="center"/>
      <protection locked="0"/>
    </xf>
    <xf numFmtId="0" fontId="2" fillId="3" borderId="26" xfId="0" applyFont="1" applyFill="1" applyBorder="1" applyAlignment="1" applyProtection="1">
      <alignment horizontal="left" vertical="center"/>
      <protection locked="0"/>
    </xf>
    <xf numFmtId="0" fontId="21" fillId="3" borderId="10" xfId="0" applyFont="1" applyFill="1" applyBorder="1" applyAlignment="1" applyProtection="1">
      <alignment horizontal="left" vertical="center"/>
      <protection locked="0"/>
    </xf>
    <xf numFmtId="0" fontId="21" fillId="3" borderId="11" xfId="0" applyFont="1" applyFill="1" applyBorder="1" applyAlignment="1" applyProtection="1">
      <alignment horizontal="left" vertical="center"/>
      <protection locked="0"/>
    </xf>
    <xf numFmtId="0" fontId="21" fillId="3" borderId="20" xfId="0" applyFont="1" applyFill="1" applyBorder="1" applyAlignment="1" applyProtection="1">
      <alignment horizontal="left" vertical="center"/>
      <protection locked="0"/>
    </xf>
    <xf numFmtId="0" fontId="6" fillId="2" borderId="10" xfId="0" applyFont="1" applyFill="1" applyBorder="1" applyAlignment="1" applyProtection="1">
      <alignment horizontal="left" vertical="center"/>
      <protection locked="0"/>
    </xf>
    <xf numFmtId="0" fontId="6" fillId="2" borderId="11" xfId="0" applyFont="1" applyFill="1" applyBorder="1" applyAlignment="1" applyProtection="1">
      <alignment horizontal="left" vertical="center"/>
      <protection locked="0"/>
    </xf>
    <xf numFmtId="0" fontId="6" fillId="2" borderId="20" xfId="0" applyFont="1" applyFill="1" applyBorder="1" applyAlignment="1" applyProtection="1">
      <alignment horizontal="left" vertical="center"/>
      <protection locked="0"/>
    </xf>
    <xf numFmtId="0" fontId="11" fillId="2" borderId="11" xfId="0" applyFont="1" applyFill="1" applyBorder="1" applyAlignment="1" applyProtection="1">
      <alignment horizontal="center" vertical="center"/>
      <protection locked="0"/>
    </xf>
    <xf numFmtId="0" fontId="3" fillId="0" borderId="49"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3" xfId="0" applyFont="1" applyBorder="1" applyAlignment="1">
      <alignment horizontal="center" vertical="center" wrapText="1"/>
    </xf>
    <xf numFmtId="0" fontId="11" fillId="0" borderId="11" xfId="0" applyFont="1" applyBorder="1" applyAlignment="1" applyProtection="1">
      <alignment horizontal="center" vertical="center"/>
      <protection locked="0"/>
    </xf>
    <xf numFmtId="0" fontId="11" fillId="0" borderId="8" xfId="0" applyFont="1" applyBorder="1" applyAlignment="1" applyProtection="1">
      <alignment horizontal="left" vertical="center"/>
      <protection locked="0"/>
    </xf>
    <xf numFmtId="0" fontId="11" fillId="0" borderId="0" xfId="0" applyFont="1" applyAlignment="1" applyProtection="1">
      <alignment horizontal="left" vertical="center"/>
      <protection locked="0"/>
    </xf>
    <xf numFmtId="0" fontId="69" fillId="0" borderId="7" xfId="0" applyFont="1" applyBorder="1" applyAlignment="1">
      <alignment horizontal="center" vertical="center"/>
    </xf>
    <xf numFmtId="0" fontId="69" fillId="0" borderId="8" xfId="0" applyFont="1" applyBorder="1" applyAlignment="1">
      <alignment horizontal="center" vertical="center"/>
    </xf>
    <xf numFmtId="0" fontId="69" fillId="0" borderId="51"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53" xfId="0" applyFont="1" applyBorder="1" applyAlignment="1">
      <alignment horizontal="center" vertical="center"/>
    </xf>
    <xf numFmtId="0" fontId="69" fillId="0" borderId="5" xfId="0" applyFont="1" applyBorder="1" applyAlignment="1">
      <alignment horizontal="center" vertical="center"/>
    </xf>
    <xf numFmtId="0" fontId="69" fillId="0" borderId="0" xfId="0" applyFont="1" applyAlignment="1">
      <alignment horizontal="center" vertical="center"/>
    </xf>
    <xf numFmtId="0" fontId="69" fillId="0" borderId="50" xfId="0" applyFont="1" applyBorder="1" applyAlignment="1">
      <alignment horizontal="center" vertical="center"/>
    </xf>
    <xf numFmtId="0" fontId="70" fillId="0" borderId="5" xfId="0" applyFont="1" applyBorder="1" applyAlignment="1">
      <alignment horizontal="left" vertical="center"/>
    </xf>
    <xf numFmtId="0" fontId="70" fillId="0" borderId="6" xfId="0" applyFont="1" applyBorder="1" applyAlignment="1">
      <alignment horizontal="left" vertical="center"/>
    </xf>
    <xf numFmtId="0" fontId="69" fillId="0" borderId="1" xfId="0" applyFont="1" applyBorder="1" applyAlignment="1">
      <alignment horizontal="center" vertical="center"/>
    </xf>
    <xf numFmtId="0" fontId="69" fillId="0" borderId="3" xfId="0" applyFont="1" applyBorder="1" applyAlignment="1">
      <alignment horizontal="center" vertical="center"/>
    </xf>
    <xf numFmtId="0" fontId="69" fillId="0" borderId="9" xfId="0" applyFont="1" applyBorder="1" applyAlignment="1">
      <alignment horizontal="center" vertical="center"/>
    </xf>
    <xf numFmtId="0" fontId="69" fillId="0" borderId="10" xfId="0" applyFont="1" applyBorder="1" applyAlignment="1">
      <alignment horizontal="center" vertical="center"/>
    </xf>
    <xf numFmtId="0" fontId="69" fillId="0" borderId="11" xfId="0" applyFont="1" applyBorder="1" applyAlignment="1">
      <alignment horizontal="center" vertical="center"/>
    </xf>
    <xf numFmtId="0" fontId="69" fillId="0" borderId="12" xfId="0" applyFont="1" applyBorder="1" applyAlignment="1">
      <alignment horizontal="center" vertical="center"/>
    </xf>
    <xf numFmtId="0" fontId="69" fillId="0" borderId="49" xfId="0" applyFont="1" applyBorder="1" applyAlignment="1">
      <alignment horizontal="center" vertical="center"/>
    </xf>
    <xf numFmtId="0" fontId="69" fillId="0" borderId="13" xfId="0" applyFont="1" applyBorder="1" applyAlignment="1">
      <alignment horizontal="center" vertical="center"/>
    </xf>
    <xf numFmtId="0" fontId="69" fillId="0" borderId="5" xfId="0" applyFont="1" applyBorder="1" applyAlignment="1">
      <alignment horizontal="left" vertical="center"/>
    </xf>
    <xf numFmtId="0" fontId="69" fillId="0" borderId="6" xfId="0" applyFont="1" applyBorder="1" applyAlignment="1">
      <alignment horizontal="left" vertical="center"/>
    </xf>
    <xf numFmtId="0" fontId="46" fillId="0" borderId="0" xfId="0" applyFont="1" applyAlignment="1" applyProtection="1">
      <alignment horizontal="left" vertical="justify" indent="3"/>
      <protection locked="0"/>
    </xf>
    <xf numFmtId="0" fontId="48" fillId="0" borderId="0" xfId="0" applyFont="1" applyAlignment="1" applyProtection="1">
      <alignment horizontal="left"/>
      <protection locked="0"/>
    </xf>
    <xf numFmtId="0" fontId="46" fillId="0" borderId="0" xfId="0" applyFont="1" applyAlignment="1" applyProtection="1">
      <alignment horizontal="left"/>
      <protection locked="0"/>
    </xf>
    <xf numFmtId="0" fontId="3" fillId="0" borderId="22" xfId="0" applyFont="1" applyBorder="1" applyAlignment="1" applyProtection="1">
      <alignment horizontal="center" vertical="center" wrapText="1"/>
      <protection locked="0"/>
    </xf>
    <xf numFmtId="0" fontId="3" fillId="0" borderId="45" xfId="0" applyFont="1" applyBorder="1" applyAlignment="1" applyProtection="1">
      <alignment horizontal="center" vertical="center" wrapText="1"/>
      <protection locked="0"/>
    </xf>
    <xf numFmtId="0" fontId="3" fillId="0" borderId="25"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26" xfId="0" applyFont="1" applyBorder="1" applyAlignment="1" applyProtection="1">
      <alignment horizontal="center" vertical="center" wrapText="1"/>
      <protection locked="0"/>
    </xf>
    <xf numFmtId="0" fontId="3" fillId="0" borderId="44" xfId="0" applyFont="1" applyBorder="1" applyAlignment="1" applyProtection="1">
      <alignment horizontal="center" vertical="center" wrapText="1"/>
      <protection locked="0"/>
    </xf>
    <xf numFmtId="0" fontId="3" fillId="0" borderId="46" xfId="0" applyFont="1" applyBorder="1" applyAlignment="1" applyProtection="1">
      <alignment horizontal="center" vertical="center" wrapText="1"/>
      <protection locked="0"/>
    </xf>
    <xf numFmtId="0" fontId="3" fillId="0" borderId="47" xfId="0" applyFont="1" applyBorder="1" applyAlignment="1" applyProtection="1">
      <alignment horizontal="center" vertical="center" wrapText="1"/>
      <protection locked="0"/>
    </xf>
    <xf numFmtId="0" fontId="3" fillId="4" borderId="34" xfId="0" applyFont="1" applyFill="1" applyBorder="1" applyAlignment="1" applyProtection="1">
      <alignment horizontal="center" vertical="center" wrapText="1"/>
      <protection locked="0"/>
    </xf>
    <xf numFmtId="0" fontId="3" fillId="4" borderId="29" xfId="0" applyFont="1" applyFill="1" applyBorder="1" applyAlignment="1" applyProtection="1">
      <alignment horizontal="center" vertical="center" wrapText="1"/>
      <protection locked="0"/>
    </xf>
    <xf numFmtId="0" fontId="3" fillId="4" borderId="30" xfId="0" applyFont="1" applyFill="1" applyBorder="1" applyAlignment="1" applyProtection="1">
      <alignment horizontal="center" vertical="center" wrapText="1"/>
      <protection locked="0"/>
    </xf>
    <xf numFmtId="0" fontId="25" fillId="0" borderId="49"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12"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6" fillId="0" borderId="44" xfId="0" applyFont="1" applyBorder="1" applyAlignment="1" applyProtection="1">
      <alignment horizontal="center" vertical="center"/>
      <protection locked="0"/>
    </xf>
    <xf numFmtId="0" fontId="6" fillId="0" borderId="46" xfId="0"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55"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20" xfId="0" applyFont="1" applyBorder="1" applyAlignment="1" applyProtection="1">
      <alignment horizontal="center" vertical="center" wrapText="1"/>
      <protection locked="0"/>
    </xf>
    <xf numFmtId="0" fontId="6" fillId="0" borderId="22" xfId="0" applyFont="1" applyBorder="1" applyAlignment="1" applyProtection="1">
      <alignment horizontal="center" vertical="center" wrapText="1"/>
      <protection locked="0"/>
    </xf>
    <xf numFmtId="0" fontId="6" fillId="0" borderId="45" xfId="0" applyFont="1" applyBorder="1" applyAlignment="1" applyProtection="1">
      <alignment horizontal="center" vertical="center" wrapText="1"/>
      <protection locked="0"/>
    </xf>
    <xf numFmtId="0" fontId="11" fillId="0" borderId="44" xfId="0" applyFont="1" applyBorder="1" applyAlignment="1" applyProtection="1">
      <alignment horizontal="center" vertical="center"/>
      <protection locked="0"/>
    </xf>
    <xf numFmtId="0" fontId="11" fillId="0" borderId="46" xfId="0" applyFont="1" applyBorder="1" applyAlignment="1" applyProtection="1">
      <alignment horizontal="center" vertical="center"/>
      <protection locked="0"/>
    </xf>
    <xf numFmtId="0" fontId="11" fillId="0" borderId="47" xfId="0" applyFont="1" applyBorder="1" applyAlignment="1" applyProtection="1">
      <alignment horizontal="center" vertical="center"/>
      <protection locked="0"/>
    </xf>
    <xf numFmtId="0" fontId="11" fillId="0" borderId="55" xfId="0" applyFont="1" applyBorder="1" applyAlignment="1" applyProtection="1">
      <alignment horizontal="center" vertical="center" wrapText="1"/>
      <protection locked="0"/>
    </xf>
    <xf numFmtId="0" fontId="11" fillId="0" borderId="11" xfId="0" applyFont="1" applyBorder="1" applyAlignment="1" applyProtection="1">
      <alignment horizontal="center" vertical="center" wrapText="1"/>
      <protection locked="0"/>
    </xf>
    <xf numFmtId="0" fontId="11" fillId="0" borderId="20" xfId="0" applyFont="1" applyBorder="1" applyAlignment="1" applyProtection="1">
      <alignment horizontal="center" vertical="center" wrapText="1"/>
      <protection locked="0"/>
    </xf>
    <xf numFmtId="0" fontId="11" fillId="0" borderId="22" xfId="0" applyFont="1" applyBorder="1" applyAlignment="1" applyProtection="1">
      <alignment horizontal="center" vertical="center" wrapText="1"/>
      <protection locked="0"/>
    </xf>
    <xf numFmtId="0" fontId="11" fillId="0" borderId="45" xfId="0" applyFont="1" applyBorder="1" applyAlignment="1" applyProtection="1">
      <alignment horizontal="center" vertical="center" wrapText="1"/>
      <protection locked="0"/>
    </xf>
    <xf numFmtId="4" fontId="11" fillId="0" borderId="8" xfId="0" applyNumberFormat="1" applyFont="1" applyBorder="1" applyAlignment="1" applyProtection="1">
      <alignment horizontal="left" vertical="center"/>
      <protection locked="0"/>
    </xf>
    <xf numFmtId="4" fontId="11" fillId="0" borderId="34" xfId="0" applyNumberFormat="1" applyFont="1" applyBorder="1" applyAlignment="1" applyProtection="1">
      <alignment horizontal="center" vertical="center" wrapText="1"/>
      <protection locked="0"/>
    </xf>
    <xf numFmtId="4" fontId="11" fillId="0" borderId="29" xfId="0" applyNumberFormat="1" applyFont="1" applyBorder="1" applyAlignment="1" applyProtection="1">
      <alignment horizontal="center" vertical="center" wrapText="1"/>
      <protection locked="0"/>
    </xf>
    <xf numFmtId="4" fontId="11" fillId="0" borderId="30" xfId="0" applyNumberFormat="1" applyFont="1" applyBorder="1" applyAlignment="1" applyProtection="1">
      <alignment horizontal="center" vertical="center" wrapText="1"/>
      <protection locked="0"/>
    </xf>
    <xf numFmtId="4" fontId="11" fillId="0" borderId="22" xfId="0" applyNumberFormat="1" applyFont="1" applyBorder="1" applyAlignment="1" applyProtection="1">
      <alignment horizontal="center" vertical="center" wrapText="1"/>
      <protection locked="0"/>
    </xf>
    <xf numFmtId="4" fontId="11" fillId="0" borderId="45" xfId="0" applyNumberFormat="1" applyFont="1" applyBorder="1" applyAlignment="1" applyProtection="1">
      <alignment horizontal="center" vertical="center" wrapText="1"/>
      <protection locked="0"/>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10" fillId="0" borderId="0" xfId="0" applyFont="1" applyAlignment="1">
      <alignment horizontal="center" vertical="center"/>
    </xf>
    <xf numFmtId="0" fontId="11" fillId="0" borderId="8" xfId="0" applyFont="1" applyBorder="1" applyAlignment="1">
      <alignment horizontal="left" vertical="center"/>
    </xf>
    <xf numFmtId="0" fontId="5" fillId="0" borderId="8" xfId="0" applyFont="1" applyBorder="1" applyAlignment="1">
      <alignment horizontal="center" vertical="center"/>
    </xf>
    <xf numFmtId="0" fontId="25" fillId="0" borderId="1" xfId="0" applyFont="1" applyBorder="1" applyAlignment="1">
      <alignment horizontal="center" vertical="center"/>
    </xf>
    <xf numFmtId="0" fontId="25" fillId="0" borderId="3" xfId="0" applyFont="1" applyBorder="1" applyAlignment="1">
      <alignment horizontal="center" vertical="center"/>
    </xf>
    <xf numFmtId="0" fontId="25" fillId="0" borderId="7" xfId="0" applyFont="1" applyBorder="1" applyAlignment="1">
      <alignment horizontal="center" vertical="center"/>
    </xf>
    <xf numFmtId="0" fontId="25" fillId="0" borderId="9" xfId="0" applyFont="1" applyBorder="1" applyAlignment="1">
      <alignment horizontal="center" vertical="center"/>
    </xf>
    <xf numFmtId="0" fontId="25" fillId="0" borderId="5" xfId="0" applyFont="1" applyBorder="1" applyAlignment="1">
      <alignment horizontal="center" vertical="center"/>
    </xf>
    <xf numFmtId="0" fontId="25" fillId="0" borderId="0" xfId="0" applyFont="1" applyAlignment="1">
      <alignment horizontal="center" vertical="center"/>
    </xf>
    <xf numFmtId="0" fontId="25" fillId="0" borderId="50" xfId="0" applyFont="1" applyBorder="1" applyAlignment="1">
      <alignment horizontal="center" vertical="center"/>
    </xf>
    <xf numFmtId="0" fontId="25" fillId="0" borderId="8" xfId="0" applyFont="1" applyBorder="1" applyAlignment="1">
      <alignment horizontal="center" vertical="center"/>
    </xf>
    <xf numFmtId="0" fontId="25" fillId="0" borderId="51" xfId="0" applyFont="1" applyBorder="1" applyAlignment="1">
      <alignment horizontal="center" vertical="center"/>
    </xf>
    <xf numFmtId="0" fontId="25" fillId="0" borderId="1" xfId="0" applyFont="1" applyBorder="1" applyAlignment="1">
      <alignment horizontal="justify" vertical="center" wrapText="1"/>
    </xf>
    <xf numFmtId="0" fontId="25" fillId="0" borderId="53" xfId="0" applyFont="1" applyBorder="1" applyAlignment="1">
      <alignment horizontal="justify" vertical="center" wrapText="1"/>
    </xf>
    <xf numFmtId="0" fontId="25" fillId="0" borderId="5" xfId="0" applyFont="1" applyBorder="1" applyAlignment="1">
      <alignment horizontal="left" vertical="center" wrapText="1"/>
    </xf>
    <xf numFmtId="0" fontId="25" fillId="0" borderId="50" xfId="0" applyFont="1" applyBorder="1" applyAlignment="1">
      <alignment horizontal="left" vertical="center" wrapText="1"/>
    </xf>
    <xf numFmtId="0" fontId="25" fillId="0" borderId="5" xfId="0" applyFont="1" applyBorder="1" applyAlignment="1">
      <alignment horizontal="left" vertical="center"/>
    </xf>
    <xf numFmtId="0" fontId="25" fillId="0" borderId="6" xfId="0" applyFont="1" applyBorder="1" applyAlignment="1">
      <alignment horizontal="left" vertical="center"/>
    </xf>
    <xf numFmtId="0" fontId="59" fillId="6" borderId="49" xfId="0" applyFont="1" applyFill="1" applyBorder="1" applyAlignment="1">
      <alignment horizontal="center" vertical="center"/>
    </xf>
    <xf numFmtId="0" fontId="59" fillId="6" borderId="13" xfId="0" applyFont="1" applyFill="1" applyBorder="1" applyAlignment="1">
      <alignment horizontal="center" vertical="center"/>
    </xf>
    <xf numFmtId="0" fontId="59" fillId="6" borderId="10" xfId="0" applyFont="1" applyFill="1" applyBorder="1" applyAlignment="1">
      <alignment horizontal="center" vertical="center" wrapText="1"/>
    </xf>
    <xf numFmtId="0" fontId="59" fillId="6" borderId="11" xfId="0" applyFont="1" applyFill="1" applyBorder="1" applyAlignment="1">
      <alignment horizontal="center" vertical="center" wrapText="1"/>
    </xf>
    <xf numFmtId="0" fontId="59" fillId="6" borderId="12" xfId="0" applyFont="1" applyFill="1" applyBorder="1" applyAlignment="1">
      <alignment horizontal="center" vertical="center" wrapText="1"/>
    </xf>
    <xf numFmtId="0" fontId="59" fillId="6" borderId="49" xfId="0" applyFont="1" applyFill="1" applyBorder="1" applyAlignment="1">
      <alignment horizontal="center" vertical="center" wrapText="1"/>
    </xf>
    <xf numFmtId="0" fontId="59" fillId="6" borderId="13" xfId="0" applyFont="1" applyFill="1" applyBorder="1" applyAlignment="1">
      <alignment horizontal="center" vertical="center" wrapText="1"/>
    </xf>
    <xf numFmtId="0" fontId="39" fillId="0" borderId="0" xfId="0" applyFont="1" applyAlignment="1">
      <alignment horizontal="center" vertical="center" wrapText="1"/>
    </xf>
    <xf numFmtId="0" fontId="2" fillId="0" borderId="5" xfId="0" applyFont="1" applyBorder="1" applyAlignment="1" applyProtection="1">
      <alignment horizontal="left" vertical="center"/>
      <protection locked="0"/>
    </xf>
    <xf numFmtId="0" fontId="2" fillId="0" borderId="14" xfId="0" applyFont="1" applyBorder="1" applyAlignment="1" applyProtection="1">
      <alignment horizontal="left" vertical="center"/>
      <protection locked="0"/>
    </xf>
    <xf numFmtId="0" fontId="21" fillId="0" borderId="10" xfId="0" applyFont="1" applyBorder="1" applyAlignment="1" applyProtection="1">
      <alignment horizontal="left" vertical="center"/>
      <protection locked="0"/>
    </xf>
    <xf numFmtId="0" fontId="21" fillId="0" borderId="20" xfId="0" applyFont="1" applyBorder="1" applyAlignment="1" applyProtection="1">
      <alignment horizontal="left" vertical="center"/>
      <protection locked="0"/>
    </xf>
    <xf numFmtId="0" fontId="21" fillId="0" borderId="1" xfId="0" applyFont="1" applyBorder="1" applyAlignment="1" applyProtection="1">
      <alignment horizontal="left" vertical="center"/>
      <protection locked="0"/>
    </xf>
    <xf numFmtId="0" fontId="21" fillId="0" borderId="26" xfId="0" applyFont="1" applyBorder="1" applyAlignment="1" applyProtection="1">
      <alignment horizontal="left" vertical="center"/>
      <protection locked="0"/>
    </xf>
    <xf numFmtId="0" fontId="6" fillId="0" borderId="10" xfId="0" applyFont="1" applyBorder="1" applyAlignment="1" applyProtection="1">
      <alignment horizontal="left" vertical="center"/>
      <protection locked="0"/>
    </xf>
    <xf numFmtId="0" fontId="6" fillId="0" borderId="20" xfId="0" applyFont="1" applyBorder="1" applyAlignment="1" applyProtection="1">
      <alignment horizontal="left" vertical="center"/>
      <protection locked="0"/>
    </xf>
    <xf numFmtId="0" fontId="33" fillId="2" borderId="31" xfId="0" applyFont="1" applyFill="1" applyBorder="1" applyAlignment="1" applyProtection="1">
      <alignment horizontal="center" vertical="center"/>
      <protection locked="0"/>
    </xf>
    <xf numFmtId="0" fontId="33" fillId="2" borderId="32" xfId="0" applyFont="1" applyFill="1" applyBorder="1" applyAlignment="1" applyProtection="1">
      <alignment horizontal="center" vertical="center"/>
      <protection locked="0"/>
    </xf>
    <xf numFmtId="0" fontId="33" fillId="2" borderId="33" xfId="0" applyFont="1" applyFill="1" applyBorder="1" applyAlignment="1" applyProtection="1">
      <alignment horizontal="center" vertical="center"/>
      <protection locked="0"/>
    </xf>
    <xf numFmtId="0" fontId="32" fillId="0" borderId="0" xfId="0" applyFont="1" applyAlignment="1" applyProtection="1">
      <alignment horizontal="center"/>
      <protection locked="0"/>
    </xf>
    <xf numFmtId="0" fontId="33" fillId="0" borderId="1" xfId="0" applyFont="1" applyBorder="1" applyAlignment="1" applyProtection="1">
      <alignment horizontal="center" vertical="center"/>
      <protection locked="0"/>
    </xf>
    <xf numFmtId="0" fontId="33" fillId="0" borderId="26" xfId="0" applyFont="1" applyBorder="1" applyAlignment="1" applyProtection="1">
      <alignment horizontal="center" vertical="center"/>
      <protection locked="0"/>
    </xf>
    <xf numFmtId="0" fontId="33" fillId="0" borderId="7" xfId="0" applyFont="1" applyBorder="1" applyAlignment="1" applyProtection="1">
      <alignment horizontal="center" vertical="center"/>
      <protection locked="0"/>
    </xf>
    <xf numFmtId="0" fontId="33" fillId="0" borderId="27" xfId="0" applyFont="1" applyBorder="1" applyAlignment="1" applyProtection="1">
      <alignment horizontal="center" vertical="center"/>
      <protection locked="0"/>
    </xf>
    <xf numFmtId="0" fontId="33" fillId="2" borderId="28" xfId="0" applyFont="1" applyFill="1" applyBorder="1" applyAlignment="1" applyProtection="1">
      <alignment horizontal="center" vertical="center"/>
      <protection locked="0"/>
    </xf>
    <xf numFmtId="0" fontId="33" fillId="2" borderId="29" xfId="0" applyFont="1" applyFill="1" applyBorder="1" applyAlignment="1" applyProtection="1">
      <alignment horizontal="center" vertical="center"/>
      <protection locked="0"/>
    </xf>
    <xf numFmtId="0" fontId="33" fillId="2" borderId="30" xfId="0" applyFont="1" applyFill="1" applyBorder="1" applyAlignment="1" applyProtection="1">
      <alignment horizontal="center" vertical="center"/>
      <protection locked="0"/>
    </xf>
    <xf numFmtId="0" fontId="33" fillId="0" borderId="15" xfId="0" applyFont="1" applyBorder="1" applyAlignment="1" applyProtection="1">
      <alignment horizontal="center" vertical="center"/>
      <protection locked="0"/>
    </xf>
    <xf numFmtId="0" fontId="33" fillId="0" borderId="16" xfId="0" applyFont="1" applyBorder="1" applyAlignment="1" applyProtection="1">
      <alignment horizontal="center" vertical="center"/>
      <protection locked="0"/>
    </xf>
    <xf numFmtId="0" fontId="33" fillId="0" borderId="22" xfId="0" applyFont="1" applyBorder="1" applyAlignment="1" applyProtection="1">
      <alignment horizontal="center" vertical="center"/>
      <protection locked="0"/>
    </xf>
    <xf numFmtId="0" fontId="33" fillId="0" borderId="18" xfId="0" applyFont="1" applyBorder="1" applyAlignment="1" applyProtection="1">
      <alignment horizontal="center" vertical="center"/>
      <protection locked="0"/>
    </xf>
    <xf numFmtId="0" fontId="32" fillId="0" borderId="0" xfId="0" applyFont="1" applyAlignment="1" applyProtection="1">
      <alignment horizontal="left"/>
      <protection locked="0"/>
    </xf>
    <xf numFmtId="0" fontId="10" fillId="0" borderId="0" xfId="0" applyFont="1" applyAlignment="1" applyProtection="1">
      <alignment horizontal="center" vertical="center" wrapText="1"/>
      <protection locked="0"/>
    </xf>
    <xf numFmtId="0" fontId="6" fillId="4" borderId="0" xfId="0" applyFont="1" applyFill="1" applyAlignment="1">
      <alignment horizontal="center" vertical="center" wrapText="1"/>
    </xf>
    <xf numFmtId="0" fontId="1" fillId="0" borderId="32" xfId="1" applyFont="1" applyBorder="1" applyAlignment="1">
      <alignment horizontal="left" vertical="center" wrapText="1"/>
    </xf>
    <xf numFmtId="0" fontId="1" fillId="0" borderId="36" xfId="1" applyFont="1" applyBorder="1" applyAlignment="1">
      <alignment horizontal="left" vertical="center" wrapText="1"/>
    </xf>
    <xf numFmtId="0" fontId="10" fillId="0" borderId="0" xfId="0" applyFont="1" applyAlignment="1">
      <alignment horizontal="center" vertical="center" wrapText="1"/>
    </xf>
    <xf numFmtId="0" fontId="32" fillId="0" borderId="0" xfId="0" applyFont="1" applyAlignment="1">
      <alignment horizontal="center"/>
    </xf>
    <xf numFmtId="0" fontId="33" fillId="0" borderId="1" xfId="0" applyFont="1" applyBorder="1" applyAlignment="1">
      <alignment horizontal="center" vertical="center"/>
    </xf>
    <xf numFmtId="0" fontId="33" fillId="0" borderId="2" xfId="0" applyFont="1" applyBorder="1" applyAlignment="1">
      <alignment horizontal="center" vertical="center"/>
    </xf>
    <xf numFmtId="0" fontId="121" fillId="0" borderId="0" xfId="0" applyFont="1" applyAlignment="1">
      <alignment horizontal="center" wrapText="1"/>
    </xf>
    <xf numFmtId="0" fontId="124" fillId="0" borderId="19" xfId="0" applyFont="1" applyBorder="1" applyAlignment="1">
      <alignment horizontal="left" vertical="center" wrapText="1"/>
    </xf>
    <xf numFmtId="0" fontId="123" fillId="0" borderId="19" xfId="0" applyFont="1" applyBorder="1" applyAlignment="1">
      <alignment horizontal="center" vertical="center" wrapText="1" readingOrder="1"/>
    </xf>
    <xf numFmtId="0" fontId="124" fillId="0" borderId="19" xfId="0" applyFont="1" applyBorder="1" applyAlignment="1">
      <alignment horizontal="left" vertical="center" wrapText="1" readingOrder="1"/>
    </xf>
    <xf numFmtId="0" fontId="124" fillId="0" borderId="19" xfId="0" applyFont="1" applyBorder="1" applyAlignment="1">
      <alignment horizontal="center" vertical="center" wrapText="1" readingOrder="1"/>
    </xf>
    <xf numFmtId="4" fontId="121" fillId="0" borderId="76" xfId="0" applyNumberFormat="1" applyFont="1" applyBorder="1" applyAlignment="1">
      <alignment horizontal="center" vertical="center"/>
    </xf>
    <xf numFmtId="4" fontId="121" fillId="0" borderId="77" xfId="0" applyNumberFormat="1" applyFont="1" applyBorder="1" applyAlignment="1">
      <alignment horizontal="center" vertical="center"/>
    </xf>
    <xf numFmtId="2" fontId="124" fillId="0" borderId="19" xfId="0" applyNumberFormat="1" applyFont="1" applyBorder="1" applyAlignment="1">
      <alignment horizontal="center" vertical="center" wrapText="1" readingOrder="1"/>
    </xf>
    <xf numFmtId="10" fontId="124" fillId="4" borderId="76" xfId="0" applyNumberFormat="1" applyFont="1" applyFill="1" applyBorder="1" applyAlignment="1">
      <alignment horizontal="center" vertical="center" wrapText="1" readingOrder="1"/>
    </xf>
    <xf numFmtId="10" fontId="124" fillId="4" borderId="77" xfId="0" applyNumberFormat="1" applyFont="1" applyFill="1" applyBorder="1" applyAlignment="1">
      <alignment horizontal="center" vertical="center" wrapText="1" readingOrder="1"/>
    </xf>
    <xf numFmtId="0" fontId="124" fillId="0" borderId="19" xfId="12" applyNumberFormat="1" applyFont="1" applyFill="1" applyBorder="1" applyAlignment="1">
      <alignment horizontal="center" vertical="center" wrapText="1" readingOrder="1"/>
    </xf>
    <xf numFmtId="0" fontId="121" fillId="0" borderId="19" xfId="0" applyFont="1" applyBorder="1" applyAlignment="1">
      <alignment horizontal="left" vertical="center" wrapText="1"/>
    </xf>
    <xf numFmtId="0" fontId="124" fillId="0" borderId="19" xfId="0" applyFont="1" applyBorder="1" applyAlignment="1">
      <alignment vertical="center" wrapText="1" readingOrder="1"/>
    </xf>
    <xf numFmtId="2" fontId="121" fillId="0" borderId="76" xfId="0" applyNumberFormat="1" applyFont="1" applyBorder="1" applyAlignment="1">
      <alignment horizontal="center" vertical="center"/>
    </xf>
    <xf numFmtId="2" fontId="121" fillId="0" borderId="77" xfId="0" applyNumberFormat="1" applyFont="1" applyBorder="1" applyAlignment="1">
      <alignment horizontal="center" vertical="center"/>
    </xf>
    <xf numFmtId="0" fontId="121" fillId="0" borderId="19" xfId="0" applyFont="1" applyBorder="1" applyAlignment="1">
      <alignment horizontal="left" vertical="center" wrapText="1" readingOrder="1"/>
    </xf>
    <xf numFmtId="0" fontId="116" fillId="4" borderId="19" xfId="0" applyFont="1" applyFill="1" applyBorder="1" applyAlignment="1">
      <alignment horizontal="center" vertical="center" wrapText="1" readingOrder="1"/>
    </xf>
    <xf numFmtId="0" fontId="123" fillId="4" borderId="19" xfId="0" applyFont="1" applyFill="1" applyBorder="1" applyAlignment="1">
      <alignment horizontal="center" vertical="center" wrapText="1" readingOrder="1"/>
    </xf>
    <xf numFmtId="0" fontId="124" fillId="4" borderId="19" xfId="0" applyFont="1" applyFill="1" applyBorder="1" applyAlignment="1">
      <alignment horizontal="left" vertical="center" wrapText="1" readingOrder="1"/>
    </xf>
    <xf numFmtId="0" fontId="124" fillId="4" borderId="19" xfId="0" applyFont="1" applyFill="1" applyBorder="1" applyAlignment="1">
      <alignment horizontal="center" vertical="center" wrapText="1" readingOrder="1"/>
    </xf>
    <xf numFmtId="0" fontId="124" fillId="4" borderId="19" xfId="0" applyFont="1" applyFill="1" applyBorder="1" applyAlignment="1">
      <alignment horizontal="left" vertical="center" wrapText="1"/>
    </xf>
    <xf numFmtId="0" fontId="117" fillId="4" borderId="19" xfId="0" applyFont="1" applyFill="1" applyBorder="1" applyAlignment="1">
      <alignment horizontal="center" vertical="top" wrapText="1"/>
    </xf>
    <xf numFmtId="0" fontId="116" fillId="2" borderId="59" xfId="0" applyFont="1" applyFill="1" applyBorder="1" applyAlignment="1">
      <alignment horizontal="center" vertical="center" wrapText="1" readingOrder="1"/>
    </xf>
    <xf numFmtId="0" fontId="116" fillId="2" borderId="32" xfId="0" applyFont="1" applyFill="1" applyBorder="1" applyAlignment="1">
      <alignment horizontal="center" vertical="center" wrapText="1" readingOrder="1"/>
    </xf>
    <xf numFmtId="0" fontId="116" fillId="2" borderId="36" xfId="0" applyFont="1" applyFill="1" applyBorder="1" applyAlignment="1">
      <alignment horizontal="center" vertical="center" wrapText="1" readingOrder="1"/>
    </xf>
    <xf numFmtId="0" fontId="116" fillId="2" borderId="76" xfId="0" applyFont="1" applyFill="1" applyBorder="1" applyAlignment="1">
      <alignment horizontal="center" vertical="center" wrapText="1" readingOrder="1"/>
    </xf>
    <xf numFmtId="0" fontId="116" fillId="2" borderId="77" xfId="0" applyFont="1" applyFill="1" applyBorder="1" applyAlignment="1">
      <alignment horizontal="center" vertical="center" wrapText="1" readingOrder="1"/>
    </xf>
    <xf numFmtId="10" fontId="116" fillId="0" borderId="19" xfId="0" applyNumberFormat="1" applyFont="1" applyBorder="1" applyAlignment="1">
      <alignment horizontal="center" vertical="center" wrapText="1" readingOrder="1"/>
    </xf>
    <xf numFmtId="0" fontId="116" fillId="4" borderId="19" xfId="0" applyFont="1" applyFill="1" applyBorder="1" applyAlignment="1">
      <alignment horizontal="left" vertical="center" wrapText="1"/>
    </xf>
    <xf numFmtId="0" fontId="117" fillId="4" borderId="59" xfId="0" applyFont="1" applyFill="1" applyBorder="1" applyAlignment="1">
      <alignment horizontal="left" vertical="center" wrapText="1"/>
    </xf>
    <xf numFmtId="0" fontId="117" fillId="4" borderId="32" xfId="0" applyFont="1" applyFill="1" applyBorder="1" applyAlignment="1">
      <alignment horizontal="left" vertical="center" wrapText="1"/>
    </xf>
    <xf numFmtId="0" fontId="117" fillId="4" borderId="19" xfId="0" applyFont="1" applyFill="1" applyBorder="1" applyAlignment="1">
      <alignment horizontal="left" vertical="center" wrapText="1"/>
    </xf>
    <xf numFmtId="0" fontId="117" fillId="4" borderId="19" xfId="0" applyFont="1" applyFill="1" applyBorder="1" applyAlignment="1">
      <alignment horizontal="left" vertical="center"/>
    </xf>
    <xf numFmtId="0" fontId="91" fillId="0" borderId="19" xfId="0" applyFont="1" applyBorder="1" applyAlignment="1">
      <alignment horizontal="justify" vertical="center"/>
    </xf>
    <xf numFmtId="0" fontId="86" fillId="0" borderId="62" xfId="0" applyFont="1" applyBorder="1" applyAlignment="1">
      <alignment horizontal="left" vertical="center" wrapText="1"/>
    </xf>
    <xf numFmtId="0" fontId="90" fillId="0" borderId="49" xfId="0" applyFont="1" applyBorder="1" applyAlignment="1">
      <alignment horizontal="center" vertical="center"/>
    </xf>
    <xf numFmtId="0" fontId="90" fillId="0" borderId="4" xfId="0" applyFont="1" applyBorder="1" applyAlignment="1">
      <alignment horizontal="center" vertical="center"/>
    </xf>
    <xf numFmtId="0" fontId="72" fillId="0" borderId="0" xfId="0" applyFont="1" applyAlignment="1" applyProtection="1">
      <alignment horizontal="justify" vertical="distributed" wrapText="1"/>
      <protection locked="0"/>
    </xf>
    <xf numFmtId="0" fontId="72" fillId="0" borderId="0" xfId="0" applyFont="1" applyAlignment="1" applyProtection="1">
      <alignment horizontal="justify" vertical="top" wrapText="1"/>
      <protection locked="0"/>
    </xf>
    <xf numFmtId="0" fontId="33" fillId="2" borderId="1" xfId="0" applyFont="1" applyFill="1" applyBorder="1" applyAlignment="1" applyProtection="1">
      <alignment horizontal="center" vertical="center"/>
      <protection locked="0"/>
    </xf>
    <xf numFmtId="0" fontId="33" fillId="2" borderId="26" xfId="0" applyFont="1" applyFill="1" applyBorder="1" applyAlignment="1" applyProtection="1">
      <alignment horizontal="center" vertical="center"/>
      <protection locked="0"/>
    </xf>
    <xf numFmtId="0" fontId="33" fillId="2" borderId="7" xfId="0" applyFont="1" applyFill="1" applyBorder="1" applyAlignment="1" applyProtection="1">
      <alignment horizontal="center" vertical="center"/>
      <protection locked="0"/>
    </xf>
    <xf numFmtId="0" fontId="33" fillId="2" borderId="27" xfId="0" applyFont="1" applyFill="1" applyBorder="1" applyAlignment="1" applyProtection="1">
      <alignment horizontal="center" vertical="center"/>
      <protection locked="0"/>
    </xf>
    <xf numFmtId="0" fontId="33" fillId="2" borderId="15" xfId="0" applyFont="1" applyFill="1" applyBorder="1" applyAlignment="1" applyProtection="1">
      <alignment horizontal="center" vertical="center" wrapText="1"/>
      <protection locked="0"/>
    </xf>
    <xf numFmtId="0" fontId="33" fillId="2" borderId="16" xfId="0" applyFont="1" applyFill="1" applyBorder="1" applyAlignment="1" applyProtection="1">
      <alignment horizontal="center" vertical="center" wrapText="1"/>
      <protection locked="0"/>
    </xf>
    <xf numFmtId="0" fontId="33" fillId="2" borderId="22" xfId="0" applyFont="1" applyFill="1" applyBorder="1" applyAlignment="1" applyProtection="1">
      <alignment horizontal="center" vertical="center"/>
      <protection locked="0"/>
    </xf>
    <xf numFmtId="0" fontId="33" fillId="2" borderId="18" xfId="0" applyFont="1" applyFill="1" applyBorder="1" applyAlignment="1" applyProtection="1">
      <alignment horizontal="center" vertical="center"/>
      <protection locked="0"/>
    </xf>
    <xf numFmtId="0" fontId="32" fillId="0" borderId="0" xfId="0" applyFont="1" applyAlignment="1" applyProtection="1">
      <alignment horizontal="center" vertical="center"/>
      <protection locked="0"/>
    </xf>
    <xf numFmtId="0" fontId="35" fillId="0" borderId="0" xfId="0" applyFont="1" applyAlignment="1">
      <alignment horizontal="center" vertical="top"/>
    </xf>
    <xf numFmtId="0" fontId="60" fillId="0" borderId="5" xfId="0" applyFont="1" applyBorder="1" applyAlignment="1">
      <alignment vertical="center"/>
    </xf>
    <xf numFmtId="0" fontId="59" fillId="0" borderId="5" xfId="0" applyFont="1" applyBorder="1" applyAlignment="1">
      <alignment vertical="center"/>
    </xf>
    <xf numFmtId="0" fontId="59" fillId="6" borderId="1" xfId="0" applyFont="1" applyFill="1" applyBorder="1" applyAlignment="1">
      <alignment vertical="center"/>
    </xf>
    <xf numFmtId="0" fontId="59" fillId="6" borderId="3" xfId="0" applyFont="1" applyFill="1" applyBorder="1" applyAlignment="1">
      <alignment vertical="center"/>
    </xf>
    <xf numFmtId="0" fontId="59" fillId="6" borderId="7" xfId="0" applyFont="1" applyFill="1" applyBorder="1" applyAlignment="1">
      <alignment vertical="center"/>
    </xf>
    <xf numFmtId="0" fontId="59" fillId="6" borderId="9" xfId="0" applyFont="1" applyFill="1" applyBorder="1" applyAlignment="1">
      <alignment vertical="center"/>
    </xf>
    <xf numFmtId="0" fontId="59" fillId="6" borderId="49" xfId="0" applyFont="1" applyFill="1" applyBorder="1" applyAlignment="1">
      <alignment horizontal="center" vertical="justify"/>
    </xf>
    <xf numFmtId="0" fontId="59" fillId="6" borderId="13" xfId="0" applyFont="1" applyFill="1" applyBorder="1" applyAlignment="1">
      <alignment horizontal="center" vertical="justify"/>
    </xf>
    <xf numFmtId="0" fontId="59" fillId="0" borderId="5" xfId="0" applyFont="1" applyBorder="1" applyAlignment="1">
      <alignment vertical="center" wrapText="1"/>
    </xf>
    <xf numFmtId="0" fontId="58" fillId="4" borderId="0" xfId="0" applyFont="1" applyFill="1" applyAlignment="1">
      <alignment horizontal="center" vertical="center" wrapText="1"/>
    </xf>
    <xf numFmtId="0" fontId="60" fillId="0" borderId="5" xfId="0" applyFont="1" applyBorder="1" applyAlignment="1">
      <alignment vertical="center" wrapText="1"/>
    </xf>
    <xf numFmtId="0" fontId="60" fillId="0" borderId="11" xfId="0" applyFont="1" applyBorder="1" applyAlignment="1">
      <alignment vertical="center"/>
    </xf>
    <xf numFmtId="0" fontId="59" fillId="6" borderId="10" xfId="0" applyFont="1" applyFill="1" applyBorder="1" applyAlignment="1">
      <alignment vertical="center"/>
    </xf>
    <xf numFmtId="0" fontId="59" fillId="6" borderId="12" xfId="0" applyFont="1" applyFill="1" applyBorder="1" applyAlignment="1">
      <alignment vertical="center"/>
    </xf>
    <xf numFmtId="0" fontId="59" fillId="0" borderId="7" xfId="0" applyFont="1" applyBorder="1" applyAlignment="1">
      <alignment vertical="center"/>
    </xf>
    <xf numFmtId="0" fontId="59" fillId="0" borderId="6" xfId="0" applyFont="1" applyBorder="1" applyAlignment="1">
      <alignment vertical="center"/>
    </xf>
    <xf numFmtId="0" fontId="59" fillId="0" borderId="9" xfId="0" applyFont="1" applyBorder="1" applyAlignment="1">
      <alignment vertical="center"/>
    </xf>
    <xf numFmtId="41" fontId="59" fillId="0" borderId="4" xfId="0" applyNumberFormat="1" applyFont="1" applyBorder="1" applyAlignment="1">
      <alignment horizontal="right" vertical="center"/>
    </xf>
    <xf numFmtId="41" fontId="59" fillId="0" borderId="13" xfId="0" applyNumberFormat="1" applyFont="1" applyBorder="1" applyAlignment="1">
      <alignment horizontal="right" vertical="center"/>
    </xf>
    <xf numFmtId="0" fontId="60" fillId="0" borderId="1" xfId="0" applyFont="1" applyBorder="1" applyAlignment="1">
      <alignment vertical="center"/>
    </xf>
    <xf numFmtId="0" fontId="60" fillId="0" borderId="3" xfId="0" applyFont="1" applyBorder="1" applyAlignment="1">
      <alignment vertical="center"/>
    </xf>
    <xf numFmtId="0" fontId="60" fillId="0" borderId="6" xfId="0" applyFont="1" applyBorder="1" applyAlignment="1">
      <alignment horizontal="left" vertical="center" indent="1"/>
    </xf>
    <xf numFmtId="41" fontId="60" fillId="0" borderId="4" xfId="0" applyNumberFormat="1" applyFont="1" applyBorder="1" applyAlignment="1">
      <alignment horizontal="right" vertical="center"/>
    </xf>
    <xf numFmtId="0" fontId="33" fillId="2" borderId="31" xfId="0" applyFont="1" applyFill="1" applyBorder="1" applyAlignment="1">
      <alignment horizontal="center" vertical="center"/>
    </xf>
    <xf numFmtId="0" fontId="33" fillId="0" borderId="32" xfId="0" applyFont="1" applyBorder="1" applyAlignment="1">
      <alignment horizontal="center" vertical="center"/>
    </xf>
    <xf numFmtId="0" fontId="33" fillId="2" borderId="32" xfId="0" applyFont="1" applyFill="1" applyBorder="1" applyAlignment="1">
      <alignment horizontal="center" vertical="center"/>
    </xf>
    <xf numFmtId="0" fontId="33" fillId="2" borderId="33" xfId="0" applyFont="1" applyFill="1" applyBorder="1" applyAlignment="1">
      <alignment horizontal="center" vertical="center"/>
    </xf>
    <xf numFmtId="0" fontId="35" fillId="0" borderId="34" xfId="0" applyFont="1" applyBorder="1" applyAlignment="1">
      <alignment horizontal="center" vertical="center"/>
    </xf>
    <xf numFmtId="0" fontId="35" fillId="0" borderId="35" xfId="0" applyFont="1" applyBorder="1" applyAlignment="1">
      <alignment horizontal="center" vertical="center"/>
    </xf>
    <xf numFmtId="0" fontId="35" fillId="0" borderId="1" xfId="0" applyFont="1" applyBorder="1" applyAlignment="1">
      <alignment horizontal="center" vertical="center"/>
    </xf>
    <xf numFmtId="0" fontId="35" fillId="0" borderId="26" xfId="0" applyFont="1" applyBorder="1" applyAlignment="1">
      <alignment horizontal="center" vertical="center"/>
    </xf>
    <xf numFmtId="0" fontId="35" fillId="0" borderId="7" xfId="0" applyFont="1" applyBorder="1" applyAlignment="1">
      <alignment horizontal="center" vertical="center"/>
    </xf>
    <xf numFmtId="0" fontId="35" fillId="0" borderId="27" xfId="0" applyFont="1" applyBorder="1" applyAlignment="1">
      <alignment horizontal="center" vertical="center"/>
    </xf>
    <xf numFmtId="0" fontId="33" fillId="2" borderId="56" xfId="0" applyFont="1" applyFill="1" applyBorder="1" applyAlignment="1">
      <alignment horizontal="center" vertical="center"/>
    </xf>
    <xf numFmtId="0" fontId="33" fillId="0" borderId="67" xfId="0" applyFont="1" applyBorder="1" applyAlignment="1">
      <alignment horizontal="right" vertical="center"/>
    </xf>
    <xf numFmtId="0" fontId="33" fillId="0" borderId="68" xfId="0" applyFont="1" applyBorder="1" applyAlignment="1">
      <alignment horizontal="right" vertical="center"/>
    </xf>
    <xf numFmtId="0" fontId="33" fillId="0" borderId="69" xfId="0" applyFont="1" applyBorder="1" applyAlignment="1">
      <alignment horizontal="right" vertical="center"/>
    </xf>
    <xf numFmtId="0" fontId="35" fillId="0" borderId="56" xfId="0" applyFont="1" applyBorder="1" applyAlignment="1">
      <alignment horizontal="center" vertical="center"/>
    </xf>
    <xf numFmtId="0" fontId="6" fillId="0" borderId="0" xfId="0" applyFont="1" applyAlignment="1">
      <alignment horizontal="center"/>
    </xf>
    <xf numFmtId="0" fontId="33" fillId="0" borderId="29" xfId="0" applyFont="1" applyBorder="1" applyAlignment="1" applyProtection="1">
      <alignment horizontal="center" vertical="center"/>
      <protection locked="0"/>
    </xf>
    <xf numFmtId="0" fontId="33" fillId="2" borderId="35" xfId="0" applyFont="1" applyFill="1" applyBorder="1" applyAlignment="1" applyProtection="1">
      <alignment horizontal="center" vertical="center"/>
      <protection locked="0"/>
    </xf>
    <xf numFmtId="0" fontId="111" fillId="11" borderId="28" xfId="0" applyFont="1" applyFill="1" applyBorder="1" applyAlignment="1">
      <alignment horizontal="center" vertical="center"/>
    </xf>
    <xf numFmtId="0" fontId="111" fillId="11" borderId="29" xfId="0" applyFont="1" applyFill="1" applyBorder="1" applyAlignment="1">
      <alignment horizontal="center" vertical="center"/>
    </xf>
    <xf numFmtId="0" fontId="111" fillId="11" borderId="35" xfId="0" applyFont="1" applyFill="1" applyBorder="1" applyAlignment="1">
      <alignment horizontal="center" vertical="center"/>
    </xf>
    <xf numFmtId="0" fontId="111" fillId="11" borderId="28" xfId="0" applyFont="1" applyFill="1" applyBorder="1" applyAlignment="1">
      <alignment horizontal="center" vertical="center" wrapText="1"/>
    </xf>
    <xf numFmtId="0" fontId="111" fillId="11" borderId="35" xfId="0" applyFont="1" applyFill="1" applyBorder="1" applyAlignment="1">
      <alignment horizontal="center" vertical="center" wrapText="1"/>
    </xf>
    <xf numFmtId="0" fontId="133" fillId="23" borderId="84" xfId="0" applyFont="1" applyFill="1" applyBorder="1" applyAlignment="1">
      <alignment horizontal="left" vertical="top" wrapText="1"/>
    </xf>
    <xf numFmtId="0" fontId="134" fillId="0" borderId="84" xfId="0" applyFont="1" applyBorder="1" applyAlignment="1">
      <alignment vertical="top"/>
    </xf>
    <xf numFmtId="0" fontId="135" fillId="3" borderId="84" xfId="0" applyFont="1" applyFill="1" applyBorder="1" applyAlignment="1">
      <alignment horizontal="left" vertical="top" wrapText="1"/>
    </xf>
    <xf numFmtId="0" fontId="135" fillId="0" borderId="84" xfId="0" applyFont="1" applyBorder="1" applyAlignment="1">
      <alignment horizontal="left" vertical="top" wrapText="1"/>
    </xf>
    <xf numFmtId="0" fontId="0" fillId="0" borderId="0" xfId="0" applyAlignment="1">
      <alignment horizontal="center" wrapText="1"/>
    </xf>
    <xf numFmtId="0" fontId="0" fillId="0" borderId="0" xfId="0" applyAlignment="1">
      <alignment horizontal="center"/>
    </xf>
    <xf numFmtId="0" fontId="128" fillId="3" borderId="84" xfId="0" applyFont="1" applyFill="1" applyBorder="1" applyAlignment="1">
      <alignment horizontal="right" vertical="top" wrapText="1"/>
    </xf>
    <xf numFmtId="0" fontId="130" fillId="3" borderId="87" xfId="0" applyFont="1" applyFill="1" applyBorder="1" applyAlignment="1">
      <alignment vertical="top" wrapText="1"/>
    </xf>
    <xf numFmtId="0" fontId="130" fillId="3" borderId="32" xfId="0" applyFont="1" applyFill="1" applyBorder="1" applyAlignment="1">
      <alignment vertical="top" wrapText="1"/>
    </xf>
    <xf numFmtId="0" fontId="130" fillId="3" borderId="62" xfId="0" applyFont="1" applyFill="1" applyBorder="1" applyAlignment="1">
      <alignment vertical="top" wrapText="1"/>
    </xf>
    <xf numFmtId="1" fontId="131" fillId="0" borderId="88" xfId="0" applyNumberFormat="1" applyFont="1" applyBorder="1" applyAlignment="1">
      <alignment horizontal="center" vertical="top"/>
    </xf>
    <xf numFmtId="1" fontId="131" fillId="0" borderId="90" xfId="0" applyNumberFormat="1" applyFont="1" applyBorder="1" applyAlignment="1">
      <alignment horizontal="center" vertical="top"/>
    </xf>
    <xf numFmtId="1" fontId="131" fillId="0" borderId="92" xfId="0" applyNumberFormat="1" applyFont="1" applyBorder="1" applyAlignment="1">
      <alignment horizontal="center" vertical="top"/>
    </xf>
    <xf numFmtId="9" fontId="131" fillId="0" borderId="88" xfId="0" applyNumberFormat="1" applyFont="1" applyBorder="1" applyAlignment="1">
      <alignment horizontal="center" vertical="top"/>
    </xf>
    <xf numFmtId="9" fontId="131" fillId="0" borderId="90" xfId="0" applyNumberFormat="1" applyFont="1" applyBorder="1" applyAlignment="1">
      <alignment horizontal="center" vertical="top"/>
    </xf>
    <xf numFmtId="9" fontId="131" fillId="0" borderId="92" xfId="0" applyNumberFormat="1" applyFont="1" applyBorder="1" applyAlignment="1">
      <alignment horizontal="center" vertical="top"/>
    </xf>
    <xf numFmtId="0" fontId="128" fillId="6" borderId="92" xfId="0" applyFont="1" applyFill="1" applyBorder="1" applyAlignment="1">
      <alignment horizontal="left" vertical="top" wrapText="1"/>
    </xf>
    <xf numFmtId="0" fontId="128" fillId="19" borderId="88" xfId="0" applyFont="1" applyFill="1" applyBorder="1" applyAlignment="1">
      <alignment vertical="top" wrapText="1"/>
    </xf>
    <xf numFmtId="0" fontId="128" fillId="19" borderId="84" xfId="0" applyFont="1" applyFill="1" applyBorder="1" applyAlignment="1">
      <alignment vertical="top" wrapText="1"/>
    </xf>
    <xf numFmtId="0" fontId="128" fillId="6" borderId="84" xfId="0" applyFont="1" applyFill="1" applyBorder="1" applyAlignment="1">
      <alignment horizontal="left" vertical="top" wrapText="1"/>
    </xf>
    <xf numFmtId="0" fontId="128" fillId="3" borderId="88" xfId="0" applyFont="1" applyFill="1" applyBorder="1" applyAlignment="1">
      <alignment horizontal="right" vertical="top" wrapText="1"/>
    </xf>
    <xf numFmtId="0" fontId="133" fillId="23" borderId="84" xfId="0" applyFont="1" applyFill="1" applyBorder="1" applyAlignment="1">
      <alignment vertical="top" wrapText="1"/>
    </xf>
    <xf numFmtId="0" fontId="128" fillId="19" borderId="92" xfId="0" applyFont="1" applyFill="1" applyBorder="1" applyAlignment="1">
      <alignment vertical="top" wrapText="1"/>
    </xf>
    <xf numFmtId="0" fontId="133" fillId="3" borderId="84" xfId="0" applyFont="1" applyFill="1" applyBorder="1" applyAlignment="1">
      <alignment horizontal="left" vertical="top" wrapText="1"/>
    </xf>
    <xf numFmtId="10" fontId="131" fillId="0" borderId="88" xfId="0" applyNumberFormat="1" applyFont="1" applyBorder="1" applyAlignment="1">
      <alignment horizontal="center" vertical="top"/>
    </xf>
    <xf numFmtId="10" fontId="131" fillId="0" borderId="90" xfId="0" applyNumberFormat="1" applyFont="1" applyBorder="1" applyAlignment="1">
      <alignment horizontal="center" vertical="top"/>
    </xf>
    <xf numFmtId="2" fontId="131" fillId="0" borderId="88" xfId="0" applyNumberFormat="1" applyFont="1" applyBorder="1" applyAlignment="1">
      <alignment horizontal="center" vertical="top"/>
    </xf>
    <xf numFmtId="2" fontId="131" fillId="0" borderId="90" xfId="0" applyNumberFormat="1" applyFont="1" applyBorder="1" applyAlignment="1">
      <alignment horizontal="center" vertical="top"/>
    </xf>
    <xf numFmtId="0" fontId="130" fillId="3" borderId="86" xfId="0" applyFont="1" applyFill="1" applyBorder="1" applyAlignment="1">
      <alignment vertical="top" wrapText="1"/>
    </xf>
    <xf numFmtId="0" fontId="130" fillId="3" borderId="0" xfId="0" applyFont="1" applyFill="1" applyAlignment="1">
      <alignment vertical="top" wrapText="1"/>
    </xf>
    <xf numFmtId="0" fontId="130" fillId="3" borderId="80" xfId="0" applyFont="1" applyFill="1" applyBorder="1" applyAlignment="1">
      <alignment vertical="top" wrapText="1"/>
    </xf>
    <xf numFmtId="0" fontId="130" fillId="3" borderId="94" xfId="0" applyFont="1" applyFill="1" applyBorder="1" applyAlignment="1">
      <alignment vertical="top" wrapText="1"/>
    </xf>
    <xf numFmtId="2" fontId="131" fillId="0" borderId="84" xfId="0" applyNumberFormat="1" applyFont="1" applyBorder="1" applyAlignment="1">
      <alignment horizontal="center" vertical="top"/>
    </xf>
    <xf numFmtId="9" fontId="131" fillId="0" borderId="84" xfId="0" applyNumberFormat="1" applyFont="1" applyBorder="1" applyAlignment="1">
      <alignment horizontal="center" vertical="top"/>
    </xf>
    <xf numFmtId="0" fontId="133" fillId="23" borderId="84" xfId="0" applyFont="1" applyFill="1" applyBorder="1" applyAlignment="1">
      <alignment horizontal="justify" vertical="top" wrapText="1"/>
    </xf>
    <xf numFmtId="0" fontId="134" fillId="0" borderId="84" xfId="0" applyFont="1" applyBorder="1" applyAlignment="1">
      <alignment horizontal="justify" vertical="top"/>
    </xf>
    <xf numFmtId="0" fontId="128" fillId="3" borderId="92" xfId="0" applyFont="1" applyFill="1" applyBorder="1" applyAlignment="1">
      <alignment horizontal="right" vertical="top" wrapText="1"/>
    </xf>
    <xf numFmtId="0" fontId="130" fillId="3" borderId="102" xfId="0" applyFont="1" applyFill="1" applyBorder="1" applyAlignment="1">
      <alignment vertical="top" wrapText="1"/>
    </xf>
    <xf numFmtId="2" fontId="131" fillId="0" borderId="92" xfId="0" applyNumberFormat="1" applyFont="1" applyBorder="1" applyAlignment="1">
      <alignment horizontal="center" vertical="top"/>
    </xf>
    <xf numFmtId="0" fontId="132" fillId="0" borderId="93" xfId="0" applyFont="1" applyBorder="1" applyAlignment="1">
      <alignment horizontal="left" vertical="top" wrapText="1"/>
    </xf>
    <xf numFmtId="0" fontId="132" fillId="0" borderId="86" xfId="0" applyFont="1" applyBorder="1" applyAlignment="1">
      <alignment horizontal="left" vertical="top" wrapText="1"/>
    </xf>
    <xf numFmtId="0" fontId="132" fillId="0" borderId="94" xfId="0" applyFont="1" applyBorder="1" applyAlignment="1">
      <alignment horizontal="left" vertical="top" wrapText="1"/>
    </xf>
    <xf numFmtId="0" fontId="133" fillId="0" borderId="95" xfId="0" applyFont="1" applyBorder="1" applyAlignment="1">
      <alignment horizontal="left" vertical="top" wrapText="1"/>
    </xf>
    <xf numFmtId="0" fontId="133" fillId="0" borderId="79" xfId="0" applyFont="1" applyBorder="1" applyAlignment="1">
      <alignment horizontal="left" vertical="top" wrapText="1"/>
    </xf>
    <xf numFmtId="0" fontId="133" fillId="0" borderId="80" xfId="0" applyFont="1" applyBorder="1" applyAlignment="1">
      <alignment horizontal="left" vertical="top" wrapText="1"/>
    </xf>
    <xf numFmtId="0" fontId="130" fillId="3" borderId="100" xfId="0" applyFont="1" applyFill="1" applyBorder="1" applyAlignment="1">
      <alignment vertical="top" wrapText="1"/>
    </xf>
    <xf numFmtId="0" fontId="130" fillId="3" borderId="98" xfId="0" applyFont="1" applyFill="1" applyBorder="1" applyAlignment="1">
      <alignment vertical="top" wrapText="1"/>
    </xf>
    <xf numFmtId="0" fontId="130" fillId="3" borderId="101" xfId="0" applyFont="1" applyFill="1" applyBorder="1" applyAlignment="1">
      <alignment vertical="top" wrapText="1"/>
    </xf>
    <xf numFmtId="0" fontId="128" fillId="6" borderId="78" xfId="0" applyFont="1" applyFill="1" applyBorder="1" applyAlignment="1">
      <alignment horizontal="left" vertical="top" wrapText="1"/>
    </xf>
    <xf numFmtId="0" fontId="128" fillId="6" borderId="79" xfId="0" applyFont="1" applyFill="1" applyBorder="1" applyAlignment="1">
      <alignment horizontal="left" vertical="top" wrapText="1"/>
    </xf>
    <xf numFmtId="0" fontId="128" fillId="6" borderId="80" xfId="0" applyFont="1" applyFill="1" applyBorder="1" applyAlignment="1">
      <alignment horizontal="left" vertical="top" wrapText="1"/>
    </xf>
    <xf numFmtId="0" fontId="128" fillId="19" borderId="78" xfId="0" applyFont="1" applyFill="1" applyBorder="1" applyAlignment="1">
      <alignment vertical="top" wrapText="1"/>
    </xf>
    <xf numFmtId="0" fontId="128" fillId="19" borderId="79" xfId="0" applyFont="1" applyFill="1" applyBorder="1" applyAlignment="1">
      <alignment vertical="top" wrapText="1"/>
    </xf>
    <xf numFmtId="0" fontId="128" fillId="19" borderId="80" xfId="0" applyFont="1" applyFill="1" applyBorder="1" applyAlignment="1">
      <alignment vertical="top" wrapText="1"/>
    </xf>
    <xf numFmtId="0" fontId="128" fillId="3" borderId="85" xfId="0" applyFont="1" applyFill="1" applyBorder="1" applyAlignment="1">
      <alignment horizontal="center" vertical="top" wrapText="1"/>
    </xf>
    <xf numFmtId="0" fontId="128" fillId="3" borderId="89" xfId="0" applyFont="1" applyFill="1" applyBorder="1" applyAlignment="1">
      <alignment horizontal="center" vertical="top" wrapText="1"/>
    </xf>
    <xf numFmtId="0" fontId="128" fillId="3" borderId="91" xfId="0" applyFont="1" applyFill="1" applyBorder="1" applyAlignment="1">
      <alignment horizontal="center" vertical="top" wrapText="1"/>
    </xf>
    <xf numFmtId="0" fontId="125" fillId="18" borderId="78" xfId="0" applyFont="1" applyFill="1" applyBorder="1" applyAlignment="1">
      <alignment horizontal="center" vertical="center" wrapText="1"/>
    </xf>
    <xf numFmtId="0" fontId="125" fillId="18" borderId="79" xfId="0" applyFont="1" applyFill="1" applyBorder="1" applyAlignment="1">
      <alignment horizontal="center" vertical="center" wrapText="1"/>
    </xf>
    <xf numFmtId="0" fontId="125" fillId="18" borderId="80" xfId="0" applyFont="1" applyFill="1" applyBorder="1" applyAlignment="1">
      <alignment horizontal="center" vertical="center" wrapText="1"/>
    </xf>
    <xf numFmtId="0" fontId="126" fillId="0" borderId="81" xfId="0" applyFont="1" applyBorder="1" applyAlignment="1">
      <alignment horizontal="left" vertical="center" wrapText="1"/>
    </xf>
    <xf numFmtId="0" fontId="126" fillId="0" borderId="82" xfId="0" applyFont="1" applyBorder="1" applyAlignment="1">
      <alignment horizontal="left" vertical="center" wrapText="1"/>
    </xf>
    <xf numFmtId="0" fontId="126" fillId="0" borderId="83" xfId="0" applyFont="1" applyBorder="1" applyAlignment="1">
      <alignment horizontal="left" vertical="center" wrapText="1"/>
    </xf>
    <xf numFmtId="0" fontId="126" fillId="4" borderId="19" xfId="0" applyFont="1" applyFill="1" applyBorder="1" applyAlignment="1">
      <alignment horizontal="left" vertical="center" wrapText="1"/>
    </xf>
    <xf numFmtId="0" fontId="127" fillId="4" borderId="19" xfId="0" applyFont="1" applyFill="1" applyBorder="1" applyAlignment="1">
      <alignment horizontal="left" vertical="center" wrapText="1"/>
    </xf>
    <xf numFmtId="0" fontId="126" fillId="0" borderId="81" xfId="0" applyFont="1" applyBorder="1" applyAlignment="1">
      <alignment horizontal="left" vertical="center"/>
    </xf>
    <xf numFmtId="0" fontId="126" fillId="0" borderId="82" xfId="0" applyFont="1" applyBorder="1" applyAlignment="1">
      <alignment horizontal="left" vertical="center"/>
    </xf>
    <xf numFmtId="0" fontId="126" fillId="0" borderId="83" xfId="0" applyFont="1" applyBorder="1" applyAlignment="1">
      <alignment horizontal="left" vertical="center"/>
    </xf>
    <xf numFmtId="0" fontId="57" fillId="6" borderId="49" xfId="0" applyFont="1" applyFill="1" applyBorder="1" applyAlignment="1">
      <alignment horizontal="center" vertical="center" wrapText="1"/>
    </xf>
    <xf numFmtId="0" fontId="57" fillId="6" borderId="4" xfId="0" applyFont="1" applyFill="1" applyBorder="1" applyAlignment="1">
      <alignment horizontal="center" vertical="center" wrapText="1"/>
    </xf>
    <xf numFmtId="0" fontId="57" fillId="6" borderId="13" xfId="0" applyFont="1" applyFill="1" applyBorder="1" applyAlignment="1">
      <alignment horizontal="center" vertical="center" wrapText="1"/>
    </xf>
    <xf numFmtId="0" fontId="57" fillId="6" borderId="10" xfId="0" applyFont="1" applyFill="1" applyBorder="1" applyAlignment="1">
      <alignment horizontal="center" vertical="center" wrapText="1"/>
    </xf>
    <xf numFmtId="0" fontId="57" fillId="6" borderId="65" xfId="0" applyFont="1" applyFill="1" applyBorder="1" applyAlignment="1">
      <alignment horizontal="center" vertical="center" wrapText="1"/>
    </xf>
    <xf numFmtId="0" fontId="57" fillId="6" borderId="66" xfId="0" applyFont="1" applyFill="1" applyBorder="1" applyAlignment="1">
      <alignment horizontal="center" vertical="center" wrapText="1"/>
    </xf>
    <xf numFmtId="0" fontId="100" fillId="0" borderId="8" xfId="0" applyFont="1" applyBorder="1" applyAlignment="1">
      <alignment horizontal="center" vertical="center"/>
    </xf>
    <xf numFmtId="0" fontId="57" fillId="6" borderId="1" xfId="0" applyFont="1" applyFill="1" applyBorder="1" applyAlignment="1">
      <alignment horizontal="center" vertical="center"/>
    </xf>
    <xf numFmtId="0" fontId="57" fillId="6" borderId="2" xfId="0" applyFont="1" applyFill="1" applyBorder="1" applyAlignment="1">
      <alignment horizontal="center" vertical="center"/>
    </xf>
    <xf numFmtId="0" fontId="57" fillId="6" borderId="3" xfId="0" applyFont="1" applyFill="1" applyBorder="1" applyAlignment="1">
      <alignment horizontal="center" vertical="center"/>
    </xf>
    <xf numFmtId="0" fontId="57" fillId="6" borderId="5" xfId="0" applyFont="1" applyFill="1" applyBorder="1" applyAlignment="1">
      <alignment horizontal="center" vertical="center"/>
    </xf>
    <xf numFmtId="0" fontId="57" fillId="6" borderId="0" xfId="0" applyFont="1" applyFill="1" applyAlignment="1">
      <alignment horizontal="center" vertical="center"/>
    </xf>
    <xf numFmtId="0" fontId="57" fillId="6" borderId="6" xfId="0" applyFont="1" applyFill="1" applyBorder="1" applyAlignment="1">
      <alignment horizontal="center" vertical="center"/>
    </xf>
    <xf numFmtId="0" fontId="57" fillId="6" borderId="7" xfId="0" applyFont="1" applyFill="1" applyBorder="1" applyAlignment="1">
      <alignment horizontal="center" vertical="center"/>
    </xf>
    <xf numFmtId="0" fontId="57" fillId="6" borderId="8" xfId="0" applyFont="1" applyFill="1" applyBorder="1" applyAlignment="1">
      <alignment horizontal="center" vertical="center"/>
    </xf>
    <xf numFmtId="0" fontId="57" fillId="6" borderId="9" xfId="0" applyFont="1" applyFill="1" applyBorder="1" applyAlignment="1">
      <alignment horizontal="center" vertical="center"/>
    </xf>
    <xf numFmtId="0" fontId="57" fillId="10" borderId="11" xfId="0" applyFont="1" applyFill="1" applyBorder="1" applyAlignment="1">
      <alignment vertical="center" wrapText="1"/>
    </xf>
    <xf numFmtId="0" fontId="57" fillId="6" borderId="1" xfId="0" applyFont="1" applyFill="1" applyBorder="1" applyAlignment="1">
      <alignment vertical="center" wrapText="1"/>
    </xf>
    <xf numFmtId="0" fontId="57" fillId="6" borderId="2" xfId="0" applyFont="1" applyFill="1" applyBorder="1" applyAlignment="1">
      <alignment vertical="center" wrapText="1"/>
    </xf>
    <xf numFmtId="0" fontId="57" fillId="6" borderId="3" xfId="0" applyFont="1" applyFill="1" applyBorder="1" applyAlignment="1">
      <alignment vertical="center" wrapText="1"/>
    </xf>
    <xf numFmtId="0" fontId="57" fillId="6" borderId="5" xfId="0" applyFont="1" applyFill="1" applyBorder="1" applyAlignment="1">
      <alignment vertical="center" wrapText="1"/>
    </xf>
    <xf numFmtId="0" fontId="57" fillId="6" borderId="0" xfId="0" applyFont="1" applyFill="1" applyAlignment="1">
      <alignment vertical="center" wrapText="1"/>
    </xf>
    <xf numFmtId="0" fontId="57" fillId="6" borderId="6" xfId="0" applyFont="1" applyFill="1" applyBorder="1" applyAlignment="1">
      <alignment vertical="center" wrapText="1"/>
    </xf>
    <xf numFmtId="0" fontId="57" fillId="6" borderId="7" xfId="0" applyFont="1" applyFill="1" applyBorder="1" applyAlignment="1">
      <alignment vertical="center" wrapText="1"/>
    </xf>
    <xf numFmtId="0" fontId="57" fillId="6" borderId="8" xfId="0" applyFont="1" applyFill="1" applyBorder="1" applyAlignment="1">
      <alignment vertical="center" wrapText="1"/>
    </xf>
    <xf numFmtId="0" fontId="57" fillId="6" borderId="9" xfId="0" applyFont="1" applyFill="1" applyBorder="1" applyAlignment="1">
      <alignment vertical="center" wrapText="1"/>
    </xf>
    <xf numFmtId="0" fontId="57" fillId="6" borderId="10" xfId="0" applyFont="1" applyFill="1" applyBorder="1" applyAlignment="1">
      <alignment horizontal="center" vertical="center"/>
    </xf>
    <xf numFmtId="0" fontId="57" fillId="6" borderId="11" xfId="0" applyFont="1" applyFill="1" applyBorder="1" applyAlignment="1">
      <alignment horizontal="center" vertical="center"/>
    </xf>
    <xf numFmtId="0" fontId="57" fillId="6" borderId="65" xfId="0" applyFont="1" applyFill="1" applyBorder="1" applyAlignment="1">
      <alignment horizontal="center" vertical="center"/>
    </xf>
    <xf numFmtId="0" fontId="57" fillId="6" borderId="66" xfId="0" applyFont="1" applyFill="1" applyBorder="1" applyAlignment="1">
      <alignment horizontal="center" vertical="center"/>
    </xf>
    <xf numFmtId="0" fontId="57" fillId="6" borderId="3" xfId="0" applyFont="1" applyFill="1" applyBorder="1" applyAlignment="1">
      <alignment horizontal="center" vertical="center" wrapText="1"/>
    </xf>
    <xf numFmtId="0" fontId="57" fillId="6" borderId="6" xfId="0" applyFont="1" applyFill="1" applyBorder="1" applyAlignment="1">
      <alignment horizontal="center" vertical="center" wrapText="1"/>
    </xf>
    <xf numFmtId="0" fontId="57" fillId="6" borderId="9" xfId="0" applyFont="1" applyFill="1" applyBorder="1" applyAlignment="1">
      <alignment horizontal="center" vertical="center" wrapText="1"/>
    </xf>
    <xf numFmtId="0" fontId="57" fillId="9" borderId="10" xfId="0" applyFont="1" applyFill="1" applyBorder="1" applyAlignment="1">
      <alignment vertical="center" wrapText="1"/>
    </xf>
    <xf numFmtId="0" fontId="57" fillId="9" borderId="11" xfId="0" applyFont="1" applyFill="1" applyBorder="1" applyAlignment="1">
      <alignment vertical="center" wrapText="1"/>
    </xf>
    <xf numFmtId="0" fontId="57" fillId="6" borderId="10" xfId="0" applyFont="1" applyFill="1" applyBorder="1" applyAlignment="1">
      <alignment vertical="center" wrapText="1"/>
    </xf>
    <xf numFmtId="0" fontId="57" fillId="6" borderId="11" xfId="0" applyFont="1" applyFill="1" applyBorder="1" applyAlignment="1">
      <alignment vertical="center" wrapText="1"/>
    </xf>
    <xf numFmtId="0" fontId="57" fillId="0" borderId="11" xfId="0" applyFont="1" applyBorder="1" applyAlignment="1">
      <alignment vertical="center" wrapText="1"/>
    </xf>
    <xf numFmtId="0" fontId="57" fillId="0" borderId="65" xfId="0" applyFont="1" applyBorder="1" applyAlignment="1">
      <alignment vertical="center" wrapText="1"/>
    </xf>
    <xf numFmtId="0" fontId="57" fillId="9" borderId="12" xfId="0" applyFont="1" applyFill="1" applyBorder="1" applyAlignment="1">
      <alignment vertical="center" wrapText="1"/>
    </xf>
    <xf numFmtId="0" fontId="66" fillId="6" borderId="10" xfId="0" applyFont="1" applyFill="1" applyBorder="1" applyAlignment="1">
      <alignment vertical="center" wrapText="1"/>
    </xf>
    <xf numFmtId="0" fontId="66" fillId="6" borderId="11" xfId="0" applyFont="1" applyFill="1" applyBorder="1" applyAlignment="1">
      <alignment vertical="center" wrapText="1"/>
    </xf>
    <xf numFmtId="0" fontId="66" fillId="6" borderId="12" xfId="0" applyFont="1" applyFill="1" applyBorder="1" applyAlignment="1">
      <alignment vertical="center" wrapText="1"/>
    </xf>
  </cellXfs>
  <cellStyles count="20">
    <cellStyle name="20% - Accent6" xfId="10" xr:uid="{00000000-0005-0000-0000-000000000000}"/>
    <cellStyle name="Euro" xfId="2" xr:uid="{00000000-0005-0000-0000-000001000000}"/>
    <cellStyle name="Euro 2" xfId="3" xr:uid="{00000000-0005-0000-0000-000002000000}"/>
    <cellStyle name="Euro 3" xfId="4" xr:uid="{00000000-0005-0000-0000-000003000000}"/>
    <cellStyle name="Hipervínculo 2" xfId="14" xr:uid="{00000000-0005-0000-0000-000004000000}"/>
    <cellStyle name="Millares" xfId="12" builtinId="3"/>
    <cellStyle name="Millares 3" xfId="9" xr:uid="{00000000-0005-0000-0000-000006000000}"/>
    <cellStyle name="Millares 3 3" xfId="17" xr:uid="{333A41B0-4D23-4262-AB82-C3B5C725B81B}"/>
    <cellStyle name="Moneda" xfId="8" builtinId="4"/>
    <cellStyle name="Moneda 3 2" xfId="18" xr:uid="{5850F93B-A1DB-4D94-B84B-E50CC2E09FAE}"/>
    <cellStyle name="Normal" xfId="0" builtinId="0"/>
    <cellStyle name="Normal 2" xfId="1" xr:uid="{00000000-0005-0000-0000-000009000000}"/>
    <cellStyle name="Normal 2 2" xfId="15" xr:uid="{82396758-5A34-4C24-8C38-9961D787B1AE}"/>
    <cellStyle name="Normal 2 2 2" xfId="16" xr:uid="{706C59A8-4B22-4103-B348-1C35DE60DF1D}"/>
    <cellStyle name="Normal 3" xfId="7" xr:uid="{00000000-0005-0000-0000-00000A000000}"/>
    <cellStyle name="Normal 3 2" xfId="13" xr:uid="{00000000-0005-0000-0000-00000B000000}"/>
    <cellStyle name="Normal 4 2" xfId="19" xr:uid="{8E334EC7-390D-495C-A650-B210CC590E95}"/>
    <cellStyle name="Normal 4 8" xfId="11" xr:uid="{00000000-0005-0000-0000-00000C000000}"/>
    <cellStyle name="Porcentaje" xfId="6" builtinId="5"/>
    <cellStyle name="Porcentual 2" xfId="5" xr:uid="{00000000-0005-0000-0000-00000E000000}"/>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4.xml"/><Relationship Id="rId50" Type="http://schemas.openxmlformats.org/officeDocument/2006/relationships/externalLink" Target="externalLinks/externalLink7.xml"/><Relationship Id="rId55" Type="http://schemas.openxmlformats.org/officeDocument/2006/relationships/externalLink" Target="externalLinks/externalLink1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3" Type="http://schemas.openxmlformats.org/officeDocument/2006/relationships/externalLink" Target="externalLinks/externalLink10.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5.xml"/><Relationship Id="rId56" Type="http://schemas.openxmlformats.org/officeDocument/2006/relationships/externalLink" Target="externalLinks/externalLink13.xml"/><Relationship Id="rId8" Type="http://schemas.openxmlformats.org/officeDocument/2006/relationships/worksheet" Target="worksheets/sheet8.xml"/><Relationship Id="rId51" Type="http://schemas.openxmlformats.org/officeDocument/2006/relationships/externalLink" Target="externalLinks/externalLink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6.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xml"/><Relationship Id="rId52" Type="http://schemas.openxmlformats.org/officeDocument/2006/relationships/externalLink" Target="externalLinks/externalLink9.xml"/><Relationship Id="rId60" Type="http://schemas.openxmlformats.org/officeDocument/2006/relationships/calcChain" Target="calcChain.xml"/></Relationships>
</file>

<file path=xl/drawings/_rels/drawing36.xml.rels><?xml version="1.0" encoding="UTF-8" standalone="yes"?>
<Relationships xmlns="http://schemas.openxmlformats.org/package/2006/relationships"><Relationship Id="rId1" Type="http://schemas.openxmlformats.org/officeDocument/2006/relationships/image" Target="../media/image3.png"/></Relationships>
</file>

<file path=xl/drawings/_rels/drawing38.x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6</xdr:col>
      <xdr:colOff>104776</xdr:colOff>
      <xdr:row>0</xdr:row>
      <xdr:rowOff>38099</xdr:rowOff>
    </xdr:from>
    <xdr:ext cx="857249" cy="314325"/>
    <xdr:sp macro="" textlink="">
      <xdr:nvSpPr>
        <xdr:cNvPr id="2" name="3 CuadroTexto">
          <a:extLst>
            <a:ext uri="{FF2B5EF4-FFF2-40B4-BE49-F238E27FC236}">
              <a16:creationId xmlns:a16="http://schemas.microsoft.com/office/drawing/2014/main" id="{00000000-0008-0000-0100-000002000000}"/>
            </a:ext>
          </a:extLst>
        </xdr:cNvPr>
        <xdr:cNvSpPr txBox="1"/>
      </xdr:nvSpPr>
      <xdr:spPr>
        <a:xfrm>
          <a:off x="9915526" y="38099"/>
          <a:ext cx="857249" cy="31432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noAutofit/>
        </a:bodyPr>
        <a:lstStyle/>
        <a:p>
          <a:pPr algn="l"/>
          <a:endParaRPr lang="es-MX" sz="1100" b="1">
            <a:latin typeface="Arial" pitchFamily="34" charset="0"/>
            <a:cs typeface="Arial" pitchFamily="34" charset="0"/>
          </a:endParaRPr>
        </a:p>
      </xdr:txBody>
    </xdr:sp>
    <xdr:clientData/>
  </xdr:oneCellAnchor>
  <xdr:oneCellAnchor>
    <xdr:from>
      <xdr:col>3</xdr:col>
      <xdr:colOff>1666875</xdr:colOff>
      <xdr:row>2</xdr:row>
      <xdr:rowOff>47626</xdr:rowOff>
    </xdr:from>
    <xdr:ext cx="3524250" cy="342900"/>
    <xdr:sp macro="" textlink="">
      <xdr:nvSpPr>
        <xdr:cNvPr id="7" name="6 CuadroTexto">
          <a:extLst>
            <a:ext uri="{FF2B5EF4-FFF2-40B4-BE49-F238E27FC236}">
              <a16:creationId xmlns:a16="http://schemas.microsoft.com/office/drawing/2014/main" id="{00000000-0008-0000-0100-000007000000}"/>
            </a:ext>
          </a:extLst>
        </xdr:cNvPr>
        <xdr:cNvSpPr txBox="1"/>
      </xdr:nvSpPr>
      <xdr:spPr>
        <a:xfrm>
          <a:off x="7191375" y="466726"/>
          <a:ext cx="3524250" cy="342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lang="es-MX" sz="1100" b="1">
              <a:latin typeface="Arial" pitchFamily="34" charset="0"/>
              <a:cs typeface="Arial" pitchFamily="34" charset="0"/>
            </a:rPr>
            <a:t>CUENTA</a:t>
          </a:r>
          <a:r>
            <a:rPr lang="es-MX" sz="1100" b="1" baseline="0">
              <a:latin typeface="Arial" pitchFamily="34" charset="0"/>
              <a:cs typeface="Arial" pitchFamily="34" charset="0"/>
            </a:rPr>
            <a:t> PÚBLICA 2023</a:t>
          </a:r>
          <a:endParaRPr lang="es-MX" sz="1100" b="1">
            <a:latin typeface="Arial" pitchFamily="34" charset="0"/>
            <a:cs typeface="Arial" pitchFamily="34" charset="0"/>
          </a:endParaRPr>
        </a:p>
      </xdr:txBody>
    </xdr:sp>
    <xdr:clientData/>
  </xdr:oneCellAnchor>
  <xdr:twoCellAnchor>
    <xdr:from>
      <xdr:col>3</xdr:col>
      <xdr:colOff>805543</xdr:colOff>
      <xdr:row>53</xdr:row>
      <xdr:rowOff>66675</xdr:rowOff>
    </xdr:from>
    <xdr:to>
      <xdr:col>5</xdr:col>
      <xdr:colOff>285750</xdr:colOff>
      <xdr:row>58</xdr:row>
      <xdr:rowOff>10886</xdr:rowOff>
    </xdr:to>
    <xdr:sp macro="" textlink="">
      <xdr:nvSpPr>
        <xdr:cNvPr id="3" name="4 CuadroTexto">
          <a:extLst>
            <a:ext uri="{FF2B5EF4-FFF2-40B4-BE49-F238E27FC236}">
              <a16:creationId xmlns:a16="http://schemas.microsoft.com/office/drawing/2014/main" id="{CA0CA291-9697-4553-B874-8460193354F9}"/>
            </a:ext>
          </a:extLst>
        </xdr:cNvPr>
        <xdr:cNvSpPr txBox="1"/>
      </xdr:nvSpPr>
      <xdr:spPr>
        <a:xfrm>
          <a:off x="6330043" y="12763500"/>
          <a:ext cx="2747282" cy="991961"/>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900" b="0" i="0" u="none" strike="noStrike" kern="0" cap="none" spc="0" normalizeH="0" baseline="0" noProof="0">
              <a:ln>
                <a:noFill/>
              </a:ln>
              <a:solidFill>
                <a:sysClr val="window" lastClr="FFFFFF"/>
              </a:solidFill>
              <a:effectLst/>
              <a:uLnTx/>
              <a:uFillTx/>
              <a:latin typeface="Calibri" panose="020F0502020204030204"/>
              <a:ea typeface="+mn-ea"/>
              <a:cs typeface="+mn-cs"/>
            </a:rPr>
            <a:t>====================================================================   </a:t>
          </a: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900" b="1" i="0" u="sng" strike="noStrike" kern="0" cap="none" spc="0" normalizeH="0" baseline="0" noProof="0">
              <a:ln>
                <a:noFill/>
              </a:ln>
              <a:solidFill>
                <a:sysClr val="windowText" lastClr="000000"/>
              </a:solidFill>
              <a:effectLst/>
              <a:uLnTx/>
              <a:uFillTx/>
              <a:latin typeface="Calibri" panose="020F0502020204030204"/>
              <a:ea typeface="+mn-ea"/>
              <a:cs typeface="+mn-cs"/>
            </a:rPr>
            <a:t>C.P. REBECA I. LAGUNA FIGUEROA</a:t>
          </a: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900" b="1" i="0" u="none" strike="noStrike" kern="0" cap="none" spc="0" normalizeH="0" baseline="0" noProof="0">
              <a:ln>
                <a:noFill/>
              </a:ln>
              <a:solidFill>
                <a:sysClr val="windowText" lastClr="000000"/>
              </a:solidFill>
              <a:effectLst/>
              <a:uLnTx/>
              <a:uFillTx/>
              <a:latin typeface="Calibri" panose="020F0502020204030204"/>
              <a:ea typeface="+mn-ea"/>
              <a:cs typeface="+mn-cs"/>
            </a:rPr>
            <a:t>DIRECTORA GENERAL DE ADMINISTRACION Y FINANZAS </a:t>
          </a:r>
        </a:p>
      </xdr:txBody>
    </xdr:sp>
    <xdr:clientData/>
  </xdr:twoCellAnchor>
  <xdr:oneCellAnchor>
    <xdr:from>
      <xdr:col>0</xdr:col>
      <xdr:colOff>962025</xdr:colOff>
      <xdr:row>53</xdr:row>
      <xdr:rowOff>151038</xdr:rowOff>
    </xdr:from>
    <xdr:ext cx="2823483" cy="877661"/>
    <xdr:sp macro="" textlink="">
      <xdr:nvSpPr>
        <xdr:cNvPr id="5" name="CuadroTexto 5">
          <a:extLst>
            <a:ext uri="{FF2B5EF4-FFF2-40B4-BE49-F238E27FC236}">
              <a16:creationId xmlns:a16="http://schemas.microsoft.com/office/drawing/2014/main" id="{118EA1D1-A393-4ADA-B3FF-4316432E7CBE}"/>
            </a:ext>
          </a:extLst>
        </xdr:cNvPr>
        <xdr:cNvSpPr txBox="1"/>
      </xdr:nvSpPr>
      <xdr:spPr>
        <a:xfrm>
          <a:off x="962025" y="12847863"/>
          <a:ext cx="2823483" cy="877661"/>
        </a:xfrm>
        <a:prstGeom prst="rect">
          <a:avLst/>
        </a:prstGeom>
        <a:noFill/>
        <a:ln>
          <a:noFill/>
        </a:ln>
        <a:effectLst/>
      </xdr:spPr>
      <xdr:txBody>
        <a:bodyPr vertOverflow="clip" horzOverflow="clip" wrap="non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a:ln>
              <a:noFill/>
            </a:ln>
            <a:solidFill>
              <a:prstClr val="black"/>
            </a:solidFill>
            <a:effectLst/>
            <a:uLnTx/>
            <a:uFillTx/>
            <a:latin typeface="Calibri" panose="020F0502020204030204"/>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1" i="0" u="sng" strike="noStrike" kern="0" cap="none" spc="0" normalizeH="0" baseline="0" noProof="0">
              <a:ln>
                <a:noFill/>
              </a:ln>
              <a:solidFill>
                <a:prstClr val="black"/>
              </a:solidFill>
              <a:effectLst/>
              <a:uLnTx/>
              <a:uFillTx/>
              <a:latin typeface="Calibri" panose="020F0502020204030204"/>
              <a:ea typeface="+mn-ea"/>
              <a:cs typeface="+mn-cs"/>
            </a:rPr>
            <a:t>LIC. ISMAEL NORZAGARAY MICHEL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prstClr val="black"/>
              </a:solidFill>
              <a:effectLst/>
              <a:uLnTx/>
              <a:uFillTx/>
              <a:latin typeface="Calibri" panose="020F0502020204030204"/>
              <a:ea typeface="+mn-ea"/>
              <a:cs typeface="+mn-cs"/>
            </a:rPr>
            <a:t>DIRECTOR ADMINISTRATIVO </a:t>
          </a:r>
          <a:endParaRPr kumimoji="0" lang="es-ES" sz="1000" b="0" i="0" u="none" strike="noStrike" kern="0" cap="none" spc="0" normalizeH="0" baseline="0" noProof="0">
            <a:ln>
              <a:noFill/>
            </a:ln>
            <a:solidFill>
              <a:prstClr val="black"/>
            </a:solidFill>
            <a:effectLst/>
            <a:uLnTx/>
            <a:uFillTx/>
            <a:latin typeface="Calibri" panose="020F0502020204030204"/>
            <a:ea typeface="+mn-ea"/>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523875</xdr:colOff>
      <xdr:row>0</xdr:row>
      <xdr:rowOff>12143</xdr:rowOff>
    </xdr:from>
    <xdr:ext cx="1325551" cy="254557"/>
    <xdr:sp macro="" textlink="">
      <xdr:nvSpPr>
        <xdr:cNvPr id="5" name="3 CuadroTexto">
          <a:extLst>
            <a:ext uri="{FF2B5EF4-FFF2-40B4-BE49-F238E27FC236}">
              <a16:creationId xmlns:a16="http://schemas.microsoft.com/office/drawing/2014/main" id="{00000000-0008-0000-0200-000005000000}"/>
            </a:ext>
          </a:extLst>
        </xdr:cNvPr>
        <xdr:cNvSpPr txBox="1"/>
      </xdr:nvSpPr>
      <xdr:spPr>
        <a:xfrm>
          <a:off x="7848600" y="12143"/>
          <a:ext cx="1325551"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endParaRPr lang="es-MX" sz="1100" b="1">
            <a:latin typeface="Arial" pitchFamily="34" charset="0"/>
            <a:cs typeface="Arial" pitchFamily="34" charset="0"/>
          </a:endParaRPr>
        </a:p>
      </xdr:txBody>
    </xdr:sp>
    <xdr:clientData/>
  </xdr:oneCellAnchor>
  <xdr:oneCellAnchor>
    <xdr:from>
      <xdr:col>4</xdr:col>
      <xdr:colOff>1047750</xdr:colOff>
      <xdr:row>1</xdr:row>
      <xdr:rowOff>95250</xdr:rowOff>
    </xdr:from>
    <xdr:ext cx="3524250" cy="342900"/>
    <xdr:sp macro="" textlink="">
      <xdr:nvSpPr>
        <xdr:cNvPr id="6" name="5 CuadroTexto">
          <a:extLst>
            <a:ext uri="{FF2B5EF4-FFF2-40B4-BE49-F238E27FC236}">
              <a16:creationId xmlns:a16="http://schemas.microsoft.com/office/drawing/2014/main" id="{00000000-0008-0000-0200-000006000000}"/>
            </a:ext>
          </a:extLst>
        </xdr:cNvPr>
        <xdr:cNvSpPr txBox="1"/>
      </xdr:nvSpPr>
      <xdr:spPr>
        <a:xfrm>
          <a:off x="5767917" y="296333"/>
          <a:ext cx="3524250" cy="342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lang="es-MX" sz="1100" b="1">
              <a:latin typeface="Arial" pitchFamily="34" charset="0"/>
              <a:cs typeface="Arial" pitchFamily="34" charset="0"/>
            </a:rPr>
            <a:t>CUENTA PÚBLICA 2023</a:t>
          </a:r>
        </a:p>
      </xdr:txBody>
    </xdr:sp>
    <xdr:clientData/>
  </xdr:oneCellAnchor>
  <xdr:twoCellAnchor>
    <xdr:from>
      <xdr:col>4</xdr:col>
      <xdr:colOff>1327301</xdr:colOff>
      <xdr:row>71</xdr:row>
      <xdr:rowOff>137583</xdr:rowOff>
    </xdr:from>
    <xdr:to>
      <xdr:col>6</xdr:col>
      <xdr:colOff>190500</xdr:colOff>
      <xdr:row>76</xdr:row>
      <xdr:rowOff>124127</xdr:rowOff>
    </xdr:to>
    <xdr:sp macro="" textlink="">
      <xdr:nvSpPr>
        <xdr:cNvPr id="2" name="4 CuadroTexto">
          <a:extLst>
            <a:ext uri="{FF2B5EF4-FFF2-40B4-BE49-F238E27FC236}">
              <a16:creationId xmlns:a16="http://schemas.microsoft.com/office/drawing/2014/main" id="{C2160794-7BBD-4E55-A88F-46C9F1A868E4}"/>
            </a:ext>
          </a:extLst>
        </xdr:cNvPr>
        <xdr:cNvSpPr txBox="1"/>
      </xdr:nvSpPr>
      <xdr:spPr>
        <a:xfrm>
          <a:off x="6491968" y="15980833"/>
          <a:ext cx="2747282" cy="991961"/>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900" b="0" i="0" u="none" strike="noStrike" kern="0" cap="none" spc="0" normalizeH="0" baseline="0" noProof="0">
              <a:ln>
                <a:noFill/>
              </a:ln>
              <a:solidFill>
                <a:sysClr val="window" lastClr="FFFFFF"/>
              </a:solidFill>
              <a:effectLst/>
              <a:uLnTx/>
              <a:uFillTx/>
              <a:latin typeface="Calibri" panose="020F0502020204030204"/>
              <a:ea typeface="+mn-ea"/>
              <a:cs typeface="+mn-cs"/>
            </a:rPr>
            <a:t>====================================================================   </a:t>
          </a: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900" b="1" i="0" u="sng" strike="noStrike" kern="0" cap="none" spc="0" normalizeH="0" baseline="0" noProof="0">
              <a:ln>
                <a:noFill/>
              </a:ln>
              <a:solidFill>
                <a:sysClr val="windowText" lastClr="000000"/>
              </a:solidFill>
              <a:effectLst/>
              <a:uLnTx/>
              <a:uFillTx/>
              <a:latin typeface="Calibri" panose="020F0502020204030204"/>
              <a:ea typeface="+mn-ea"/>
              <a:cs typeface="+mn-cs"/>
            </a:rPr>
            <a:t>C.P. REBECA I. LAGUNA FIGUEROA</a:t>
          </a: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900" b="1" i="0" u="none" strike="noStrike" kern="0" cap="none" spc="0" normalizeH="0" baseline="0" noProof="0">
              <a:ln>
                <a:noFill/>
              </a:ln>
              <a:solidFill>
                <a:sysClr val="windowText" lastClr="000000"/>
              </a:solidFill>
              <a:effectLst/>
              <a:uLnTx/>
              <a:uFillTx/>
              <a:latin typeface="Calibri" panose="020F0502020204030204"/>
              <a:ea typeface="+mn-ea"/>
              <a:cs typeface="+mn-cs"/>
            </a:rPr>
            <a:t>DIRECTORA GENERAL DE ADMINISTRACION Y FINANZAS </a:t>
          </a:r>
        </a:p>
      </xdr:txBody>
    </xdr:sp>
    <xdr:clientData/>
  </xdr:twoCellAnchor>
  <xdr:oneCellAnchor>
    <xdr:from>
      <xdr:col>0</xdr:col>
      <xdr:colOff>793750</xdr:colOff>
      <xdr:row>72</xdr:row>
      <xdr:rowOff>9221</xdr:rowOff>
    </xdr:from>
    <xdr:ext cx="2823483" cy="877661"/>
    <xdr:sp macro="" textlink="">
      <xdr:nvSpPr>
        <xdr:cNvPr id="3" name="CuadroTexto 5">
          <a:extLst>
            <a:ext uri="{FF2B5EF4-FFF2-40B4-BE49-F238E27FC236}">
              <a16:creationId xmlns:a16="http://schemas.microsoft.com/office/drawing/2014/main" id="{50B924BE-D7BE-4838-AD45-463ACE317FBA}"/>
            </a:ext>
          </a:extLst>
        </xdr:cNvPr>
        <xdr:cNvSpPr txBox="1"/>
      </xdr:nvSpPr>
      <xdr:spPr>
        <a:xfrm>
          <a:off x="793750" y="16095888"/>
          <a:ext cx="2823483" cy="877661"/>
        </a:xfrm>
        <a:prstGeom prst="rect">
          <a:avLst/>
        </a:prstGeom>
        <a:noFill/>
        <a:ln>
          <a:noFill/>
        </a:ln>
        <a:effectLst/>
      </xdr:spPr>
      <xdr:txBody>
        <a:bodyPr vertOverflow="clip" horzOverflow="clip" wrap="non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a:ln>
              <a:noFill/>
            </a:ln>
            <a:solidFill>
              <a:prstClr val="black"/>
            </a:solidFill>
            <a:effectLst/>
            <a:uLnTx/>
            <a:uFillTx/>
            <a:latin typeface="Calibri" panose="020F0502020204030204"/>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1" i="0" u="sng" strike="noStrike" kern="0" cap="none" spc="0" normalizeH="0" baseline="0" noProof="0">
              <a:ln>
                <a:noFill/>
              </a:ln>
              <a:solidFill>
                <a:prstClr val="black"/>
              </a:solidFill>
              <a:effectLst/>
              <a:uLnTx/>
              <a:uFillTx/>
              <a:latin typeface="Calibri" panose="020F0502020204030204"/>
              <a:ea typeface="+mn-ea"/>
              <a:cs typeface="+mn-cs"/>
            </a:rPr>
            <a:t>LIC. ISMAEL NORZAGARAY MICHEL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prstClr val="black"/>
              </a:solidFill>
              <a:effectLst/>
              <a:uLnTx/>
              <a:uFillTx/>
              <a:latin typeface="Calibri" panose="020F0502020204030204"/>
              <a:ea typeface="+mn-ea"/>
              <a:cs typeface="+mn-cs"/>
            </a:rPr>
            <a:t>DIRECTOR ADMINISTRATIVO </a:t>
          </a:r>
          <a:endParaRPr kumimoji="0" lang="es-ES" sz="1000" b="0" i="0" u="none" strike="noStrike" kern="0" cap="none" spc="0" normalizeH="0" baseline="0" noProof="0">
            <a:ln>
              <a:noFill/>
            </a:ln>
            <a:solidFill>
              <a:prstClr val="black"/>
            </a:solidFill>
            <a:effectLst/>
            <a:uLnTx/>
            <a:uFillTx/>
            <a:latin typeface="Calibri" panose="020F0502020204030204"/>
            <a:ea typeface="+mn-ea"/>
            <a:cs typeface="+mn-cs"/>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200025</xdr:colOff>
      <xdr:row>2</xdr:row>
      <xdr:rowOff>142875</xdr:rowOff>
    </xdr:from>
    <xdr:ext cx="184731" cy="264560"/>
    <xdr:sp macro="" textlink="">
      <xdr:nvSpPr>
        <xdr:cNvPr id="2" name="1 CuadroTexto">
          <a:extLst>
            <a:ext uri="{FF2B5EF4-FFF2-40B4-BE49-F238E27FC236}">
              <a16:creationId xmlns:a16="http://schemas.microsoft.com/office/drawing/2014/main" id="{00000000-0008-0000-0300-000002000000}"/>
            </a:ext>
          </a:extLst>
        </xdr:cNvPr>
        <xdr:cNvSpPr txBox="1"/>
      </xdr:nvSpPr>
      <xdr:spPr>
        <a:xfrm>
          <a:off x="7086600" y="73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2</xdr:col>
      <xdr:colOff>200025</xdr:colOff>
      <xdr:row>2</xdr:row>
      <xdr:rowOff>142875</xdr:rowOff>
    </xdr:from>
    <xdr:ext cx="184731" cy="264560"/>
    <xdr:sp macro="" textlink="">
      <xdr:nvSpPr>
        <xdr:cNvPr id="5" name="1 CuadroTexto">
          <a:extLst>
            <a:ext uri="{FF2B5EF4-FFF2-40B4-BE49-F238E27FC236}">
              <a16:creationId xmlns:a16="http://schemas.microsoft.com/office/drawing/2014/main" id="{00000000-0008-0000-0300-000005000000}"/>
            </a:ext>
          </a:extLst>
        </xdr:cNvPr>
        <xdr:cNvSpPr txBox="1"/>
      </xdr:nvSpPr>
      <xdr:spPr>
        <a:xfrm>
          <a:off x="7086600" y="80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2</xdr:col>
      <xdr:colOff>200025</xdr:colOff>
      <xdr:row>2</xdr:row>
      <xdr:rowOff>142875</xdr:rowOff>
    </xdr:from>
    <xdr:ext cx="184731" cy="264560"/>
    <xdr:sp macro="" textlink="">
      <xdr:nvSpPr>
        <xdr:cNvPr id="7" name="1 CuadroTexto">
          <a:extLst>
            <a:ext uri="{FF2B5EF4-FFF2-40B4-BE49-F238E27FC236}">
              <a16:creationId xmlns:a16="http://schemas.microsoft.com/office/drawing/2014/main" id="{00000000-0008-0000-0300-000007000000}"/>
            </a:ext>
          </a:extLst>
        </xdr:cNvPr>
        <xdr:cNvSpPr txBox="1"/>
      </xdr:nvSpPr>
      <xdr:spPr>
        <a:xfrm>
          <a:off x="7086600" y="80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3</xdr:col>
      <xdr:colOff>919444</xdr:colOff>
      <xdr:row>0</xdr:row>
      <xdr:rowOff>63500</xdr:rowOff>
    </xdr:from>
    <xdr:ext cx="184730" cy="254557"/>
    <xdr:sp macro="" textlink="">
      <xdr:nvSpPr>
        <xdr:cNvPr id="8" name="3 CuadroTexto">
          <a:extLst>
            <a:ext uri="{FF2B5EF4-FFF2-40B4-BE49-F238E27FC236}">
              <a16:creationId xmlns:a16="http://schemas.microsoft.com/office/drawing/2014/main" id="{00000000-0008-0000-0300-000008000000}"/>
            </a:ext>
          </a:extLst>
        </xdr:cNvPr>
        <xdr:cNvSpPr txBox="1"/>
      </xdr:nvSpPr>
      <xdr:spPr>
        <a:xfrm>
          <a:off x="9033012" y="63500"/>
          <a:ext cx="184730"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endParaRPr lang="es-MX" sz="1100" b="1">
            <a:latin typeface="Arial" pitchFamily="34" charset="0"/>
            <a:cs typeface="Arial" pitchFamily="34" charset="0"/>
          </a:endParaRPr>
        </a:p>
      </xdr:txBody>
    </xdr:sp>
    <xdr:clientData/>
  </xdr:oneCellAnchor>
  <xdr:oneCellAnchor>
    <xdr:from>
      <xdr:col>1</xdr:col>
      <xdr:colOff>5637068</xdr:colOff>
      <xdr:row>2</xdr:row>
      <xdr:rowOff>25977</xdr:rowOff>
    </xdr:from>
    <xdr:ext cx="3524250" cy="342900"/>
    <xdr:sp macro="" textlink="">
      <xdr:nvSpPr>
        <xdr:cNvPr id="12" name="11 CuadroTexto">
          <a:extLst>
            <a:ext uri="{FF2B5EF4-FFF2-40B4-BE49-F238E27FC236}">
              <a16:creationId xmlns:a16="http://schemas.microsoft.com/office/drawing/2014/main" id="{00000000-0008-0000-0300-00000C000000}"/>
            </a:ext>
          </a:extLst>
        </xdr:cNvPr>
        <xdr:cNvSpPr txBox="1"/>
      </xdr:nvSpPr>
      <xdr:spPr>
        <a:xfrm>
          <a:off x="5749636" y="484909"/>
          <a:ext cx="3524250" cy="342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lang="es-MX" sz="1100" b="1">
              <a:latin typeface="Arial" pitchFamily="34" charset="0"/>
              <a:cs typeface="Arial" pitchFamily="34" charset="0"/>
            </a:rPr>
            <a:t>CUENTA PÚBLICA 2023</a:t>
          </a:r>
        </a:p>
      </xdr:txBody>
    </xdr:sp>
    <xdr:clientData/>
  </xdr:oneCellAnchor>
  <xdr:twoCellAnchor>
    <xdr:from>
      <xdr:col>1</xdr:col>
      <xdr:colOff>5504832</xdr:colOff>
      <xdr:row>62</xdr:row>
      <xdr:rowOff>138544</xdr:rowOff>
    </xdr:from>
    <xdr:to>
      <xdr:col>3</xdr:col>
      <xdr:colOff>251114</xdr:colOff>
      <xdr:row>67</xdr:row>
      <xdr:rowOff>91414</xdr:rowOff>
    </xdr:to>
    <xdr:sp macro="" textlink="">
      <xdr:nvSpPr>
        <xdr:cNvPr id="3" name="4 CuadroTexto">
          <a:extLst>
            <a:ext uri="{FF2B5EF4-FFF2-40B4-BE49-F238E27FC236}">
              <a16:creationId xmlns:a16="http://schemas.microsoft.com/office/drawing/2014/main" id="{2F952ED7-A0FD-49F2-997C-A09A230A25DD}"/>
            </a:ext>
          </a:extLst>
        </xdr:cNvPr>
        <xdr:cNvSpPr txBox="1"/>
      </xdr:nvSpPr>
      <xdr:spPr>
        <a:xfrm>
          <a:off x="5617400" y="13551476"/>
          <a:ext cx="2747282" cy="991961"/>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900" b="0" i="0" u="none" strike="noStrike" kern="0" cap="none" spc="0" normalizeH="0" baseline="0" noProof="0">
              <a:ln>
                <a:noFill/>
              </a:ln>
              <a:solidFill>
                <a:sysClr val="window" lastClr="FFFFFF"/>
              </a:solidFill>
              <a:effectLst/>
              <a:uLnTx/>
              <a:uFillTx/>
              <a:latin typeface="Calibri" panose="020F0502020204030204"/>
              <a:ea typeface="+mn-ea"/>
              <a:cs typeface="+mn-cs"/>
            </a:rPr>
            <a:t>====================================================================   </a:t>
          </a: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900" b="1" i="0" u="sng" strike="noStrike" kern="0" cap="none" spc="0" normalizeH="0" baseline="0" noProof="0">
              <a:ln>
                <a:noFill/>
              </a:ln>
              <a:solidFill>
                <a:sysClr val="windowText" lastClr="000000"/>
              </a:solidFill>
              <a:effectLst/>
              <a:uLnTx/>
              <a:uFillTx/>
              <a:latin typeface="Calibri" panose="020F0502020204030204"/>
              <a:ea typeface="+mn-ea"/>
              <a:cs typeface="+mn-cs"/>
            </a:rPr>
            <a:t>C.P. REBECA I. LAGUNA FIGUEROA</a:t>
          </a: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900" b="1" i="0" u="none" strike="noStrike" kern="0" cap="none" spc="0" normalizeH="0" baseline="0" noProof="0">
              <a:ln>
                <a:noFill/>
              </a:ln>
              <a:solidFill>
                <a:sysClr val="windowText" lastClr="000000"/>
              </a:solidFill>
              <a:effectLst/>
              <a:uLnTx/>
              <a:uFillTx/>
              <a:latin typeface="Calibri" panose="020F0502020204030204"/>
              <a:ea typeface="+mn-ea"/>
              <a:cs typeface="+mn-cs"/>
            </a:rPr>
            <a:t>DIRECTORA GENERAL DE ADMINISTRACION Y FINANZAS </a:t>
          </a:r>
        </a:p>
      </xdr:txBody>
    </xdr:sp>
    <xdr:clientData/>
  </xdr:twoCellAnchor>
  <xdr:oneCellAnchor>
    <xdr:from>
      <xdr:col>1</xdr:col>
      <xdr:colOff>632114</xdr:colOff>
      <xdr:row>63</xdr:row>
      <xdr:rowOff>59251</xdr:rowOff>
    </xdr:from>
    <xdr:ext cx="2823483" cy="877661"/>
    <xdr:sp macro="" textlink="">
      <xdr:nvSpPr>
        <xdr:cNvPr id="4" name="CuadroTexto 5">
          <a:extLst>
            <a:ext uri="{FF2B5EF4-FFF2-40B4-BE49-F238E27FC236}">
              <a16:creationId xmlns:a16="http://schemas.microsoft.com/office/drawing/2014/main" id="{28D4B459-CDC9-40EC-96D4-A77E53DAE431}"/>
            </a:ext>
          </a:extLst>
        </xdr:cNvPr>
        <xdr:cNvSpPr txBox="1"/>
      </xdr:nvSpPr>
      <xdr:spPr>
        <a:xfrm>
          <a:off x="744682" y="13680001"/>
          <a:ext cx="2823483" cy="877661"/>
        </a:xfrm>
        <a:prstGeom prst="rect">
          <a:avLst/>
        </a:prstGeom>
        <a:noFill/>
        <a:ln>
          <a:noFill/>
        </a:ln>
        <a:effectLst/>
      </xdr:spPr>
      <xdr:txBody>
        <a:bodyPr vertOverflow="clip" horzOverflow="clip" wrap="non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a:ln>
              <a:noFill/>
            </a:ln>
            <a:solidFill>
              <a:prstClr val="black"/>
            </a:solidFill>
            <a:effectLst/>
            <a:uLnTx/>
            <a:uFillTx/>
            <a:latin typeface="Calibri" panose="020F0502020204030204"/>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1" i="0" u="sng" strike="noStrike" kern="0" cap="none" spc="0" normalizeH="0" baseline="0" noProof="0">
              <a:ln>
                <a:noFill/>
              </a:ln>
              <a:solidFill>
                <a:prstClr val="black"/>
              </a:solidFill>
              <a:effectLst/>
              <a:uLnTx/>
              <a:uFillTx/>
              <a:latin typeface="Calibri" panose="020F0502020204030204"/>
              <a:ea typeface="+mn-ea"/>
              <a:cs typeface="+mn-cs"/>
            </a:rPr>
            <a:t>LIC. ISMAEL NORZAGARAY MICHEL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prstClr val="black"/>
              </a:solidFill>
              <a:effectLst/>
              <a:uLnTx/>
              <a:uFillTx/>
              <a:latin typeface="Calibri" panose="020F0502020204030204"/>
              <a:ea typeface="+mn-ea"/>
              <a:cs typeface="+mn-cs"/>
            </a:rPr>
            <a:t>DIRECTOR ADMINISTRATIVO </a:t>
          </a:r>
          <a:endParaRPr kumimoji="0" lang="es-ES" sz="1000" b="0" i="0" u="none" strike="noStrike" kern="0" cap="none" spc="0" normalizeH="0" baseline="0" noProof="0">
            <a:ln>
              <a:noFill/>
            </a:ln>
            <a:solidFill>
              <a:prstClr val="black"/>
            </a:solidFill>
            <a:effectLst/>
            <a:uLnTx/>
            <a:uFillTx/>
            <a:latin typeface="Calibri" panose="020F0502020204030204"/>
            <a:ea typeface="+mn-ea"/>
            <a:cs typeface="+mn-cs"/>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5</xdr:col>
      <xdr:colOff>785220</xdr:colOff>
      <xdr:row>0</xdr:row>
      <xdr:rowOff>0</xdr:rowOff>
    </xdr:from>
    <xdr:ext cx="184730" cy="254557"/>
    <xdr:sp macro="" textlink="">
      <xdr:nvSpPr>
        <xdr:cNvPr id="5" name="3 CuadroTexto">
          <a:extLst>
            <a:ext uri="{FF2B5EF4-FFF2-40B4-BE49-F238E27FC236}">
              <a16:creationId xmlns:a16="http://schemas.microsoft.com/office/drawing/2014/main" id="{00000000-0008-0000-0400-000005000000}"/>
            </a:ext>
          </a:extLst>
        </xdr:cNvPr>
        <xdr:cNvSpPr txBox="1"/>
      </xdr:nvSpPr>
      <xdr:spPr>
        <a:xfrm>
          <a:off x="8271870" y="0"/>
          <a:ext cx="184730"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endParaRPr lang="es-MX" sz="1100" b="1">
            <a:latin typeface="Arial" pitchFamily="34" charset="0"/>
            <a:cs typeface="Arial" pitchFamily="34" charset="0"/>
          </a:endParaRPr>
        </a:p>
      </xdr:txBody>
    </xdr:sp>
    <xdr:clientData/>
  </xdr:oneCellAnchor>
  <xdr:oneCellAnchor>
    <xdr:from>
      <xdr:col>2</xdr:col>
      <xdr:colOff>914400</xdr:colOff>
      <xdr:row>1</xdr:row>
      <xdr:rowOff>47625</xdr:rowOff>
    </xdr:from>
    <xdr:ext cx="3524250" cy="342900"/>
    <xdr:sp macro="" textlink="">
      <xdr:nvSpPr>
        <xdr:cNvPr id="6" name="5 CuadroTexto">
          <a:extLst>
            <a:ext uri="{FF2B5EF4-FFF2-40B4-BE49-F238E27FC236}">
              <a16:creationId xmlns:a16="http://schemas.microsoft.com/office/drawing/2014/main" id="{00000000-0008-0000-0400-000006000000}"/>
            </a:ext>
          </a:extLst>
        </xdr:cNvPr>
        <xdr:cNvSpPr txBox="1"/>
      </xdr:nvSpPr>
      <xdr:spPr>
        <a:xfrm>
          <a:off x="4981575" y="238125"/>
          <a:ext cx="3524250" cy="342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lang="es-MX" sz="1100" b="1">
              <a:latin typeface="Arial" pitchFamily="34" charset="0"/>
              <a:cs typeface="Arial" pitchFamily="34" charset="0"/>
            </a:rPr>
            <a:t>CUENTA PÚBLICA 2023</a:t>
          </a:r>
        </a:p>
      </xdr:txBody>
    </xdr:sp>
    <xdr:clientData/>
  </xdr:oneCellAnchor>
  <xdr:twoCellAnchor>
    <xdr:from>
      <xdr:col>2</xdr:col>
      <xdr:colOff>1053193</xdr:colOff>
      <xdr:row>42</xdr:row>
      <xdr:rowOff>28575</xdr:rowOff>
    </xdr:from>
    <xdr:to>
      <xdr:col>5</xdr:col>
      <xdr:colOff>381000</xdr:colOff>
      <xdr:row>47</xdr:row>
      <xdr:rowOff>68036</xdr:rowOff>
    </xdr:to>
    <xdr:sp macro="" textlink="">
      <xdr:nvSpPr>
        <xdr:cNvPr id="4" name="4 CuadroTexto">
          <a:extLst>
            <a:ext uri="{FF2B5EF4-FFF2-40B4-BE49-F238E27FC236}">
              <a16:creationId xmlns:a16="http://schemas.microsoft.com/office/drawing/2014/main" id="{CBFC198B-0221-4E53-BC43-F069A18128FB}"/>
            </a:ext>
          </a:extLst>
        </xdr:cNvPr>
        <xdr:cNvSpPr txBox="1"/>
      </xdr:nvSpPr>
      <xdr:spPr>
        <a:xfrm>
          <a:off x="5120368" y="9829800"/>
          <a:ext cx="2747282" cy="991961"/>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900" b="0" i="0" u="none" strike="noStrike" kern="0" cap="none" spc="0" normalizeH="0" baseline="0" noProof="0">
              <a:ln>
                <a:noFill/>
              </a:ln>
              <a:solidFill>
                <a:sysClr val="window" lastClr="FFFFFF"/>
              </a:solidFill>
              <a:effectLst/>
              <a:uLnTx/>
              <a:uFillTx/>
              <a:latin typeface="Calibri" panose="020F0502020204030204"/>
              <a:ea typeface="+mn-ea"/>
              <a:cs typeface="+mn-cs"/>
            </a:rPr>
            <a:t>====================================================================   </a:t>
          </a: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900" b="1" i="0" u="sng" strike="noStrike" kern="0" cap="none" spc="0" normalizeH="0" baseline="0" noProof="0">
              <a:ln>
                <a:noFill/>
              </a:ln>
              <a:solidFill>
                <a:sysClr val="windowText" lastClr="000000"/>
              </a:solidFill>
              <a:effectLst/>
              <a:uLnTx/>
              <a:uFillTx/>
              <a:latin typeface="Calibri" panose="020F0502020204030204"/>
              <a:ea typeface="+mn-ea"/>
              <a:cs typeface="+mn-cs"/>
            </a:rPr>
            <a:t>C.P. REBECA I. LAGUNA FIGUEROA</a:t>
          </a: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900" b="1" i="0" u="none" strike="noStrike" kern="0" cap="none" spc="0" normalizeH="0" baseline="0" noProof="0">
              <a:ln>
                <a:noFill/>
              </a:ln>
              <a:solidFill>
                <a:sysClr val="windowText" lastClr="000000"/>
              </a:solidFill>
              <a:effectLst/>
              <a:uLnTx/>
              <a:uFillTx/>
              <a:latin typeface="Calibri" panose="020F0502020204030204"/>
              <a:ea typeface="+mn-ea"/>
              <a:cs typeface="+mn-cs"/>
            </a:rPr>
            <a:t>DIRECTORA GENERAL DE ADMINISTRACION Y FINANZAS </a:t>
          </a:r>
        </a:p>
      </xdr:txBody>
    </xdr:sp>
    <xdr:clientData/>
  </xdr:twoCellAnchor>
  <xdr:oneCellAnchor>
    <xdr:from>
      <xdr:col>0</xdr:col>
      <xdr:colOff>247650</xdr:colOff>
      <xdr:row>42</xdr:row>
      <xdr:rowOff>157100</xdr:rowOff>
    </xdr:from>
    <xdr:ext cx="2823483" cy="877661"/>
    <xdr:sp macro="" textlink="">
      <xdr:nvSpPr>
        <xdr:cNvPr id="7" name="CuadroTexto 5">
          <a:extLst>
            <a:ext uri="{FF2B5EF4-FFF2-40B4-BE49-F238E27FC236}">
              <a16:creationId xmlns:a16="http://schemas.microsoft.com/office/drawing/2014/main" id="{A7458379-2333-41DC-9788-2F07418D02BA}"/>
            </a:ext>
          </a:extLst>
        </xdr:cNvPr>
        <xdr:cNvSpPr txBox="1"/>
      </xdr:nvSpPr>
      <xdr:spPr>
        <a:xfrm>
          <a:off x="247650" y="9958325"/>
          <a:ext cx="2823483" cy="877661"/>
        </a:xfrm>
        <a:prstGeom prst="rect">
          <a:avLst/>
        </a:prstGeom>
        <a:noFill/>
        <a:ln>
          <a:noFill/>
        </a:ln>
        <a:effectLst/>
      </xdr:spPr>
      <xdr:txBody>
        <a:bodyPr vertOverflow="clip" horzOverflow="clip" wrap="non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a:ln>
              <a:noFill/>
            </a:ln>
            <a:solidFill>
              <a:prstClr val="black"/>
            </a:solidFill>
            <a:effectLst/>
            <a:uLnTx/>
            <a:uFillTx/>
            <a:latin typeface="Calibri" panose="020F0502020204030204"/>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1" i="0" u="sng" strike="noStrike" kern="0" cap="none" spc="0" normalizeH="0" baseline="0" noProof="0">
              <a:ln>
                <a:noFill/>
              </a:ln>
              <a:solidFill>
                <a:prstClr val="black"/>
              </a:solidFill>
              <a:effectLst/>
              <a:uLnTx/>
              <a:uFillTx/>
              <a:latin typeface="Calibri" panose="020F0502020204030204"/>
              <a:ea typeface="+mn-ea"/>
              <a:cs typeface="+mn-cs"/>
            </a:rPr>
            <a:t>LIC. ISMAEL NORZAGARAY MICHEL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prstClr val="black"/>
              </a:solidFill>
              <a:effectLst/>
              <a:uLnTx/>
              <a:uFillTx/>
              <a:latin typeface="Calibri" panose="020F0502020204030204"/>
              <a:ea typeface="+mn-ea"/>
              <a:cs typeface="+mn-cs"/>
            </a:rPr>
            <a:t>DIRECTOR ADMINISTRATIVO </a:t>
          </a:r>
          <a:endParaRPr kumimoji="0" lang="es-ES" sz="1000" b="0" i="0" u="none" strike="noStrike" kern="0" cap="none" spc="0" normalizeH="0" baseline="0" noProof="0">
            <a:ln>
              <a:noFill/>
            </a:ln>
            <a:solidFill>
              <a:prstClr val="black"/>
            </a:solidFill>
            <a:effectLst/>
            <a:uLnTx/>
            <a:uFillTx/>
            <a:latin typeface="Calibri" panose="020F0502020204030204"/>
            <a:ea typeface="+mn-ea"/>
            <a:cs typeface="+mn-cs"/>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2</xdr:row>
      <xdr:rowOff>142875</xdr:rowOff>
    </xdr:from>
    <xdr:ext cx="184731" cy="264560"/>
    <xdr:sp macro="" textlink="">
      <xdr:nvSpPr>
        <xdr:cNvPr id="2" name="4 CuadroTexto">
          <a:extLst>
            <a:ext uri="{FF2B5EF4-FFF2-40B4-BE49-F238E27FC236}">
              <a16:creationId xmlns:a16="http://schemas.microsoft.com/office/drawing/2014/main" id="{00000000-0008-0000-0500-000002000000}"/>
            </a:ext>
          </a:extLst>
        </xdr:cNvPr>
        <xdr:cNvSpPr txBox="1"/>
      </xdr:nvSpPr>
      <xdr:spPr>
        <a:xfrm>
          <a:off x="5391150" y="75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2</xdr:col>
      <xdr:colOff>828428</xdr:colOff>
      <xdr:row>0</xdr:row>
      <xdr:rowOff>38100</xdr:rowOff>
    </xdr:from>
    <xdr:ext cx="184730" cy="254557"/>
    <xdr:sp macro="" textlink="">
      <xdr:nvSpPr>
        <xdr:cNvPr id="3" name="6 CuadroTexto">
          <a:extLst>
            <a:ext uri="{FF2B5EF4-FFF2-40B4-BE49-F238E27FC236}">
              <a16:creationId xmlns:a16="http://schemas.microsoft.com/office/drawing/2014/main" id="{00000000-0008-0000-0500-000003000000}"/>
            </a:ext>
          </a:extLst>
        </xdr:cNvPr>
        <xdr:cNvSpPr txBox="1"/>
      </xdr:nvSpPr>
      <xdr:spPr>
        <a:xfrm>
          <a:off x="7347761" y="38100"/>
          <a:ext cx="184730"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endParaRPr lang="es-MX" sz="1100" b="1">
            <a:latin typeface="Arial" pitchFamily="34" charset="0"/>
            <a:cs typeface="Arial" pitchFamily="34" charset="0"/>
          </a:endParaRPr>
        </a:p>
      </xdr:txBody>
    </xdr:sp>
    <xdr:clientData/>
  </xdr:oneCellAnchor>
  <xdr:oneCellAnchor>
    <xdr:from>
      <xdr:col>1</xdr:col>
      <xdr:colOff>200025</xdr:colOff>
      <xdr:row>2</xdr:row>
      <xdr:rowOff>142875</xdr:rowOff>
    </xdr:from>
    <xdr:ext cx="184731" cy="264560"/>
    <xdr:sp macro="" textlink="">
      <xdr:nvSpPr>
        <xdr:cNvPr id="4" name="1 CuadroTexto">
          <a:extLst>
            <a:ext uri="{FF2B5EF4-FFF2-40B4-BE49-F238E27FC236}">
              <a16:creationId xmlns:a16="http://schemas.microsoft.com/office/drawing/2014/main" id="{00000000-0008-0000-0500-000004000000}"/>
            </a:ext>
          </a:extLst>
        </xdr:cNvPr>
        <xdr:cNvSpPr txBox="1"/>
      </xdr:nvSpPr>
      <xdr:spPr>
        <a:xfrm>
          <a:off x="5591175" y="75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4085166</xdr:colOff>
      <xdr:row>2</xdr:row>
      <xdr:rowOff>31749</xdr:rowOff>
    </xdr:from>
    <xdr:ext cx="3524250" cy="342900"/>
    <xdr:sp macro="" textlink="">
      <xdr:nvSpPr>
        <xdr:cNvPr id="11" name="10 CuadroTexto">
          <a:extLst>
            <a:ext uri="{FF2B5EF4-FFF2-40B4-BE49-F238E27FC236}">
              <a16:creationId xmlns:a16="http://schemas.microsoft.com/office/drawing/2014/main" id="{00000000-0008-0000-0500-00000B000000}"/>
            </a:ext>
          </a:extLst>
        </xdr:cNvPr>
        <xdr:cNvSpPr txBox="1"/>
      </xdr:nvSpPr>
      <xdr:spPr>
        <a:xfrm>
          <a:off x="4085166" y="444499"/>
          <a:ext cx="3524250" cy="342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lang="es-MX" sz="1100" b="1">
              <a:latin typeface="Arial" pitchFamily="34" charset="0"/>
              <a:cs typeface="Arial" pitchFamily="34" charset="0"/>
            </a:rPr>
            <a:t>CUENTA PÚBLICA 2023</a:t>
          </a:r>
        </a:p>
      </xdr:txBody>
    </xdr:sp>
    <xdr:clientData/>
  </xdr:oneCellAnchor>
  <xdr:twoCellAnchor>
    <xdr:from>
      <xdr:col>0</xdr:col>
      <xdr:colOff>4872718</xdr:colOff>
      <xdr:row>63</xdr:row>
      <xdr:rowOff>148167</xdr:rowOff>
    </xdr:from>
    <xdr:to>
      <xdr:col>2</xdr:col>
      <xdr:colOff>1100667</xdr:colOff>
      <xdr:row>69</xdr:row>
      <xdr:rowOff>39462</xdr:rowOff>
    </xdr:to>
    <xdr:sp macro="" textlink="">
      <xdr:nvSpPr>
        <xdr:cNvPr id="5" name="4 CuadroTexto">
          <a:extLst>
            <a:ext uri="{FF2B5EF4-FFF2-40B4-BE49-F238E27FC236}">
              <a16:creationId xmlns:a16="http://schemas.microsoft.com/office/drawing/2014/main" id="{35E5B09A-B12C-43C5-AA9F-FDEC56275124}"/>
            </a:ext>
          </a:extLst>
        </xdr:cNvPr>
        <xdr:cNvSpPr txBox="1"/>
      </xdr:nvSpPr>
      <xdr:spPr>
        <a:xfrm>
          <a:off x="4872718" y="11218334"/>
          <a:ext cx="2747282" cy="991961"/>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900" b="0" i="0" u="none" strike="noStrike" kern="0" cap="none" spc="0" normalizeH="0" baseline="0" noProof="0">
              <a:ln>
                <a:noFill/>
              </a:ln>
              <a:solidFill>
                <a:sysClr val="window" lastClr="FFFFFF"/>
              </a:solidFill>
              <a:effectLst/>
              <a:uLnTx/>
              <a:uFillTx/>
              <a:latin typeface="Calibri" panose="020F0502020204030204"/>
              <a:ea typeface="+mn-ea"/>
              <a:cs typeface="+mn-cs"/>
            </a:rPr>
            <a:t>====================================================================   </a:t>
          </a: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900" b="1" i="0" u="sng" strike="noStrike" kern="0" cap="none" spc="0" normalizeH="0" baseline="0" noProof="0">
              <a:ln>
                <a:noFill/>
              </a:ln>
              <a:solidFill>
                <a:sysClr val="windowText" lastClr="000000"/>
              </a:solidFill>
              <a:effectLst/>
              <a:uLnTx/>
              <a:uFillTx/>
              <a:latin typeface="Calibri" panose="020F0502020204030204"/>
              <a:ea typeface="+mn-ea"/>
              <a:cs typeface="+mn-cs"/>
            </a:rPr>
            <a:t>C.P. REBECA I. LAGUNA FIGUEROA</a:t>
          </a: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900" b="1" i="0" u="none" strike="noStrike" kern="0" cap="none" spc="0" normalizeH="0" baseline="0" noProof="0">
              <a:ln>
                <a:noFill/>
              </a:ln>
              <a:solidFill>
                <a:sysClr val="windowText" lastClr="000000"/>
              </a:solidFill>
              <a:effectLst/>
              <a:uLnTx/>
              <a:uFillTx/>
              <a:latin typeface="Calibri" panose="020F0502020204030204"/>
              <a:ea typeface="+mn-ea"/>
              <a:cs typeface="+mn-cs"/>
            </a:rPr>
            <a:t>DIRECTORA GENERAL DE ADMINISTRACION Y FINANZAS </a:t>
          </a:r>
        </a:p>
      </xdr:txBody>
    </xdr:sp>
    <xdr:clientData/>
  </xdr:twoCellAnchor>
  <xdr:oneCellAnchor>
    <xdr:from>
      <xdr:col>0</xdr:col>
      <xdr:colOff>0</xdr:colOff>
      <xdr:row>64</xdr:row>
      <xdr:rowOff>107359</xdr:rowOff>
    </xdr:from>
    <xdr:ext cx="2823483" cy="877661"/>
    <xdr:sp macro="" textlink="">
      <xdr:nvSpPr>
        <xdr:cNvPr id="6" name="CuadroTexto 5">
          <a:extLst>
            <a:ext uri="{FF2B5EF4-FFF2-40B4-BE49-F238E27FC236}">
              <a16:creationId xmlns:a16="http://schemas.microsoft.com/office/drawing/2014/main" id="{00EF3B82-C055-40B4-B146-5D0A55C61171}"/>
            </a:ext>
          </a:extLst>
        </xdr:cNvPr>
        <xdr:cNvSpPr txBox="1"/>
      </xdr:nvSpPr>
      <xdr:spPr>
        <a:xfrm>
          <a:off x="0" y="11346859"/>
          <a:ext cx="2823483" cy="877661"/>
        </a:xfrm>
        <a:prstGeom prst="rect">
          <a:avLst/>
        </a:prstGeom>
        <a:noFill/>
        <a:ln>
          <a:noFill/>
        </a:ln>
        <a:effectLst/>
      </xdr:spPr>
      <xdr:txBody>
        <a:bodyPr vertOverflow="clip" horzOverflow="clip" wrap="non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a:ln>
              <a:noFill/>
            </a:ln>
            <a:solidFill>
              <a:prstClr val="black"/>
            </a:solidFill>
            <a:effectLst/>
            <a:uLnTx/>
            <a:uFillTx/>
            <a:latin typeface="Calibri" panose="020F0502020204030204"/>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1" i="0" u="sng" strike="noStrike" kern="0" cap="none" spc="0" normalizeH="0" baseline="0" noProof="0">
              <a:ln>
                <a:noFill/>
              </a:ln>
              <a:solidFill>
                <a:prstClr val="black"/>
              </a:solidFill>
              <a:effectLst/>
              <a:uLnTx/>
              <a:uFillTx/>
              <a:latin typeface="Calibri" panose="020F0502020204030204"/>
              <a:ea typeface="+mn-ea"/>
              <a:cs typeface="+mn-cs"/>
            </a:rPr>
            <a:t>LIC. ISMAEL NORZAGARAY MICHEL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prstClr val="black"/>
              </a:solidFill>
              <a:effectLst/>
              <a:uLnTx/>
              <a:uFillTx/>
              <a:latin typeface="Calibri" panose="020F0502020204030204"/>
              <a:ea typeface="+mn-ea"/>
              <a:cs typeface="+mn-cs"/>
            </a:rPr>
            <a:t>DIRECTOR ADMINISTRATIVO </a:t>
          </a:r>
          <a:endParaRPr kumimoji="0" lang="es-ES" sz="1000" b="0" i="0" u="none" strike="noStrike" kern="0" cap="none" spc="0" normalizeH="0" baseline="0" noProof="0">
            <a:ln>
              <a:noFill/>
            </a:ln>
            <a:solidFill>
              <a:prstClr val="black"/>
            </a:solidFill>
            <a:effectLst/>
            <a:uLnTx/>
            <a:uFillTx/>
            <a:latin typeface="Calibri" panose="020F0502020204030204"/>
            <a:ea typeface="+mn-ea"/>
            <a:cs typeface="+mn-cs"/>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2</xdr:col>
      <xdr:colOff>649165</xdr:colOff>
      <xdr:row>0</xdr:row>
      <xdr:rowOff>30773</xdr:rowOff>
    </xdr:from>
    <xdr:ext cx="1066800" cy="254557"/>
    <xdr:sp macro="" textlink="">
      <xdr:nvSpPr>
        <xdr:cNvPr id="2" name="1 CuadroTexto">
          <a:extLst>
            <a:ext uri="{FF2B5EF4-FFF2-40B4-BE49-F238E27FC236}">
              <a16:creationId xmlns:a16="http://schemas.microsoft.com/office/drawing/2014/main" id="{00000000-0008-0000-0600-000002000000}"/>
            </a:ext>
          </a:extLst>
        </xdr:cNvPr>
        <xdr:cNvSpPr txBox="1"/>
      </xdr:nvSpPr>
      <xdr:spPr>
        <a:xfrm>
          <a:off x="5096607" y="30773"/>
          <a:ext cx="1066800"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endParaRPr lang="es-MX" sz="1100" b="1">
            <a:latin typeface="Arial" pitchFamily="34" charset="0"/>
            <a:cs typeface="Arial" pitchFamily="34" charset="0"/>
          </a:endParaRPr>
        </a:p>
      </xdr:txBody>
    </xdr:sp>
    <xdr:clientData/>
  </xdr:oneCellAnchor>
  <xdr:oneCellAnchor>
    <xdr:from>
      <xdr:col>1</xdr:col>
      <xdr:colOff>2959553</xdr:colOff>
      <xdr:row>2</xdr:row>
      <xdr:rowOff>54428</xdr:rowOff>
    </xdr:from>
    <xdr:ext cx="3435804" cy="342900"/>
    <xdr:sp macro="" textlink="">
      <xdr:nvSpPr>
        <xdr:cNvPr id="8" name="7 CuadroTexto">
          <a:extLst>
            <a:ext uri="{FF2B5EF4-FFF2-40B4-BE49-F238E27FC236}">
              <a16:creationId xmlns:a16="http://schemas.microsoft.com/office/drawing/2014/main" id="{00000000-0008-0000-0600-000008000000}"/>
            </a:ext>
          </a:extLst>
        </xdr:cNvPr>
        <xdr:cNvSpPr txBox="1"/>
      </xdr:nvSpPr>
      <xdr:spPr>
        <a:xfrm>
          <a:off x="3061607" y="476249"/>
          <a:ext cx="3435804" cy="342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lang="es-MX" sz="900" b="1">
              <a:latin typeface="Arial" pitchFamily="34" charset="0"/>
              <a:cs typeface="Arial" pitchFamily="34" charset="0"/>
            </a:rPr>
            <a:t>CUENTA</a:t>
          </a:r>
          <a:r>
            <a:rPr lang="es-MX" sz="900" b="1" baseline="0">
              <a:latin typeface="Arial" pitchFamily="34" charset="0"/>
              <a:cs typeface="Arial" pitchFamily="34" charset="0"/>
            </a:rPr>
            <a:t> PÚBLICA 2023</a:t>
          </a:r>
          <a:endParaRPr lang="es-MX" sz="900" b="1">
            <a:latin typeface="Arial" pitchFamily="34" charset="0"/>
            <a:cs typeface="Arial" pitchFamily="34" charset="0"/>
          </a:endParaRPr>
        </a:p>
      </xdr:txBody>
    </xdr:sp>
    <xdr:clientData/>
  </xdr:oneCellAnchor>
  <xdr:twoCellAnchor>
    <xdr:from>
      <xdr:col>1</xdr:col>
      <xdr:colOff>3314700</xdr:colOff>
      <xdr:row>64</xdr:row>
      <xdr:rowOff>20411</xdr:rowOff>
    </xdr:from>
    <xdr:to>
      <xdr:col>3</xdr:col>
      <xdr:colOff>489857</xdr:colOff>
      <xdr:row>70</xdr:row>
      <xdr:rowOff>114301</xdr:rowOff>
    </xdr:to>
    <xdr:sp macro="" textlink="">
      <xdr:nvSpPr>
        <xdr:cNvPr id="3" name="4 CuadroTexto">
          <a:extLst>
            <a:ext uri="{FF2B5EF4-FFF2-40B4-BE49-F238E27FC236}">
              <a16:creationId xmlns:a16="http://schemas.microsoft.com/office/drawing/2014/main" id="{34F4C504-A255-45A9-A9CA-F6A292C82BF2}"/>
            </a:ext>
          </a:extLst>
        </xdr:cNvPr>
        <xdr:cNvSpPr txBox="1"/>
      </xdr:nvSpPr>
      <xdr:spPr>
        <a:xfrm>
          <a:off x="3416754" y="9259661"/>
          <a:ext cx="2747282" cy="991961"/>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900" b="0" i="0" u="none" strike="noStrike" kern="0" cap="none" spc="0" normalizeH="0" baseline="0" noProof="0">
              <a:ln>
                <a:noFill/>
              </a:ln>
              <a:solidFill>
                <a:sysClr val="window" lastClr="FFFFFF"/>
              </a:solidFill>
              <a:effectLst/>
              <a:uLnTx/>
              <a:uFillTx/>
              <a:latin typeface="Calibri" panose="020F0502020204030204"/>
              <a:ea typeface="+mn-ea"/>
              <a:cs typeface="+mn-cs"/>
            </a:rPr>
            <a:t>====================================================================   </a:t>
          </a: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900" b="1" i="0" u="sng" strike="noStrike" kern="0" cap="none" spc="0" normalizeH="0" baseline="0" noProof="0">
              <a:ln>
                <a:noFill/>
              </a:ln>
              <a:solidFill>
                <a:sysClr val="windowText" lastClr="000000"/>
              </a:solidFill>
              <a:effectLst/>
              <a:uLnTx/>
              <a:uFillTx/>
              <a:latin typeface="Calibri" panose="020F0502020204030204"/>
              <a:ea typeface="+mn-ea"/>
              <a:cs typeface="+mn-cs"/>
            </a:rPr>
            <a:t>C.P. REBECA I. LAGUNA FIGUEROA</a:t>
          </a: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900" b="1" i="0" u="none" strike="noStrike" kern="0" cap="none" spc="0" normalizeH="0" baseline="0" noProof="0">
              <a:ln>
                <a:noFill/>
              </a:ln>
              <a:solidFill>
                <a:sysClr val="windowText" lastClr="000000"/>
              </a:solidFill>
              <a:effectLst/>
              <a:uLnTx/>
              <a:uFillTx/>
              <a:latin typeface="Calibri" panose="020F0502020204030204"/>
              <a:ea typeface="+mn-ea"/>
              <a:cs typeface="+mn-cs"/>
            </a:rPr>
            <a:t>DIRECTORA GENERAL DE ADMINISTRACION Y FINANZAS </a:t>
          </a:r>
        </a:p>
      </xdr:txBody>
    </xdr:sp>
    <xdr:clientData/>
  </xdr:twoCellAnchor>
  <xdr:oneCellAnchor>
    <xdr:from>
      <xdr:col>0</xdr:col>
      <xdr:colOff>0</xdr:colOff>
      <xdr:row>64</xdr:row>
      <xdr:rowOff>94508</xdr:rowOff>
    </xdr:from>
    <xdr:ext cx="2823483" cy="877661"/>
    <xdr:sp macro="" textlink="">
      <xdr:nvSpPr>
        <xdr:cNvPr id="5" name="CuadroTexto 5">
          <a:extLst>
            <a:ext uri="{FF2B5EF4-FFF2-40B4-BE49-F238E27FC236}">
              <a16:creationId xmlns:a16="http://schemas.microsoft.com/office/drawing/2014/main" id="{44E7A865-2C3B-434A-AABB-D3272F0A91CD}"/>
            </a:ext>
          </a:extLst>
        </xdr:cNvPr>
        <xdr:cNvSpPr txBox="1"/>
      </xdr:nvSpPr>
      <xdr:spPr>
        <a:xfrm>
          <a:off x="0" y="9333758"/>
          <a:ext cx="2823483" cy="877661"/>
        </a:xfrm>
        <a:prstGeom prst="rect">
          <a:avLst/>
        </a:prstGeom>
        <a:noFill/>
        <a:ln>
          <a:noFill/>
        </a:ln>
        <a:effectLst/>
      </xdr:spPr>
      <xdr:txBody>
        <a:bodyPr vertOverflow="clip" horzOverflow="clip" wrap="non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a:ln>
              <a:noFill/>
            </a:ln>
            <a:solidFill>
              <a:prstClr val="black"/>
            </a:solidFill>
            <a:effectLst/>
            <a:uLnTx/>
            <a:uFillTx/>
            <a:latin typeface="Calibri" panose="020F0502020204030204"/>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1" i="0" u="sng" strike="noStrike" kern="0" cap="none" spc="0" normalizeH="0" baseline="0" noProof="0">
              <a:ln>
                <a:noFill/>
              </a:ln>
              <a:solidFill>
                <a:prstClr val="black"/>
              </a:solidFill>
              <a:effectLst/>
              <a:uLnTx/>
              <a:uFillTx/>
              <a:latin typeface="Calibri" panose="020F0502020204030204"/>
              <a:ea typeface="+mn-ea"/>
              <a:cs typeface="+mn-cs"/>
            </a:rPr>
            <a:t>LIC. ISMAEL NORZAGARAY MICHEL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prstClr val="black"/>
              </a:solidFill>
              <a:effectLst/>
              <a:uLnTx/>
              <a:uFillTx/>
              <a:latin typeface="Calibri" panose="020F0502020204030204"/>
              <a:ea typeface="+mn-ea"/>
              <a:cs typeface="+mn-cs"/>
            </a:rPr>
            <a:t>DIRECTOR ADMINISTRATIVO </a:t>
          </a:r>
          <a:endParaRPr kumimoji="0" lang="es-ES" sz="1000" b="0" i="0" u="none" strike="noStrike" kern="0" cap="none" spc="0" normalizeH="0" baseline="0" noProof="0">
            <a:ln>
              <a:noFill/>
            </a:ln>
            <a:solidFill>
              <a:prstClr val="black"/>
            </a:solidFill>
            <a:effectLst/>
            <a:uLnTx/>
            <a:uFillTx/>
            <a:latin typeface="Calibri" panose="020F0502020204030204"/>
            <a:ea typeface="+mn-ea"/>
            <a:cs typeface="+mn-cs"/>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6</xdr:col>
      <xdr:colOff>618878</xdr:colOff>
      <xdr:row>0</xdr:row>
      <xdr:rowOff>19050</xdr:rowOff>
    </xdr:from>
    <xdr:ext cx="184730" cy="254557"/>
    <xdr:sp macro="" textlink="">
      <xdr:nvSpPr>
        <xdr:cNvPr id="4" name="3 CuadroTexto">
          <a:extLst>
            <a:ext uri="{FF2B5EF4-FFF2-40B4-BE49-F238E27FC236}">
              <a16:creationId xmlns:a16="http://schemas.microsoft.com/office/drawing/2014/main" id="{00000000-0008-0000-0700-000004000000}"/>
            </a:ext>
          </a:extLst>
        </xdr:cNvPr>
        <xdr:cNvSpPr txBox="1"/>
      </xdr:nvSpPr>
      <xdr:spPr>
        <a:xfrm>
          <a:off x="6962528" y="19050"/>
          <a:ext cx="184730"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endParaRPr lang="es-MX" sz="1100" b="1">
            <a:latin typeface="Arial" pitchFamily="34" charset="0"/>
            <a:cs typeface="Arial" pitchFamily="34" charset="0"/>
          </a:endParaRPr>
        </a:p>
      </xdr:txBody>
    </xdr:sp>
    <xdr:clientData/>
  </xdr:oneCellAnchor>
  <xdr:oneCellAnchor>
    <xdr:from>
      <xdr:col>5</xdr:col>
      <xdr:colOff>0</xdr:colOff>
      <xdr:row>2</xdr:row>
      <xdr:rowOff>142875</xdr:rowOff>
    </xdr:from>
    <xdr:ext cx="184731" cy="264560"/>
    <xdr:sp macro="" textlink="">
      <xdr:nvSpPr>
        <xdr:cNvPr id="6" name="4 CuadroTexto">
          <a:extLst>
            <a:ext uri="{FF2B5EF4-FFF2-40B4-BE49-F238E27FC236}">
              <a16:creationId xmlns:a16="http://schemas.microsoft.com/office/drawing/2014/main" id="{00000000-0008-0000-0700-000006000000}"/>
            </a:ext>
          </a:extLst>
        </xdr:cNvPr>
        <xdr:cNvSpPr txBox="1"/>
      </xdr:nvSpPr>
      <xdr:spPr>
        <a:xfrm>
          <a:off x="5572125" y="77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2</xdr:col>
      <xdr:colOff>762000</xdr:colOff>
      <xdr:row>2</xdr:row>
      <xdr:rowOff>76200</xdr:rowOff>
    </xdr:from>
    <xdr:ext cx="3524250" cy="342900"/>
    <xdr:sp macro="" textlink="">
      <xdr:nvSpPr>
        <xdr:cNvPr id="10" name="9 CuadroTexto">
          <a:extLst>
            <a:ext uri="{FF2B5EF4-FFF2-40B4-BE49-F238E27FC236}">
              <a16:creationId xmlns:a16="http://schemas.microsoft.com/office/drawing/2014/main" id="{00000000-0008-0000-0700-00000A000000}"/>
            </a:ext>
          </a:extLst>
        </xdr:cNvPr>
        <xdr:cNvSpPr txBox="1"/>
      </xdr:nvSpPr>
      <xdr:spPr>
        <a:xfrm>
          <a:off x="3714750" y="514350"/>
          <a:ext cx="3524250" cy="342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lang="es-MX" sz="1100" b="1">
              <a:latin typeface="Arial" pitchFamily="34" charset="0"/>
              <a:cs typeface="Arial" pitchFamily="34" charset="0"/>
            </a:rPr>
            <a:t>CUENTA PÚBLICA 2023</a:t>
          </a:r>
        </a:p>
      </xdr:txBody>
    </xdr:sp>
    <xdr:clientData/>
  </xdr:oneCellAnchor>
  <xdr:twoCellAnchor>
    <xdr:from>
      <xdr:col>4</xdr:col>
      <xdr:colOff>224518</xdr:colOff>
      <xdr:row>28</xdr:row>
      <xdr:rowOff>219075</xdr:rowOff>
    </xdr:from>
    <xdr:to>
      <xdr:col>7</xdr:col>
      <xdr:colOff>200025</xdr:colOff>
      <xdr:row>33</xdr:row>
      <xdr:rowOff>10886</xdr:rowOff>
    </xdr:to>
    <xdr:sp macro="" textlink="">
      <xdr:nvSpPr>
        <xdr:cNvPr id="2" name="4 CuadroTexto">
          <a:extLst>
            <a:ext uri="{FF2B5EF4-FFF2-40B4-BE49-F238E27FC236}">
              <a16:creationId xmlns:a16="http://schemas.microsoft.com/office/drawing/2014/main" id="{A16E9445-938A-4AA0-B1F8-ECA93AA45329}"/>
            </a:ext>
          </a:extLst>
        </xdr:cNvPr>
        <xdr:cNvSpPr txBox="1"/>
      </xdr:nvSpPr>
      <xdr:spPr>
        <a:xfrm>
          <a:off x="4872718" y="7572375"/>
          <a:ext cx="2747282" cy="991961"/>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900" b="0" i="0" u="none" strike="noStrike" kern="0" cap="none" spc="0" normalizeH="0" baseline="0" noProof="0">
              <a:ln>
                <a:noFill/>
              </a:ln>
              <a:solidFill>
                <a:sysClr val="window" lastClr="FFFFFF"/>
              </a:solidFill>
              <a:effectLst/>
              <a:uLnTx/>
              <a:uFillTx/>
              <a:latin typeface="Calibri" panose="020F0502020204030204"/>
              <a:ea typeface="+mn-ea"/>
              <a:cs typeface="+mn-cs"/>
            </a:rPr>
            <a:t>====================================================================   </a:t>
          </a: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900" b="1" i="0" u="sng" strike="noStrike" kern="0" cap="none" spc="0" normalizeH="0" baseline="0" noProof="0">
              <a:ln>
                <a:noFill/>
              </a:ln>
              <a:solidFill>
                <a:sysClr val="windowText" lastClr="000000"/>
              </a:solidFill>
              <a:effectLst/>
              <a:uLnTx/>
              <a:uFillTx/>
              <a:latin typeface="Calibri" panose="020F0502020204030204"/>
              <a:ea typeface="+mn-ea"/>
              <a:cs typeface="+mn-cs"/>
            </a:rPr>
            <a:t>C.P. REBECA I. LAGUNA FIGUEROA</a:t>
          </a: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900" b="1" i="0" u="none" strike="noStrike" kern="0" cap="none" spc="0" normalizeH="0" baseline="0" noProof="0">
              <a:ln>
                <a:noFill/>
              </a:ln>
              <a:solidFill>
                <a:sysClr val="windowText" lastClr="000000"/>
              </a:solidFill>
              <a:effectLst/>
              <a:uLnTx/>
              <a:uFillTx/>
              <a:latin typeface="Calibri" panose="020F0502020204030204"/>
              <a:ea typeface="+mn-ea"/>
              <a:cs typeface="+mn-cs"/>
            </a:rPr>
            <a:t>DIRECTORA GENERAL DE ADMINISTRACION Y FINANZAS </a:t>
          </a:r>
        </a:p>
      </xdr:txBody>
    </xdr:sp>
    <xdr:clientData/>
  </xdr:twoCellAnchor>
  <xdr:oneCellAnchor>
    <xdr:from>
      <xdr:col>0</xdr:col>
      <xdr:colOff>0</xdr:colOff>
      <xdr:row>29</xdr:row>
      <xdr:rowOff>99950</xdr:rowOff>
    </xdr:from>
    <xdr:ext cx="2823483" cy="877661"/>
    <xdr:sp macro="" textlink="">
      <xdr:nvSpPr>
        <xdr:cNvPr id="3" name="CuadroTexto 5">
          <a:extLst>
            <a:ext uri="{FF2B5EF4-FFF2-40B4-BE49-F238E27FC236}">
              <a16:creationId xmlns:a16="http://schemas.microsoft.com/office/drawing/2014/main" id="{83E9FC26-FA2A-4F26-BAE7-9F950FC0C367}"/>
            </a:ext>
          </a:extLst>
        </xdr:cNvPr>
        <xdr:cNvSpPr txBox="1"/>
      </xdr:nvSpPr>
      <xdr:spPr>
        <a:xfrm>
          <a:off x="0" y="7700900"/>
          <a:ext cx="2823483" cy="877661"/>
        </a:xfrm>
        <a:prstGeom prst="rect">
          <a:avLst/>
        </a:prstGeom>
        <a:noFill/>
        <a:ln>
          <a:noFill/>
        </a:ln>
        <a:effectLst/>
      </xdr:spPr>
      <xdr:txBody>
        <a:bodyPr vertOverflow="clip" horzOverflow="clip" wrap="non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a:ln>
              <a:noFill/>
            </a:ln>
            <a:solidFill>
              <a:prstClr val="black"/>
            </a:solidFill>
            <a:effectLst/>
            <a:uLnTx/>
            <a:uFillTx/>
            <a:latin typeface="Calibri" panose="020F0502020204030204"/>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1" i="0" u="sng" strike="noStrike" kern="0" cap="none" spc="0" normalizeH="0" baseline="0" noProof="0">
              <a:ln>
                <a:noFill/>
              </a:ln>
              <a:solidFill>
                <a:prstClr val="black"/>
              </a:solidFill>
              <a:effectLst/>
              <a:uLnTx/>
              <a:uFillTx/>
              <a:latin typeface="Calibri" panose="020F0502020204030204"/>
              <a:ea typeface="+mn-ea"/>
              <a:cs typeface="+mn-cs"/>
            </a:rPr>
            <a:t>LIC. ISMAEL NORZAGARAY MICHEL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prstClr val="black"/>
              </a:solidFill>
              <a:effectLst/>
              <a:uLnTx/>
              <a:uFillTx/>
              <a:latin typeface="Calibri" panose="020F0502020204030204"/>
              <a:ea typeface="+mn-ea"/>
              <a:cs typeface="+mn-cs"/>
            </a:rPr>
            <a:t>DIRECTOR ADMINISTRATIVO </a:t>
          </a:r>
          <a:endParaRPr kumimoji="0" lang="es-ES" sz="1000" b="0" i="0" u="none" strike="noStrike" kern="0" cap="none" spc="0" normalizeH="0" baseline="0" noProof="0">
            <a:ln>
              <a:noFill/>
            </a:ln>
            <a:solidFill>
              <a:prstClr val="black"/>
            </a:solidFill>
            <a:effectLst/>
            <a:uLnTx/>
            <a:uFillTx/>
            <a:latin typeface="Calibri" panose="020F0502020204030204"/>
            <a:ea typeface="+mn-ea"/>
            <a:cs typeface="+mn-cs"/>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5</xdr:col>
      <xdr:colOff>923678</xdr:colOff>
      <xdr:row>0</xdr:row>
      <xdr:rowOff>47625</xdr:rowOff>
    </xdr:from>
    <xdr:ext cx="184730" cy="254557"/>
    <xdr:sp macro="" textlink="">
      <xdr:nvSpPr>
        <xdr:cNvPr id="2" name="3 CuadroTexto">
          <a:extLst>
            <a:ext uri="{FF2B5EF4-FFF2-40B4-BE49-F238E27FC236}">
              <a16:creationId xmlns:a16="http://schemas.microsoft.com/office/drawing/2014/main" id="{00000000-0008-0000-0800-000002000000}"/>
            </a:ext>
          </a:extLst>
        </xdr:cNvPr>
        <xdr:cNvSpPr txBox="1"/>
      </xdr:nvSpPr>
      <xdr:spPr>
        <a:xfrm>
          <a:off x="6289428" y="47625"/>
          <a:ext cx="184730"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endParaRPr lang="es-MX" sz="1100" b="1">
            <a:latin typeface="Arial" pitchFamily="34" charset="0"/>
            <a:cs typeface="Arial" pitchFamily="34" charset="0"/>
          </a:endParaRPr>
        </a:p>
      </xdr:txBody>
    </xdr:sp>
    <xdr:clientData/>
  </xdr:oneCellAnchor>
  <xdr:oneCellAnchor>
    <xdr:from>
      <xdr:col>4</xdr:col>
      <xdr:colOff>0</xdr:colOff>
      <xdr:row>2</xdr:row>
      <xdr:rowOff>142875</xdr:rowOff>
    </xdr:from>
    <xdr:ext cx="184731" cy="264560"/>
    <xdr:sp macro="" textlink="">
      <xdr:nvSpPr>
        <xdr:cNvPr id="3" name="4 CuadroTexto">
          <a:extLst>
            <a:ext uri="{FF2B5EF4-FFF2-40B4-BE49-F238E27FC236}">
              <a16:creationId xmlns:a16="http://schemas.microsoft.com/office/drawing/2014/main" id="{00000000-0008-0000-0800-000003000000}"/>
            </a:ext>
          </a:extLst>
        </xdr:cNvPr>
        <xdr:cNvSpPr txBox="1"/>
      </xdr:nvSpPr>
      <xdr:spPr>
        <a:xfrm>
          <a:off x="4257675" y="77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2</xdr:col>
      <xdr:colOff>1005417</xdr:colOff>
      <xdr:row>2</xdr:row>
      <xdr:rowOff>63500</xdr:rowOff>
    </xdr:from>
    <xdr:ext cx="3524250" cy="342900"/>
    <xdr:sp macro="" textlink="">
      <xdr:nvSpPr>
        <xdr:cNvPr id="7" name="6 CuadroTexto">
          <a:extLst>
            <a:ext uri="{FF2B5EF4-FFF2-40B4-BE49-F238E27FC236}">
              <a16:creationId xmlns:a16="http://schemas.microsoft.com/office/drawing/2014/main" id="{00000000-0008-0000-0800-000007000000}"/>
            </a:ext>
          </a:extLst>
        </xdr:cNvPr>
        <xdr:cNvSpPr txBox="1"/>
      </xdr:nvSpPr>
      <xdr:spPr>
        <a:xfrm>
          <a:off x="3037417" y="497417"/>
          <a:ext cx="3524250" cy="342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lang="es-MX" sz="1100" b="1">
              <a:latin typeface="Arial" pitchFamily="34" charset="0"/>
              <a:cs typeface="Arial" pitchFamily="34" charset="0"/>
            </a:rPr>
            <a:t>CUENTA PÚBLICA</a:t>
          </a:r>
          <a:r>
            <a:rPr lang="es-MX" sz="1100" b="1" baseline="0">
              <a:latin typeface="Arial" pitchFamily="34" charset="0"/>
              <a:cs typeface="Arial" pitchFamily="34" charset="0"/>
            </a:rPr>
            <a:t> 2023</a:t>
          </a:r>
          <a:endParaRPr lang="es-MX" sz="1100" b="1">
            <a:latin typeface="Arial" pitchFamily="34" charset="0"/>
            <a:cs typeface="Arial" pitchFamily="34" charset="0"/>
          </a:endParaRPr>
        </a:p>
      </xdr:txBody>
    </xdr:sp>
    <xdr:clientData/>
  </xdr:oneCellAnchor>
  <xdr:twoCellAnchor>
    <xdr:from>
      <xdr:col>3</xdr:col>
      <xdr:colOff>586468</xdr:colOff>
      <xdr:row>39</xdr:row>
      <xdr:rowOff>127000</xdr:rowOff>
    </xdr:from>
    <xdr:to>
      <xdr:col>6</xdr:col>
      <xdr:colOff>0</xdr:colOff>
      <xdr:row>46</xdr:row>
      <xdr:rowOff>155877</xdr:rowOff>
    </xdr:to>
    <xdr:sp macro="" textlink="">
      <xdr:nvSpPr>
        <xdr:cNvPr id="6" name="4 CuadroTexto">
          <a:extLst>
            <a:ext uri="{FF2B5EF4-FFF2-40B4-BE49-F238E27FC236}">
              <a16:creationId xmlns:a16="http://schemas.microsoft.com/office/drawing/2014/main" id="{0E483AC7-6EE5-4FB5-B01E-EB56CB0B293A}"/>
            </a:ext>
          </a:extLst>
        </xdr:cNvPr>
        <xdr:cNvSpPr txBox="1"/>
      </xdr:nvSpPr>
      <xdr:spPr>
        <a:xfrm>
          <a:off x="3729718" y="9154583"/>
          <a:ext cx="2747282" cy="991961"/>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900" b="0" i="0" u="none" strike="noStrike" kern="0" cap="none" spc="0" normalizeH="0" baseline="0" noProof="0">
              <a:ln>
                <a:noFill/>
              </a:ln>
              <a:solidFill>
                <a:sysClr val="window" lastClr="FFFFFF"/>
              </a:solidFill>
              <a:effectLst/>
              <a:uLnTx/>
              <a:uFillTx/>
              <a:latin typeface="Calibri" panose="020F0502020204030204"/>
              <a:ea typeface="+mn-ea"/>
              <a:cs typeface="+mn-cs"/>
            </a:rPr>
            <a:t>====================================================================   </a:t>
          </a: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900" b="1" i="0" u="sng" strike="noStrike" kern="0" cap="none" spc="0" normalizeH="0" baseline="0" noProof="0">
              <a:ln>
                <a:noFill/>
              </a:ln>
              <a:solidFill>
                <a:sysClr val="windowText" lastClr="000000"/>
              </a:solidFill>
              <a:effectLst/>
              <a:uLnTx/>
              <a:uFillTx/>
              <a:latin typeface="Calibri" panose="020F0502020204030204"/>
              <a:ea typeface="+mn-ea"/>
              <a:cs typeface="+mn-cs"/>
            </a:rPr>
            <a:t>C.P. REBECA I. LAGUNA FIGUEROA</a:t>
          </a: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900" b="1" i="0" u="none" strike="noStrike" kern="0" cap="none" spc="0" normalizeH="0" baseline="0" noProof="0">
              <a:ln>
                <a:noFill/>
              </a:ln>
              <a:solidFill>
                <a:sysClr val="windowText" lastClr="000000"/>
              </a:solidFill>
              <a:effectLst/>
              <a:uLnTx/>
              <a:uFillTx/>
              <a:latin typeface="Calibri" panose="020F0502020204030204"/>
              <a:ea typeface="+mn-ea"/>
              <a:cs typeface="+mn-cs"/>
            </a:rPr>
            <a:t>DIRECTORA GENERAL DE ADMINISTRACION Y FINANZAS </a:t>
          </a:r>
        </a:p>
      </xdr:txBody>
    </xdr:sp>
    <xdr:clientData/>
  </xdr:twoCellAnchor>
  <xdr:oneCellAnchor>
    <xdr:from>
      <xdr:col>0</xdr:col>
      <xdr:colOff>0</xdr:colOff>
      <xdr:row>40</xdr:row>
      <xdr:rowOff>65024</xdr:rowOff>
    </xdr:from>
    <xdr:ext cx="2823483" cy="877661"/>
    <xdr:sp macro="" textlink="">
      <xdr:nvSpPr>
        <xdr:cNvPr id="8" name="CuadroTexto 5">
          <a:extLst>
            <a:ext uri="{FF2B5EF4-FFF2-40B4-BE49-F238E27FC236}">
              <a16:creationId xmlns:a16="http://schemas.microsoft.com/office/drawing/2014/main" id="{EA6714BB-6605-4D8E-B0A9-B9DA77C000BA}"/>
            </a:ext>
          </a:extLst>
        </xdr:cNvPr>
        <xdr:cNvSpPr txBox="1"/>
      </xdr:nvSpPr>
      <xdr:spPr>
        <a:xfrm>
          <a:off x="0" y="9230191"/>
          <a:ext cx="2823483" cy="877661"/>
        </a:xfrm>
        <a:prstGeom prst="rect">
          <a:avLst/>
        </a:prstGeom>
        <a:noFill/>
        <a:ln>
          <a:noFill/>
        </a:ln>
        <a:effectLst/>
      </xdr:spPr>
      <xdr:txBody>
        <a:bodyPr vertOverflow="clip" horzOverflow="clip" wrap="non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a:ln>
              <a:noFill/>
            </a:ln>
            <a:solidFill>
              <a:prstClr val="black"/>
            </a:solidFill>
            <a:effectLst/>
            <a:uLnTx/>
            <a:uFillTx/>
            <a:latin typeface="Calibri" panose="020F0502020204030204"/>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1" i="0" u="sng" strike="noStrike" kern="0" cap="none" spc="0" normalizeH="0" baseline="0" noProof="0">
              <a:ln>
                <a:noFill/>
              </a:ln>
              <a:solidFill>
                <a:prstClr val="black"/>
              </a:solidFill>
              <a:effectLst/>
              <a:uLnTx/>
              <a:uFillTx/>
              <a:latin typeface="Calibri" panose="020F0502020204030204"/>
              <a:ea typeface="+mn-ea"/>
              <a:cs typeface="+mn-cs"/>
            </a:rPr>
            <a:t>LIC. ISMAEL NORZAGARAY MICHEL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prstClr val="black"/>
              </a:solidFill>
              <a:effectLst/>
              <a:uLnTx/>
              <a:uFillTx/>
              <a:latin typeface="Calibri" panose="020F0502020204030204"/>
              <a:ea typeface="+mn-ea"/>
              <a:cs typeface="+mn-cs"/>
            </a:rPr>
            <a:t>DIRECTOR ADMINISTRATIVO </a:t>
          </a:r>
          <a:endParaRPr kumimoji="0" lang="es-ES" sz="1000" b="0" i="0" u="none" strike="noStrike" kern="0" cap="none" spc="0" normalizeH="0" baseline="0" noProof="0">
            <a:ln>
              <a:noFill/>
            </a:ln>
            <a:solidFill>
              <a:prstClr val="black"/>
            </a:solidFill>
            <a:effectLst/>
            <a:uLnTx/>
            <a:uFillTx/>
            <a:latin typeface="Calibri" panose="020F0502020204030204"/>
            <a:ea typeface="+mn-ea"/>
            <a:cs typeface="+mn-cs"/>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7</xdr:col>
      <xdr:colOff>295275</xdr:colOff>
      <xdr:row>0</xdr:row>
      <xdr:rowOff>28575</xdr:rowOff>
    </xdr:from>
    <xdr:ext cx="1325551" cy="254557"/>
    <xdr:sp macro="" textlink="">
      <xdr:nvSpPr>
        <xdr:cNvPr id="2" name="3 CuadroTexto">
          <a:extLst>
            <a:ext uri="{FF2B5EF4-FFF2-40B4-BE49-F238E27FC236}">
              <a16:creationId xmlns:a16="http://schemas.microsoft.com/office/drawing/2014/main" id="{00000000-0008-0000-0900-000002000000}"/>
            </a:ext>
          </a:extLst>
        </xdr:cNvPr>
        <xdr:cNvSpPr txBox="1"/>
      </xdr:nvSpPr>
      <xdr:spPr>
        <a:xfrm>
          <a:off x="6600825" y="28575"/>
          <a:ext cx="1325551"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endParaRPr lang="es-MX" sz="1100" b="1">
            <a:latin typeface="Arial" pitchFamily="34" charset="0"/>
            <a:cs typeface="Arial" pitchFamily="34" charset="0"/>
          </a:endParaRPr>
        </a:p>
      </xdr:txBody>
    </xdr:sp>
    <xdr:clientData/>
  </xdr:oneCellAnchor>
  <xdr:oneCellAnchor>
    <xdr:from>
      <xdr:col>4</xdr:col>
      <xdr:colOff>666750</xdr:colOff>
      <xdr:row>2</xdr:row>
      <xdr:rowOff>9525</xdr:rowOff>
    </xdr:from>
    <xdr:ext cx="3524250" cy="342900"/>
    <xdr:sp macro="" textlink="">
      <xdr:nvSpPr>
        <xdr:cNvPr id="7" name="6 CuadroTexto">
          <a:extLst>
            <a:ext uri="{FF2B5EF4-FFF2-40B4-BE49-F238E27FC236}">
              <a16:creationId xmlns:a16="http://schemas.microsoft.com/office/drawing/2014/main" id="{00000000-0008-0000-0900-000007000000}"/>
            </a:ext>
          </a:extLst>
        </xdr:cNvPr>
        <xdr:cNvSpPr txBox="1"/>
      </xdr:nvSpPr>
      <xdr:spPr>
        <a:xfrm>
          <a:off x="4657725" y="409575"/>
          <a:ext cx="3524250" cy="342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lang="es-MX" sz="1100" b="1">
              <a:latin typeface="Arial" pitchFamily="34" charset="0"/>
              <a:cs typeface="Arial" pitchFamily="34" charset="0"/>
            </a:rPr>
            <a:t>CUENTA PÚBLICA 2023</a:t>
          </a:r>
        </a:p>
      </xdr:txBody>
    </xdr:sp>
    <xdr:clientData/>
  </xdr:oneCellAnchor>
  <xdr:twoCellAnchor>
    <xdr:from>
      <xdr:col>5</xdr:col>
      <xdr:colOff>81643</xdr:colOff>
      <xdr:row>37</xdr:row>
      <xdr:rowOff>85725</xdr:rowOff>
    </xdr:from>
    <xdr:to>
      <xdr:col>7</xdr:col>
      <xdr:colOff>733425</xdr:colOff>
      <xdr:row>42</xdr:row>
      <xdr:rowOff>115661</xdr:rowOff>
    </xdr:to>
    <xdr:sp macro="" textlink="">
      <xdr:nvSpPr>
        <xdr:cNvPr id="3" name="4 CuadroTexto">
          <a:extLst>
            <a:ext uri="{FF2B5EF4-FFF2-40B4-BE49-F238E27FC236}">
              <a16:creationId xmlns:a16="http://schemas.microsoft.com/office/drawing/2014/main" id="{1D40B63B-60B3-48A5-B16E-4737FDB0F437}"/>
            </a:ext>
          </a:extLst>
        </xdr:cNvPr>
        <xdr:cNvSpPr txBox="1"/>
      </xdr:nvSpPr>
      <xdr:spPr>
        <a:xfrm>
          <a:off x="5139418" y="7515225"/>
          <a:ext cx="2747282" cy="991961"/>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900" b="0" i="0" u="none" strike="noStrike" kern="0" cap="none" spc="0" normalizeH="0" baseline="0" noProof="0">
              <a:ln>
                <a:noFill/>
              </a:ln>
              <a:solidFill>
                <a:sysClr val="window" lastClr="FFFFFF"/>
              </a:solidFill>
              <a:effectLst/>
              <a:uLnTx/>
              <a:uFillTx/>
              <a:latin typeface="Calibri" panose="020F0502020204030204"/>
              <a:ea typeface="+mn-ea"/>
              <a:cs typeface="+mn-cs"/>
            </a:rPr>
            <a:t>====================================================================   </a:t>
          </a: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900" b="1" i="0" u="sng" strike="noStrike" kern="0" cap="none" spc="0" normalizeH="0" baseline="0" noProof="0">
              <a:ln>
                <a:noFill/>
              </a:ln>
              <a:solidFill>
                <a:sysClr val="windowText" lastClr="000000"/>
              </a:solidFill>
              <a:effectLst/>
              <a:uLnTx/>
              <a:uFillTx/>
              <a:latin typeface="Calibri" panose="020F0502020204030204"/>
              <a:ea typeface="+mn-ea"/>
              <a:cs typeface="+mn-cs"/>
            </a:rPr>
            <a:t>C.P. REBECA I. LAGUNA FIGUEROA</a:t>
          </a: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900" b="1" i="0" u="none" strike="noStrike" kern="0" cap="none" spc="0" normalizeH="0" baseline="0" noProof="0">
              <a:ln>
                <a:noFill/>
              </a:ln>
              <a:solidFill>
                <a:sysClr val="windowText" lastClr="000000"/>
              </a:solidFill>
              <a:effectLst/>
              <a:uLnTx/>
              <a:uFillTx/>
              <a:latin typeface="Calibri" panose="020F0502020204030204"/>
              <a:ea typeface="+mn-ea"/>
              <a:cs typeface="+mn-cs"/>
            </a:rPr>
            <a:t>DIRECTORA GENERAL DE ADMINISTRACION Y FINANZAS </a:t>
          </a:r>
        </a:p>
      </xdr:txBody>
    </xdr:sp>
    <xdr:clientData/>
  </xdr:twoCellAnchor>
  <xdr:oneCellAnchor>
    <xdr:from>
      <xdr:col>1</xdr:col>
      <xdr:colOff>114300</xdr:colOff>
      <xdr:row>38</xdr:row>
      <xdr:rowOff>23750</xdr:rowOff>
    </xdr:from>
    <xdr:ext cx="2823483" cy="877661"/>
    <xdr:sp macro="" textlink="">
      <xdr:nvSpPr>
        <xdr:cNvPr id="4" name="CuadroTexto 5">
          <a:extLst>
            <a:ext uri="{FF2B5EF4-FFF2-40B4-BE49-F238E27FC236}">
              <a16:creationId xmlns:a16="http://schemas.microsoft.com/office/drawing/2014/main" id="{03EB3F8F-B47A-42A1-B680-105BB313AE27}"/>
            </a:ext>
          </a:extLst>
        </xdr:cNvPr>
        <xdr:cNvSpPr txBox="1"/>
      </xdr:nvSpPr>
      <xdr:spPr>
        <a:xfrm>
          <a:off x="428625" y="7653275"/>
          <a:ext cx="2823483" cy="877661"/>
        </a:xfrm>
        <a:prstGeom prst="rect">
          <a:avLst/>
        </a:prstGeom>
        <a:noFill/>
        <a:ln>
          <a:noFill/>
        </a:ln>
        <a:effectLst/>
      </xdr:spPr>
      <xdr:txBody>
        <a:bodyPr vertOverflow="clip" horzOverflow="clip" wrap="non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a:ln>
              <a:noFill/>
            </a:ln>
            <a:solidFill>
              <a:prstClr val="black"/>
            </a:solidFill>
            <a:effectLst/>
            <a:uLnTx/>
            <a:uFillTx/>
            <a:latin typeface="Calibri" panose="020F0502020204030204"/>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1" i="0" u="sng" strike="noStrike" kern="0" cap="none" spc="0" normalizeH="0" baseline="0" noProof="0">
              <a:ln>
                <a:noFill/>
              </a:ln>
              <a:solidFill>
                <a:prstClr val="black"/>
              </a:solidFill>
              <a:effectLst/>
              <a:uLnTx/>
              <a:uFillTx/>
              <a:latin typeface="Calibri" panose="020F0502020204030204"/>
              <a:ea typeface="+mn-ea"/>
              <a:cs typeface="+mn-cs"/>
            </a:rPr>
            <a:t>LIC. ISMAEL NORZAGARAY MICHEL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prstClr val="black"/>
              </a:solidFill>
              <a:effectLst/>
              <a:uLnTx/>
              <a:uFillTx/>
              <a:latin typeface="Calibri" panose="020F0502020204030204"/>
              <a:ea typeface="+mn-ea"/>
              <a:cs typeface="+mn-cs"/>
            </a:rPr>
            <a:t>DIRECTOR ADMINISTRATIVO </a:t>
          </a:r>
          <a:endParaRPr kumimoji="0" lang="es-ES" sz="1000" b="0" i="0" u="none" strike="noStrike" kern="0" cap="none" spc="0" normalizeH="0" baseline="0" noProof="0">
            <a:ln>
              <a:noFill/>
            </a:ln>
            <a:solidFill>
              <a:prstClr val="black"/>
            </a:solidFill>
            <a:effectLst/>
            <a:uLnTx/>
            <a:uFillTx/>
            <a:latin typeface="Calibri" panose="020F0502020204030204"/>
            <a:ea typeface="+mn-ea"/>
            <a:cs typeface="+mn-cs"/>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9</xdr:col>
      <xdr:colOff>161925</xdr:colOff>
      <xdr:row>0</xdr:row>
      <xdr:rowOff>28575</xdr:rowOff>
    </xdr:from>
    <xdr:ext cx="1325551" cy="254557"/>
    <xdr:sp macro="" textlink="">
      <xdr:nvSpPr>
        <xdr:cNvPr id="2" name="3 CuadroTexto">
          <a:extLst>
            <a:ext uri="{FF2B5EF4-FFF2-40B4-BE49-F238E27FC236}">
              <a16:creationId xmlns:a16="http://schemas.microsoft.com/office/drawing/2014/main" id="{00000000-0008-0000-0A00-000002000000}"/>
            </a:ext>
          </a:extLst>
        </xdr:cNvPr>
        <xdr:cNvSpPr txBox="1"/>
      </xdr:nvSpPr>
      <xdr:spPr>
        <a:xfrm>
          <a:off x="7829550" y="28575"/>
          <a:ext cx="1325551"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endParaRPr lang="es-MX" sz="1100" b="1">
            <a:latin typeface="Arial" pitchFamily="34" charset="0"/>
            <a:cs typeface="Arial" pitchFamily="34" charset="0"/>
          </a:endParaRPr>
        </a:p>
      </xdr:txBody>
    </xdr:sp>
    <xdr:clientData/>
  </xdr:oneCellAnchor>
  <xdr:oneCellAnchor>
    <xdr:from>
      <xdr:col>6</xdr:col>
      <xdr:colOff>238125</xdr:colOff>
      <xdr:row>2</xdr:row>
      <xdr:rowOff>57150</xdr:rowOff>
    </xdr:from>
    <xdr:ext cx="3524250" cy="342900"/>
    <xdr:sp macro="" textlink="">
      <xdr:nvSpPr>
        <xdr:cNvPr id="7" name="6 CuadroTexto">
          <a:extLst>
            <a:ext uri="{FF2B5EF4-FFF2-40B4-BE49-F238E27FC236}">
              <a16:creationId xmlns:a16="http://schemas.microsoft.com/office/drawing/2014/main" id="{00000000-0008-0000-0A00-000007000000}"/>
            </a:ext>
          </a:extLst>
        </xdr:cNvPr>
        <xdr:cNvSpPr txBox="1"/>
      </xdr:nvSpPr>
      <xdr:spPr>
        <a:xfrm>
          <a:off x="5619750" y="457200"/>
          <a:ext cx="3524250" cy="342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lang="es-MX" sz="1100" b="1">
              <a:latin typeface="Arial" pitchFamily="34" charset="0"/>
              <a:cs typeface="Arial" pitchFamily="34" charset="0"/>
            </a:rPr>
            <a:t>CUENTA PÚBLICA</a:t>
          </a:r>
          <a:r>
            <a:rPr lang="es-MX" sz="1100" b="1" baseline="0">
              <a:latin typeface="Arial" pitchFamily="34" charset="0"/>
              <a:cs typeface="Arial" pitchFamily="34" charset="0"/>
            </a:rPr>
            <a:t> 2023</a:t>
          </a:r>
          <a:endParaRPr lang="es-MX" sz="1100" b="1">
            <a:latin typeface="Arial" pitchFamily="34" charset="0"/>
            <a:cs typeface="Arial" pitchFamily="34" charset="0"/>
          </a:endParaRPr>
        </a:p>
      </xdr:txBody>
    </xdr:sp>
    <xdr:clientData/>
  </xdr:oneCellAnchor>
  <xdr:twoCellAnchor>
    <xdr:from>
      <xdr:col>6</xdr:col>
      <xdr:colOff>338818</xdr:colOff>
      <xdr:row>20</xdr:row>
      <xdr:rowOff>85725</xdr:rowOff>
    </xdr:from>
    <xdr:to>
      <xdr:col>10</xdr:col>
      <xdr:colOff>38100</xdr:colOff>
      <xdr:row>25</xdr:row>
      <xdr:rowOff>125186</xdr:rowOff>
    </xdr:to>
    <xdr:sp macro="" textlink="">
      <xdr:nvSpPr>
        <xdr:cNvPr id="3" name="4 CuadroTexto">
          <a:extLst>
            <a:ext uri="{FF2B5EF4-FFF2-40B4-BE49-F238E27FC236}">
              <a16:creationId xmlns:a16="http://schemas.microsoft.com/office/drawing/2014/main" id="{6CF3E55E-492B-48E3-A6E9-0A5EADF80CD2}"/>
            </a:ext>
          </a:extLst>
        </xdr:cNvPr>
        <xdr:cNvSpPr txBox="1"/>
      </xdr:nvSpPr>
      <xdr:spPr>
        <a:xfrm>
          <a:off x="5720443" y="5781675"/>
          <a:ext cx="2747282" cy="991961"/>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900" b="0" i="0" u="none" strike="noStrike" kern="0" cap="none" spc="0" normalizeH="0" baseline="0" noProof="0">
              <a:ln>
                <a:noFill/>
              </a:ln>
              <a:solidFill>
                <a:sysClr val="window" lastClr="FFFFFF"/>
              </a:solidFill>
              <a:effectLst/>
              <a:uLnTx/>
              <a:uFillTx/>
              <a:latin typeface="Calibri" panose="020F0502020204030204"/>
              <a:ea typeface="+mn-ea"/>
              <a:cs typeface="+mn-cs"/>
            </a:rPr>
            <a:t>====================================================================   </a:t>
          </a: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900" b="1" i="0" u="sng" strike="noStrike" kern="0" cap="none" spc="0" normalizeH="0" baseline="0" noProof="0">
              <a:ln>
                <a:noFill/>
              </a:ln>
              <a:solidFill>
                <a:sysClr val="windowText" lastClr="000000"/>
              </a:solidFill>
              <a:effectLst/>
              <a:uLnTx/>
              <a:uFillTx/>
              <a:latin typeface="Calibri" panose="020F0502020204030204"/>
              <a:ea typeface="+mn-ea"/>
              <a:cs typeface="+mn-cs"/>
            </a:rPr>
            <a:t>C.P. REBECA I. LAGUNA FIGUEROA</a:t>
          </a: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900" b="1" i="0" u="none" strike="noStrike" kern="0" cap="none" spc="0" normalizeH="0" baseline="0" noProof="0">
              <a:ln>
                <a:noFill/>
              </a:ln>
              <a:solidFill>
                <a:sysClr val="windowText" lastClr="000000"/>
              </a:solidFill>
              <a:effectLst/>
              <a:uLnTx/>
              <a:uFillTx/>
              <a:latin typeface="Calibri" panose="020F0502020204030204"/>
              <a:ea typeface="+mn-ea"/>
              <a:cs typeface="+mn-cs"/>
            </a:rPr>
            <a:t>DIRECTORA GENERAL DE ADMINISTRACION Y FINANZAS </a:t>
          </a:r>
        </a:p>
      </xdr:txBody>
    </xdr:sp>
    <xdr:clientData/>
  </xdr:twoCellAnchor>
  <xdr:oneCellAnchor>
    <xdr:from>
      <xdr:col>0</xdr:col>
      <xdr:colOff>847725</xdr:colOff>
      <xdr:row>21</xdr:row>
      <xdr:rowOff>23750</xdr:rowOff>
    </xdr:from>
    <xdr:ext cx="2823483" cy="877661"/>
    <xdr:sp macro="" textlink="">
      <xdr:nvSpPr>
        <xdr:cNvPr id="4" name="CuadroTexto 5">
          <a:extLst>
            <a:ext uri="{FF2B5EF4-FFF2-40B4-BE49-F238E27FC236}">
              <a16:creationId xmlns:a16="http://schemas.microsoft.com/office/drawing/2014/main" id="{503417F1-094C-4232-BEC0-22B419F32BD9}"/>
            </a:ext>
          </a:extLst>
        </xdr:cNvPr>
        <xdr:cNvSpPr txBox="1"/>
      </xdr:nvSpPr>
      <xdr:spPr>
        <a:xfrm>
          <a:off x="847725" y="5910200"/>
          <a:ext cx="2823483" cy="877661"/>
        </a:xfrm>
        <a:prstGeom prst="rect">
          <a:avLst/>
        </a:prstGeom>
        <a:noFill/>
        <a:ln>
          <a:noFill/>
        </a:ln>
        <a:effectLst/>
      </xdr:spPr>
      <xdr:txBody>
        <a:bodyPr vertOverflow="clip" horzOverflow="clip" wrap="non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a:ln>
              <a:noFill/>
            </a:ln>
            <a:solidFill>
              <a:prstClr val="black"/>
            </a:solidFill>
            <a:effectLst/>
            <a:uLnTx/>
            <a:uFillTx/>
            <a:latin typeface="Calibri" panose="020F0502020204030204"/>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1" i="0" u="sng" strike="noStrike" kern="0" cap="none" spc="0" normalizeH="0" baseline="0" noProof="0">
              <a:ln>
                <a:noFill/>
              </a:ln>
              <a:solidFill>
                <a:prstClr val="black"/>
              </a:solidFill>
              <a:effectLst/>
              <a:uLnTx/>
              <a:uFillTx/>
              <a:latin typeface="Calibri" panose="020F0502020204030204"/>
              <a:ea typeface="+mn-ea"/>
              <a:cs typeface="+mn-cs"/>
            </a:rPr>
            <a:t>LIC. ISMAEL NORZAGARAY MICHEL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prstClr val="black"/>
              </a:solidFill>
              <a:effectLst/>
              <a:uLnTx/>
              <a:uFillTx/>
              <a:latin typeface="Calibri" panose="020F0502020204030204"/>
              <a:ea typeface="+mn-ea"/>
              <a:cs typeface="+mn-cs"/>
            </a:rPr>
            <a:t>DIRECTOR ADMINISTRATIVO </a:t>
          </a:r>
          <a:endParaRPr kumimoji="0" lang="es-ES" sz="1000" b="0" i="0" u="none" strike="noStrike" kern="0" cap="none" spc="0" normalizeH="0" baseline="0" noProof="0">
            <a:ln>
              <a:noFill/>
            </a:ln>
            <a:solidFill>
              <a:prstClr val="black"/>
            </a:solidFill>
            <a:effectLst/>
            <a:uLnTx/>
            <a:uFillTx/>
            <a:latin typeface="Calibri" panose="020F0502020204030204"/>
            <a:ea typeface="+mn-ea"/>
            <a:cs typeface="+mn-cs"/>
          </a:endParaRP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2</xdr:row>
      <xdr:rowOff>142875</xdr:rowOff>
    </xdr:from>
    <xdr:ext cx="184731" cy="264560"/>
    <xdr:sp macro="" textlink="">
      <xdr:nvSpPr>
        <xdr:cNvPr id="2" name="1 CuadroTexto">
          <a:extLst>
            <a:ext uri="{FF2B5EF4-FFF2-40B4-BE49-F238E27FC236}">
              <a16:creationId xmlns:a16="http://schemas.microsoft.com/office/drawing/2014/main" id="{00000000-0008-0000-0B00-000002000000}"/>
            </a:ext>
          </a:extLst>
        </xdr:cNvPr>
        <xdr:cNvSpPr txBox="1"/>
      </xdr:nvSpPr>
      <xdr:spPr>
        <a:xfrm>
          <a:off x="762000" y="71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8</xdr:col>
      <xdr:colOff>761753</xdr:colOff>
      <xdr:row>0</xdr:row>
      <xdr:rowOff>76200</xdr:rowOff>
    </xdr:from>
    <xdr:ext cx="184730" cy="254557"/>
    <xdr:sp macro="" textlink="">
      <xdr:nvSpPr>
        <xdr:cNvPr id="4" name="3 CuadroTexto">
          <a:extLst>
            <a:ext uri="{FF2B5EF4-FFF2-40B4-BE49-F238E27FC236}">
              <a16:creationId xmlns:a16="http://schemas.microsoft.com/office/drawing/2014/main" id="{00000000-0008-0000-0B00-000004000000}"/>
            </a:ext>
          </a:extLst>
        </xdr:cNvPr>
        <xdr:cNvSpPr txBox="1"/>
      </xdr:nvSpPr>
      <xdr:spPr>
        <a:xfrm>
          <a:off x="7344586" y="76200"/>
          <a:ext cx="184730"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endParaRPr lang="es-MX" sz="1100" b="1">
            <a:latin typeface="Arial" pitchFamily="34" charset="0"/>
            <a:cs typeface="Arial" pitchFamily="34" charset="0"/>
          </a:endParaRPr>
        </a:p>
      </xdr:txBody>
    </xdr:sp>
    <xdr:clientData/>
  </xdr:oneCellAnchor>
  <xdr:oneCellAnchor>
    <xdr:from>
      <xdr:col>7</xdr:col>
      <xdr:colOff>0</xdr:colOff>
      <xdr:row>2</xdr:row>
      <xdr:rowOff>142875</xdr:rowOff>
    </xdr:from>
    <xdr:ext cx="184731" cy="264560"/>
    <xdr:sp macro="" textlink="">
      <xdr:nvSpPr>
        <xdr:cNvPr id="6" name="4 CuadroTexto">
          <a:extLst>
            <a:ext uri="{FF2B5EF4-FFF2-40B4-BE49-F238E27FC236}">
              <a16:creationId xmlns:a16="http://schemas.microsoft.com/office/drawing/2014/main" id="{00000000-0008-0000-0B00-000006000000}"/>
            </a:ext>
          </a:extLst>
        </xdr:cNvPr>
        <xdr:cNvSpPr txBox="1"/>
      </xdr:nvSpPr>
      <xdr:spPr>
        <a:xfrm>
          <a:off x="5391150"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4</xdr:col>
      <xdr:colOff>455083</xdr:colOff>
      <xdr:row>2</xdr:row>
      <xdr:rowOff>52917</xdr:rowOff>
    </xdr:from>
    <xdr:ext cx="3524250" cy="342900"/>
    <xdr:sp macro="" textlink="">
      <xdr:nvSpPr>
        <xdr:cNvPr id="10" name="9 CuadroTexto">
          <a:extLst>
            <a:ext uri="{FF2B5EF4-FFF2-40B4-BE49-F238E27FC236}">
              <a16:creationId xmlns:a16="http://schemas.microsoft.com/office/drawing/2014/main" id="{00000000-0008-0000-0B00-00000A000000}"/>
            </a:ext>
          </a:extLst>
        </xdr:cNvPr>
        <xdr:cNvSpPr txBox="1"/>
      </xdr:nvSpPr>
      <xdr:spPr>
        <a:xfrm>
          <a:off x="3968750" y="476250"/>
          <a:ext cx="3524250" cy="342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lang="es-MX" sz="1100" b="1">
              <a:latin typeface="Arial" pitchFamily="34" charset="0"/>
              <a:cs typeface="Arial" pitchFamily="34" charset="0"/>
            </a:rPr>
            <a:t>CUENTA PÚBLICA</a:t>
          </a:r>
          <a:r>
            <a:rPr lang="es-MX" sz="1100" b="1" baseline="0">
              <a:latin typeface="Arial" pitchFamily="34" charset="0"/>
              <a:cs typeface="Arial" pitchFamily="34" charset="0"/>
            </a:rPr>
            <a:t> 2023</a:t>
          </a:r>
          <a:endParaRPr lang="es-MX" sz="1100" b="1">
            <a:latin typeface="Arial" pitchFamily="34" charset="0"/>
            <a:cs typeface="Arial" pitchFamily="34" charset="0"/>
          </a:endParaRPr>
        </a:p>
      </xdr:txBody>
    </xdr:sp>
    <xdr:clientData/>
  </xdr:oneCellAnchor>
  <xdr:twoCellAnchor>
    <xdr:from>
      <xdr:col>5</xdr:col>
      <xdr:colOff>605518</xdr:colOff>
      <xdr:row>25</xdr:row>
      <xdr:rowOff>9525</xdr:rowOff>
    </xdr:from>
    <xdr:to>
      <xdr:col>9</xdr:col>
      <xdr:colOff>85725</xdr:colOff>
      <xdr:row>29</xdr:row>
      <xdr:rowOff>163286</xdr:rowOff>
    </xdr:to>
    <xdr:sp macro="" textlink="">
      <xdr:nvSpPr>
        <xdr:cNvPr id="3" name="4 CuadroTexto">
          <a:extLst>
            <a:ext uri="{FF2B5EF4-FFF2-40B4-BE49-F238E27FC236}">
              <a16:creationId xmlns:a16="http://schemas.microsoft.com/office/drawing/2014/main" id="{593193AC-061E-480A-8368-A0C141FE0EC4}"/>
            </a:ext>
          </a:extLst>
        </xdr:cNvPr>
        <xdr:cNvSpPr txBox="1"/>
      </xdr:nvSpPr>
      <xdr:spPr>
        <a:xfrm>
          <a:off x="4872718" y="8029575"/>
          <a:ext cx="2747282" cy="991961"/>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900" b="0" i="0" u="none" strike="noStrike" kern="0" cap="none" spc="0" normalizeH="0" baseline="0" noProof="0">
              <a:ln>
                <a:noFill/>
              </a:ln>
              <a:solidFill>
                <a:sysClr val="window" lastClr="FFFFFF"/>
              </a:solidFill>
              <a:effectLst/>
              <a:uLnTx/>
              <a:uFillTx/>
              <a:latin typeface="Calibri" panose="020F0502020204030204"/>
              <a:ea typeface="+mn-ea"/>
              <a:cs typeface="+mn-cs"/>
            </a:rPr>
            <a:t>====================================================================   </a:t>
          </a: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900" b="1" i="0" u="sng" strike="noStrike" kern="0" cap="none" spc="0" normalizeH="0" baseline="0" noProof="0">
              <a:ln>
                <a:noFill/>
              </a:ln>
              <a:solidFill>
                <a:sysClr val="windowText" lastClr="000000"/>
              </a:solidFill>
              <a:effectLst/>
              <a:uLnTx/>
              <a:uFillTx/>
              <a:latin typeface="Calibri" panose="020F0502020204030204"/>
              <a:ea typeface="+mn-ea"/>
              <a:cs typeface="+mn-cs"/>
            </a:rPr>
            <a:t>C.P. REBECA I. LAGUNA FIGUEROA</a:t>
          </a: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900" b="1" i="0" u="none" strike="noStrike" kern="0" cap="none" spc="0" normalizeH="0" baseline="0" noProof="0">
              <a:ln>
                <a:noFill/>
              </a:ln>
              <a:solidFill>
                <a:sysClr val="windowText" lastClr="000000"/>
              </a:solidFill>
              <a:effectLst/>
              <a:uLnTx/>
              <a:uFillTx/>
              <a:latin typeface="Calibri" panose="020F0502020204030204"/>
              <a:ea typeface="+mn-ea"/>
              <a:cs typeface="+mn-cs"/>
            </a:rPr>
            <a:t>DIRECTORA GENERAL DE ADMINISTRACION Y FINANZAS </a:t>
          </a:r>
        </a:p>
      </xdr:txBody>
    </xdr:sp>
    <xdr:clientData/>
  </xdr:twoCellAnchor>
  <xdr:oneCellAnchor>
    <xdr:from>
      <xdr:col>0</xdr:col>
      <xdr:colOff>0</xdr:colOff>
      <xdr:row>25</xdr:row>
      <xdr:rowOff>138050</xdr:rowOff>
    </xdr:from>
    <xdr:ext cx="2823483" cy="877661"/>
    <xdr:sp macro="" textlink="">
      <xdr:nvSpPr>
        <xdr:cNvPr id="5" name="CuadroTexto 5">
          <a:extLst>
            <a:ext uri="{FF2B5EF4-FFF2-40B4-BE49-F238E27FC236}">
              <a16:creationId xmlns:a16="http://schemas.microsoft.com/office/drawing/2014/main" id="{77BD2C3E-5C1E-40DE-BE42-939A1D605A01}"/>
            </a:ext>
          </a:extLst>
        </xdr:cNvPr>
        <xdr:cNvSpPr txBox="1"/>
      </xdr:nvSpPr>
      <xdr:spPr>
        <a:xfrm>
          <a:off x="0" y="8158100"/>
          <a:ext cx="2823483" cy="877661"/>
        </a:xfrm>
        <a:prstGeom prst="rect">
          <a:avLst/>
        </a:prstGeom>
        <a:noFill/>
        <a:ln>
          <a:noFill/>
        </a:ln>
        <a:effectLst/>
      </xdr:spPr>
      <xdr:txBody>
        <a:bodyPr vertOverflow="clip" horzOverflow="clip" wrap="non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a:ln>
              <a:noFill/>
            </a:ln>
            <a:solidFill>
              <a:prstClr val="black"/>
            </a:solidFill>
            <a:effectLst/>
            <a:uLnTx/>
            <a:uFillTx/>
            <a:latin typeface="Calibri" panose="020F0502020204030204"/>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1" i="0" u="sng" strike="noStrike" kern="0" cap="none" spc="0" normalizeH="0" baseline="0" noProof="0">
              <a:ln>
                <a:noFill/>
              </a:ln>
              <a:solidFill>
                <a:prstClr val="black"/>
              </a:solidFill>
              <a:effectLst/>
              <a:uLnTx/>
              <a:uFillTx/>
              <a:latin typeface="Calibri" panose="020F0502020204030204"/>
              <a:ea typeface="+mn-ea"/>
              <a:cs typeface="+mn-cs"/>
            </a:rPr>
            <a:t>LIC. ISMAEL NORZAGARAY MICHEL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prstClr val="black"/>
              </a:solidFill>
              <a:effectLst/>
              <a:uLnTx/>
              <a:uFillTx/>
              <a:latin typeface="Calibri" panose="020F0502020204030204"/>
              <a:ea typeface="+mn-ea"/>
              <a:cs typeface="+mn-cs"/>
            </a:rPr>
            <a:t>DIRECTOR ADMINISTRATIVO </a:t>
          </a:r>
          <a:endParaRPr kumimoji="0" lang="es-ES" sz="1000" b="0" i="0" u="none" strike="noStrike" kern="0" cap="none" spc="0" normalizeH="0" baseline="0" noProof="0">
            <a:ln>
              <a:noFill/>
            </a:ln>
            <a:solidFill>
              <a:prstClr val="black"/>
            </a:solidFill>
            <a:effectLst/>
            <a:uLnTx/>
            <a:uFillTx/>
            <a:latin typeface="Calibri" panose="020F0502020204030204"/>
            <a:ea typeface="+mn-ea"/>
            <a:cs typeface="+mn-cs"/>
          </a:endParaRP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9</xdr:col>
      <xdr:colOff>456953</xdr:colOff>
      <xdr:row>0</xdr:row>
      <xdr:rowOff>0</xdr:rowOff>
    </xdr:from>
    <xdr:ext cx="184730" cy="254557"/>
    <xdr:sp macro="" textlink="">
      <xdr:nvSpPr>
        <xdr:cNvPr id="4" name="3 CuadroTexto">
          <a:extLst>
            <a:ext uri="{FF2B5EF4-FFF2-40B4-BE49-F238E27FC236}">
              <a16:creationId xmlns:a16="http://schemas.microsoft.com/office/drawing/2014/main" id="{00000000-0008-0000-0C00-000004000000}"/>
            </a:ext>
          </a:extLst>
        </xdr:cNvPr>
        <xdr:cNvSpPr txBox="1"/>
      </xdr:nvSpPr>
      <xdr:spPr>
        <a:xfrm>
          <a:off x="6791078" y="0"/>
          <a:ext cx="184730"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endParaRPr lang="es-MX" sz="1100" b="1">
            <a:latin typeface="Arial" pitchFamily="34" charset="0"/>
            <a:cs typeface="Arial" pitchFamily="34" charset="0"/>
          </a:endParaRPr>
        </a:p>
      </xdr:txBody>
    </xdr:sp>
    <xdr:clientData/>
  </xdr:oneCellAnchor>
  <xdr:oneCellAnchor>
    <xdr:from>
      <xdr:col>8</xdr:col>
      <xdr:colOff>0</xdr:colOff>
      <xdr:row>2</xdr:row>
      <xdr:rowOff>142875</xdr:rowOff>
    </xdr:from>
    <xdr:ext cx="184731" cy="264560"/>
    <xdr:sp macro="" textlink="">
      <xdr:nvSpPr>
        <xdr:cNvPr id="6" name="4 CuadroTexto">
          <a:extLst>
            <a:ext uri="{FF2B5EF4-FFF2-40B4-BE49-F238E27FC236}">
              <a16:creationId xmlns:a16="http://schemas.microsoft.com/office/drawing/2014/main" id="{00000000-0008-0000-0C00-000006000000}"/>
            </a:ext>
          </a:extLst>
        </xdr:cNvPr>
        <xdr:cNvSpPr txBox="1"/>
      </xdr:nvSpPr>
      <xdr:spPr>
        <a:xfrm>
          <a:off x="5829300" y="77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5</xdr:col>
      <xdr:colOff>266700</xdr:colOff>
      <xdr:row>2</xdr:row>
      <xdr:rowOff>66675</xdr:rowOff>
    </xdr:from>
    <xdr:ext cx="3524250" cy="342900"/>
    <xdr:sp macro="" textlink="">
      <xdr:nvSpPr>
        <xdr:cNvPr id="7" name="6 CuadroTexto">
          <a:extLst>
            <a:ext uri="{FF2B5EF4-FFF2-40B4-BE49-F238E27FC236}">
              <a16:creationId xmlns:a16="http://schemas.microsoft.com/office/drawing/2014/main" id="{00000000-0008-0000-0C00-000007000000}"/>
            </a:ext>
          </a:extLst>
        </xdr:cNvPr>
        <xdr:cNvSpPr txBox="1"/>
      </xdr:nvSpPr>
      <xdr:spPr>
        <a:xfrm>
          <a:off x="3524250" y="485775"/>
          <a:ext cx="3524250" cy="342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lang="es-MX" sz="1100" b="1">
              <a:latin typeface="Arial" pitchFamily="34" charset="0"/>
              <a:cs typeface="Arial" pitchFamily="34" charset="0"/>
            </a:rPr>
            <a:t>CUENTA PÚBLICA 2023</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2</xdr:row>
      <xdr:rowOff>142875</xdr:rowOff>
    </xdr:from>
    <xdr:ext cx="184731" cy="264560"/>
    <xdr:sp macro="" textlink="">
      <xdr:nvSpPr>
        <xdr:cNvPr id="2" name="1 CuadroTexto">
          <a:extLst>
            <a:ext uri="{FF2B5EF4-FFF2-40B4-BE49-F238E27FC236}">
              <a16:creationId xmlns:a16="http://schemas.microsoft.com/office/drawing/2014/main" id="{00000000-0008-0000-0D00-000002000000}"/>
            </a:ext>
          </a:extLst>
        </xdr:cNvPr>
        <xdr:cNvSpPr txBox="1"/>
      </xdr:nvSpPr>
      <xdr:spPr>
        <a:xfrm>
          <a:off x="0" y="75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0</xdr:colOff>
      <xdr:row>2</xdr:row>
      <xdr:rowOff>142875</xdr:rowOff>
    </xdr:from>
    <xdr:ext cx="184731" cy="264560"/>
    <xdr:sp macro="" textlink="">
      <xdr:nvSpPr>
        <xdr:cNvPr id="3" name="2 CuadroTexto">
          <a:extLst>
            <a:ext uri="{FF2B5EF4-FFF2-40B4-BE49-F238E27FC236}">
              <a16:creationId xmlns:a16="http://schemas.microsoft.com/office/drawing/2014/main" id="{00000000-0008-0000-0D00-000003000000}"/>
            </a:ext>
          </a:extLst>
        </xdr:cNvPr>
        <xdr:cNvSpPr txBox="1"/>
      </xdr:nvSpPr>
      <xdr:spPr>
        <a:xfrm>
          <a:off x="0" y="75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7</xdr:col>
      <xdr:colOff>700406</xdr:colOff>
      <xdr:row>0</xdr:row>
      <xdr:rowOff>0</xdr:rowOff>
    </xdr:from>
    <xdr:ext cx="184731" cy="254557"/>
    <xdr:sp macro="" textlink="">
      <xdr:nvSpPr>
        <xdr:cNvPr id="4" name="3 CuadroTexto">
          <a:extLst>
            <a:ext uri="{FF2B5EF4-FFF2-40B4-BE49-F238E27FC236}">
              <a16:creationId xmlns:a16="http://schemas.microsoft.com/office/drawing/2014/main" id="{00000000-0008-0000-0D00-000004000000}"/>
            </a:ext>
          </a:extLst>
        </xdr:cNvPr>
        <xdr:cNvSpPr txBox="1"/>
      </xdr:nvSpPr>
      <xdr:spPr>
        <a:xfrm>
          <a:off x="7606031" y="0"/>
          <a:ext cx="184731"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endParaRPr lang="es-MX" sz="1100" b="1">
            <a:latin typeface="Arial" pitchFamily="34" charset="0"/>
            <a:cs typeface="Arial" pitchFamily="34" charset="0"/>
          </a:endParaRPr>
        </a:p>
      </xdr:txBody>
    </xdr:sp>
    <xdr:clientData/>
  </xdr:oneCellAnchor>
  <xdr:oneCellAnchor>
    <xdr:from>
      <xdr:col>1</xdr:col>
      <xdr:colOff>0</xdr:colOff>
      <xdr:row>2</xdr:row>
      <xdr:rowOff>142875</xdr:rowOff>
    </xdr:from>
    <xdr:ext cx="184731" cy="264560"/>
    <xdr:sp macro="" textlink="">
      <xdr:nvSpPr>
        <xdr:cNvPr id="5" name="1 CuadroTexto">
          <a:extLst>
            <a:ext uri="{FF2B5EF4-FFF2-40B4-BE49-F238E27FC236}">
              <a16:creationId xmlns:a16="http://schemas.microsoft.com/office/drawing/2014/main" id="{00000000-0008-0000-0D00-000005000000}"/>
            </a:ext>
          </a:extLst>
        </xdr:cNvPr>
        <xdr:cNvSpPr txBox="1"/>
      </xdr:nvSpPr>
      <xdr:spPr>
        <a:xfrm>
          <a:off x="76200" y="75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2</xdr:row>
      <xdr:rowOff>142875</xdr:rowOff>
    </xdr:from>
    <xdr:ext cx="184731" cy="264560"/>
    <xdr:sp macro="" textlink="">
      <xdr:nvSpPr>
        <xdr:cNvPr id="6" name="2 CuadroTexto">
          <a:extLst>
            <a:ext uri="{FF2B5EF4-FFF2-40B4-BE49-F238E27FC236}">
              <a16:creationId xmlns:a16="http://schemas.microsoft.com/office/drawing/2014/main" id="{00000000-0008-0000-0D00-000006000000}"/>
            </a:ext>
          </a:extLst>
        </xdr:cNvPr>
        <xdr:cNvSpPr txBox="1"/>
      </xdr:nvSpPr>
      <xdr:spPr>
        <a:xfrm>
          <a:off x="76200" y="75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7</xdr:col>
      <xdr:colOff>0</xdr:colOff>
      <xdr:row>2</xdr:row>
      <xdr:rowOff>142875</xdr:rowOff>
    </xdr:from>
    <xdr:ext cx="184731" cy="264560"/>
    <xdr:sp macro="" textlink="">
      <xdr:nvSpPr>
        <xdr:cNvPr id="7" name="4 CuadroTexto">
          <a:extLst>
            <a:ext uri="{FF2B5EF4-FFF2-40B4-BE49-F238E27FC236}">
              <a16:creationId xmlns:a16="http://schemas.microsoft.com/office/drawing/2014/main" id="{00000000-0008-0000-0D00-000007000000}"/>
            </a:ext>
          </a:extLst>
        </xdr:cNvPr>
        <xdr:cNvSpPr txBox="1"/>
      </xdr:nvSpPr>
      <xdr:spPr>
        <a:xfrm>
          <a:off x="6905625" y="75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4</xdr:col>
      <xdr:colOff>209550</xdr:colOff>
      <xdr:row>2</xdr:row>
      <xdr:rowOff>57150</xdr:rowOff>
    </xdr:from>
    <xdr:ext cx="3524250" cy="342900"/>
    <xdr:sp macro="" textlink="">
      <xdr:nvSpPr>
        <xdr:cNvPr id="12" name="11 CuadroTexto">
          <a:extLst>
            <a:ext uri="{FF2B5EF4-FFF2-40B4-BE49-F238E27FC236}">
              <a16:creationId xmlns:a16="http://schemas.microsoft.com/office/drawing/2014/main" id="{00000000-0008-0000-0D00-00000C000000}"/>
            </a:ext>
          </a:extLst>
        </xdr:cNvPr>
        <xdr:cNvSpPr txBox="1"/>
      </xdr:nvSpPr>
      <xdr:spPr>
        <a:xfrm>
          <a:off x="4305300" y="466725"/>
          <a:ext cx="3524250" cy="342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lang="es-MX" sz="1100" b="1">
              <a:latin typeface="Arial" pitchFamily="34" charset="0"/>
              <a:cs typeface="Arial" pitchFamily="34" charset="0"/>
            </a:rPr>
            <a:t>CUENTA PÚBLICA 2023</a:t>
          </a:r>
        </a:p>
      </xdr:txBody>
    </xdr:sp>
    <xdr:clientData/>
  </xdr:oneCellAnchor>
  <xdr:twoCellAnchor>
    <xdr:from>
      <xdr:col>4</xdr:col>
      <xdr:colOff>853168</xdr:colOff>
      <xdr:row>45</xdr:row>
      <xdr:rowOff>0</xdr:rowOff>
    </xdr:from>
    <xdr:to>
      <xdr:col>7</xdr:col>
      <xdr:colOff>790575</xdr:colOff>
      <xdr:row>49</xdr:row>
      <xdr:rowOff>39461</xdr:rowOff>
    </xdr:to>
    <xdr:sp macro="" textlink="">
      <xdr:nvSpPr>
        <xdr:cNvPr id="10" name="4 CuadroTexto">
          <a:extLst>
            <a:ext uri="{FF2B5EF4-FFF2-40B4-BE49-F238E27FC236}">
              <a16:creationId xmlns:a16="http://schemas.microsoft.com/office/drawing/2014/main" id="{839803D7-111D-4F5E-9C2A-2E83E1F7E96C}"/>
            </a:ext>
          </a:extLst>
        </xdr:cNvPr>
        <xdr:cNvSpPr txBox="1"/>
      </xdr:nvSpPr>
      <xdr:spPr>
        <a:xfrm>
          <a:off x="4948918" y="12363450"/>
          <a:ext cx="2747282" cy="991961"/>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900" b="0" i="0" u="none" strike="noStrike" kern="0" cap="none" spc="0" normalizeH="0" baseline="0" noProof="0">
              <a:ln>
                <a:noFill/>
              </a:ln>
              <a:solidFill>
                <a:sysClr val="window" lastClr="FFFFFF"/>
              </a:solidFill>
              <a:effectLst/>
              <a:uLnTx/>
              <a:uFillTx/>
              <a:latin typeface="Calibri" panose="020F0502020204030204"/>
              <a:ea typeface="+mn-ea"/>
              <a:cs typeface="+mn-cs"/>
            </a:rPr>
            <a:t>====================================================================   </a:t>
          </a: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900" b="1" i="0" u="sng" strike="noStrike" kern="0" cap="none" spc="0" normalizeH="0" baseline="0" noProof="0">
              <a:ln>
                <a:noFill/>
              </a:ln>
              <a:solidFill>
                <a:sysClr val="windowText" lastClr="000000"/>
              </a:solidFill>
              <a:effectLst/>
              <a:uLnTx/>
              <a:uFillTx/>
              <a:latin typeface="Calibri" panose="020F0502020204030204"/>
              <a:ea typeface="+mn-ea"/>
              <a:cs typeface="+mn-cs"/>
            </a:rPr>
            <a:t>C.P. REBECA I. LAGUNA FIGUEROA</a:t>
          </a: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900" b="1" i="0" u="none" strike="noStrike" kern="0" cap="none" spc="0" normalizeH="0" baseline="0" noProof="0">
              <a:ln>
                <a:noFill/>
              </a:ln>
              <a:solidFill>
                <a:sysClr val="windowText" lastClr="000000"/>
              </a:solidFill>
              <a:effectLst/>
              <a:uLnTx/>
              <a:uFillTx/>
              <a:latin typeface="Calibri" panose="020F0502020204030204"/>
              <a:ea typeface="+mn-ea"/>
              <a:cs typeface="+mn-cs"/>
            </a:rPr>
            <a:t>DIRECTORA GENERAL DE ADMINISTRACION Y FINANZAS </a:t>
          </a:r>
        </a:p>
      </xdr:txBody>
    </xdr:sp>
    <xdr:clientData/>
  </xdr:twoCellAnchor>
  <xdr:oneCellAnchor>
    <xdr:from>
      <xdr:col>1</xdr:col>
      <xdr:colOff>0</xdr:colOff>
      <xdr:row>45</xdr:row>
      <xdr:rowOff>128525</xdr:rowOff>
    </xdr:from>
    <xdr:ext cx="2823483" cy="877661"/>
    <xdr:sp macro="" textlink="">
      <xdr:nvSpPr>
        <xdr:cNvPr id="11" name="CuadroTexto 5">
          <a:extLst>
            <a:ext uri="{FF2B5EF4-FFF2-40B4-BE49-F238E27FC236}">
              <a16:creationId xmlns:a16="http://schemas.microsoft.com/office/drawing/2014/main" id="{DF0A9981-DE0C-4728-A2DA-B2C62D11FFEC}"/>
            </a:ext>
          </a:extLst>
        </xdr:cNvPr>
        <xdr:cNvSpPr txBox="1"/>
      </xdr:nvSpPr>
      <xdr:spPr>
        <a:xfrm>
          <a:off x="76200" y="12491975"/>
          <a:ext cx="2823483" cy="877661"/>
        </a:xfrm>
        <a:prstGeom prst="rect">
          <a:avLst/>
        </a:prstGeom>
        <a:noFill/>
        <a:ln>
          <a:noFill/>
        </a:ln>
        <a:effectLst/>
      </xdr:spPr>
      <xdr:txBody>
        <a:bodyPr vertOverflow="clip" horzOverflow="clip" wrap="non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a:ln>
              <a:noFill/>
            </a:ln>
            <a:solidFill>
              <a:prstClr val="black"/>
            </a:solidFill>
            <a:effectLst/>
            <a:uLnTx/>
            <a:uFillTx/>
            <a:latin typeface="Calibri" panose="020F0502020204030204"/>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1" i="0" u="sng" strike="noStrike" kern="0" cap="none" spc="0" normalizeH="0" baseline="0" noProof="0">
              <a:ln>
                <a:noFill/>
              </a:ln>
              <a:solidFill>
                <a:prstClr val="black"/>
              </a:solidFill>
              <a:effectLst/>
              <a:uLnTx/>
              <a:uFillTx/>
              <a:latin typeface="Calibri" panose="020F0502020204030204"/>
              <a:ea typeface="+mn-ea"/>
              <a:cs typeface="+mn-cs"/>
            </a:rPr>
            <a:t>LIC. ISMAEL NORZAGARAY MICHEL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prstClr val="black"/>
              </a:solidFill>
              <a:effectLst/>
              <a:uLnTx/>
              <a:uFillTx/>
              <a:latin typeface="Calibri" panose="020F0502020204030204"/>
              <a:ea typeface="+mn-ea"/>
              <a:cs typeface="+mn-cs"/>
            </a:rPr>
            <a:t>DIRECTOR ADMINISTRATIVO </a:t>
          </a:r>
          <a:endParaRPr kumimoji="0" lang="es-ES" sz="1000" b="0" i="0" u="none" strike="noStrike" kern="0" cap="none" spc="0" normalizeH="0" baseline="0" noProof="0">
            <a:ln>
              <a:noFill/>
            </a:ln>
            <a:solidFill>
              <a:prstClr val="black"/>
            </a:solidFill>
            <a:effectLst/>
            <a:uLnTx/>
            <a:uFillTx/>
            <a:latin typeface="Calibri" panose="020F0502020204030204"/>
            <a:ea typeface="+mn-ea"/>
            <a:cs typeface="+mn-cs"/>
          </a:endParaRP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7</xdr:col>
      <xdr:colOff>190500</xdr:colOff>
      <xdr:row>0</xdr:row>
      <xdr:rowOff>0</xdr:rowOff>
    </xdr:from>
    <xdr:ext cx="1325551" cy="254557"/>
    <xdr:sp macro="" textlink="">
      <xdr:nvSpPr>
        <xdr:cNvPr id="2" name="3 CuadroTexto">
          <a:extLst>
            <a:ext uri="{FF2B5EF4-FFF2-40B4-BE49-F238E27FC236}">
              <a16:creationId xmlns:a16="http://schemas.microsoft.com/office/drawing/2014/main" id="{00000000-0008-0000-0E00-000002000000}"/>
            </a:ext>
          </a:extLst>
        </xdr:cNvPr>
        <xdr:cNvSpPr txBox="1"/>
      </xdr:nvSpPr>
      <xdr:spPr>
        <a:xfrm>
          <a:off x="6496050" y="0"/>
          <a:ext cx="1325551"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endParaRPr lang="es-MX" sz="1100" b="1">
            <a:latin typeface="Arial" pitchFamily="34" charset="0"/>
            <a:cs typeface="Arial" pitchFamily="34" charset="0"/>
          </a:endParaRPr>
        </a:p>
      </xdr:txBody>
    </xdr:sp>
    <xdr:clientData/>
  </xdr:oneCellAnchor>
  <xdr:oneCellAnchor>
    <xdr:from>
      <xdr:col>4</xdr:col>
      <xdr:colOff>359020</xdr:colOff>
      <xdr:row>2</xdr:row>
      <xdr:rowOff>36633</xdr:rowOff>
    </xdr:from>
    <xdr:ext cx="3524250" cy="342900"/>
    <xdr:sp macro="" textlink="">
      <xdr:nvSpPr>
        <xdr:cNvPr id="6" name="5 CuadroTexto">
          <a:extLst>
            <a:ext uri="{FF2B5EF4-FFF2-40B4-BE49-F238E27FC236}">
              <a16:creationId xmlns:a16="http://schemas.microsoft.com/office/drawing/2014/main" id="{00000000-0008-0000-0E00-000006000000}"/>
            </a:ext>
          </a:extLst>
        </xdr:cNvPr>
        <xdr:cNvSpPr txBox="1"/>
      </xdr:nvSpPr>
      <xdr:spPr>
        <a:xfrm>
          <a:off x="4520712" y="432287"/>
          <a:ext cx="3524250" cy="342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lang="es-MX" sz="1100" b="1">
              <a:latin typeface="Arial" pitchFamily="34" charset="0"/>
              <a:cs typeface="Arial" pitchFamily="34" charset="0"/>
            </a:rPr>
            <a:t>CUENTA PÚBLICA 2023</a:t>
          </a:r>
        </a:p>
      </xdr:txBody>
    </xdr:sp>
    <xdr:clientData/>
  </xdr:oneCellAnchor>
  <xdr:twoCellAnchor>
    <xdr:from>
      <xdr:col>5</xdr:col>
      <xdr:colOff>14968</xdr:colOff>
      <xdr:row>81</xdr:row>
      <xdr:rowOff>36634</xdr:rowOff>
    </xdr:from>
    <xdr:to>
      <xdr:col>8</xdr:col>
      <xdr:colOff>476250</xdr:colOff>
      <xdr:row>86</xdr:row>
      <xdr:rowOff>76095</xdr:rowOff>
    </xdr:to>
    <xdr:sp macro="" textlink="">
      <xdr:nvSpPr>
        <xdr:cNvPr id="3" name="4 CuadroTexto">
          <a:extLst>
            <a:ext uri="{FF2B5EF4-FFF2-40B4-BE49-F238E27FC236}">
              <a16:creationId xmlns:a16="http://schemas.microsoft.com/office/drawing/2014/main" id="{373116C5-0BDC-49CF-B9CB-01920EC50D4D}"/>
            </a:ext>
          </a:extLst>
        </xdr:cNvPr>
        <xdr:cNvSpPr txBox="1"/>
      </xdr:nvSpPr>
      <xdr:spPr>
        <a:xfrm>
          <a:off x="5033910" y="15313269"/>
          <a:ext cx="2747282" cy="991961"/>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900" b="0" i="0" u="none" strike="noStrike" kern="0" cap="none" spc="0" normalizeH="0" baseline="0" noProof="0">
              <a:ln>
                <a:noFill/>
              </a:ln>
              <a:solidFill>
                <a:sysClr val="window" lastClr="FFFFFF"/>
              </a:solidFill>
              <a:effectLst/>
              <a:uLnTx/>
              <a:uFillTx/>
              <a:latin typeface="Calibri" panose="020F0502020204030204"/>
              <a:ea typeface="+mn-ea"/>
              <a:cs typeface="+mn-cs"/>
            </a:rPr>
            <a:t>====================================================================   </a:t>
          </a: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900" b="1" i="0" u="sng" strike="noStrike" kern="0" cap="none" spc="0" normalizeH="0" baseline="0" noProof="0">
              <a:ln>
                <a:noFill/>
              </a:ln>
              <a:solidFill>
                <a:sysClr val="windowText" lastClr="000000"/>
              </a:solidFill>
              <a:effectLst/>
              <a:uLnTx/>
              <a:uFillTx/>
              <a:latin typeface="Calibri" panose="020F0502020204030204"/>
              <a:ea typeface="+mn-ea"/>
              <a:cs typeface="+mn-cs"/>
            </a:rPr>
            <a:t>C.P. REBECA I. LAGUNA FIGUEROA</a:t>
          </a: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900" b="1" i="0" u="none" strike="noStrike" kern="0" cap="none" spc="0" normalizeH="0" baseline="0" noProof="0">
              <a:ln>
                <a:noFill/>
              </a:ln>
              <a:solidFill>
                <a:sysClr val="windowText" lastClr="000000"/>
              </a:solidFill>
              <a:effectLst/>
              <a:uLnTx/>
              <a:uFillTx/>
              <a:latin typeface="Calibri" panose="020F0502020204030204"/>
              <a:ea typeface="+mn-ea"/>
              <a:cs typeface="+mn-cs"/>
            </a:rPr>
            <a:t>DIRECTORA GENERAL DE ADMINISTRACION Y FINANZAS </a:t>
          </a:r>
        </a:p>
      </xdr:txBody>
    </xdr:sp>
    <xdr:clientData/>
  </xdr:twoCellAnchor>
  <xdr:oneCellAnchor>
    <xdr:from>
      <xdr:col>1</xdr:col>
      <xdr:colOff>36634</xdr:colOff>
      <xdr:row>81</xdr:row>
      <xdr:rowOff>165159</xdr:rowOff>
    </xdr:from>
    <xdr:ext cx="2823483" cy="877661"/>
    <xdr:sp macro="" textlink="">
      <xdr:nvSpPr>
        <xdr:cNvPr id="7" name="CuadroTexto 5">
          <a:extLst>
            <a:ext uri="{FF2B5EF4-FFF2-40B4-BE49-F238E27FC236}">
              <a16:creationId xmlns:a16="http://schemas.microsoft.com/office/drawing/2014/main" id="{D41F3672-55EF-4D50-8FD9-23AE47305BB0}"/>
            </a:ext>
          </a:extLst>
        </xdr:cNvPr>
        <xdr:cNvSpPr txBox="1"/>
      </xdr:nvSpPr>
      <xdr:spPr>
        <a:xfrm>
          <a:off x="161192" y="15441794"/>
          <a:ext cx="2823483" cy="877661"/>
        </a:xfrm>
        <a:prstGeom prst="rect">
          <a:avLst/>
        </a:prstGeom>
        <a:noFill/>
        <a:ln>
          <a:noFill/>
        </a:ln>
        <a:effectLst/>
      </xdr:spPr>
      <xdr:txBody>
        <a:bodyPr vertOverflow="clip" horzOverflow="clip" wrap="non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a:ln>
              <a:noFill/>
            </a:ln>
            <a:solidFill>
              <a:prstClr val="black"/>
            </a:solidFill>
            <a:effectLst/>
            <a:uLnTx/>
            <a:uFillTx/>
            <a:latin typeface="Calibri" panose="020F0502020204030204"/>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1" i="0" u="sng" strike="noStrike" kern="0" cap="none" spc="0" normalizeH="0" baseline="0" noProof="0">
              <a:ln>
                <a:noFill/>
              </a:ln>
              <a:solidFill>
                <a:prstClr val="black"/>
              </a:solidFill>
              <a:effectLst/>
              <a:uLnTx/>
              <a:uFillTx/>
              <a:latin typeface="Calibri" panose="020F0502020204030204"/>
              <a:ea typeface="+mn-ea"/>
              <a:cs typeface="+mn-cs"/>
            </a:rPr>
            <a:t>LIC. ISMAEL NORZAGARAY MICHEL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prstClr val="black"/>
              </a:solidFill>
              <a:effectLst/>
              <a:uLnTx/>
              <a:uFillTx/>
              <a:latin typeface="Calibri" panose="020F0502020204030204"/>
              <a:ea typeface="+mn-ea"/>
              <a:cs typeface="+mn-cs"/>
            </a:rPr>
            <a:t>DIRECTOR ADMINISTRATIVO </a:t>
          </a:r>
          <a:endParaRPr kumimoji="0" lang="es-ES" sz="1000" b="0" i="0" u="none" strike="noStrike" kern="0" cap="none" spc="0" normalizeH="0" baseline="0" noProof="0">
            <a:ln>
              <a:noFill/>
            </a:ln>
            <a:solidFill>
              <a:prstClr val="black"/>
            </a:solidFill>
            <a:effectLst/>
            <a:uLnTx/>
            <a:uFillTx/>
            <a:latin typeface="Calibri" panose="020F0502020204030204"/>
            <a:ea typeface="+mn-ea"/>
            <a:cs typeface="+mn-cs"/>
          </a:endParaRP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1</xdr:col>
      <xdr:colOff>0</xdr:colOff>
      <xdr:row>2</xdr:row>
      <xdr:rowOff>142875</xdr:rowOff>
    </xdr:from>
    <xdr:ext cx="184731" cy="264560"/>
    <xdr:sp macro="" textlink="">
      <xdr:nvSpPr>
        <xdr:cNvPr id="8" name="1 CuadroTexto">
          <a:extLst>
            <a:ext uri="{FF2B5EF4-FFF2-40B4-BE49-F238E27FC236}">
              <a16:creationId xmlns:a16="http://schemas.microsoft.com/office/drawing/2014/main" id="{00000000-0008-0000-0F00-000008000000}"/>
            </a:ext>
          </a:extLst>
        </xdr:cNvPr>
        <xdr:cNvSpPr txBox="1"/>
      </xdr:nvSpPr>
      <xdr:spPr>
        <a:xfrm>
          <a:off x="85725" y="55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3</xdr:col>
      <xdr:colOff>542925</xdr:colOff>
      <xdr:row>0</xdr:row>
      <xdr:rowOff>0</xdr:rowOff>
    </xdr:from>
    <xdr:ext cx="1141062" cy="292657"/>
    <xdr:sp macro="" textlink="">
      <xdr:nvSpPr>
        <xdr:cNvPr id="9" name="3 CuadroTexto">
          <a:extLst>
            <a:ext uri="{FF2B5EF4-FFF2-40B4-BE49-F238E27FC236}">
              <a16:creationId xmlns:a16="http://schemas.microsoft.com/office/drawing/2014/main" id="{00000000-0008-0000-0F00-000009000000}"/>
            </a:ext>
          </a:extLst>
        </xdr:cNvPr>
        <xdr:cNvSpPr txBox="1"/>
      </xdr:nvSpPr>
      <xdr:spPr>
        <a:xfrm>
          <a:off x="5267325" y="0"/>
          <a:ext cx="1141062" cy="2926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endParaRPr lang="es-MX" sz="1100" b="1">
            <a:latin typeface="Arial" pitchFamily="34" charset="0"/>
            <a:cs typeface="Arial" pitchFamily="34" charset="0"/>
          </a:endParaRPr>
        </a:p>
      </xdr:txBody>
    </xdr:sp>
    <xdr:clientData/>
  </xdr:oneCellAnchor>
  <xdr:oneCellAnchor>
    <xdr:from>
      <xdr:col>3</xdr:col>
      <xdr:colOff>0</xdr:colOff>
      <xdr:row>2</xdr:row>
      <xdr:rowOff>142875</xdr:rowOff>
    </xdr:from>
    <xdr:ext cx="184731" cy="264560"/>
    <xdr:sp macro="" textlink="">
      <xdr:nvSpPr>
        <xdr:cNvPr id="10" name="4 CuadroTexto">
          <a:extLst>
            <a:ext uri="{FF2B5EF4-FFF2-40B4-BE49-F238E27FC236}">
              <a16:creationId xmlns:a16="http://schemas.microsoft.com/office/drawing/2014/main" id="{00000000-0008-0000-0F00-00000A000000}"/>
            </a:ext>
          </a:extLst>
        </xdr:cNvPr>
        <xdr:cNvSpPr txBox="1"/>
      </xdr:nvSpPr>
      <xdr:spPr>
        <a:xfrm>
          <a:off x="4724400" y="55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2817812</xdr:colOff>
      <xdr:row>2</xdr:row>
      <xdr:rowOff>39687</xdr:rowOff>
    </xdr:from>
    <xdr:ext cx="2506663" cy="342900"/>
    <xdr:sp macro="" textlink="">
      <xdr:nvSpPr>
        <xdr:cNvPr id="13" name="8 CuadroTexto">
          <a:extLst>
            <a:ext uri="{FF2B5EF4-FFF2-40B4-BE49-F238E27FC236}">
              <a16:creationId xmlns:a16="http://schemas.microsoft.com/office/drawing/2014/main" id="{00000000-0008-0000-0F00-00000D000000}"/>
            </a:ext>
          </a:extLst>
        </xdr:cNvPr>
        <xdr:cNvSpPr txBox="1"/>
      </xdr:nvSpPr>
      <xdr:spPr>
        <a:xfrm>
          <a:off x="2903537" y="449262"/>
          <a:ext cx="2506663" cy="342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lang="es-MX" sz="900" b="1">
              <a:latin typeface="Arial" pitchFamily="34" charset="0"/>
              <a:cs typeface="Arial" pitchFamily="34" charset="0"/>
            </a:rPr>
            <a:t>CUENTA PÚBLICA 2023</a:t>
          </a:r>
        </a:p>
      </xdr:txBody>
    </xdr:sp>
    <xdr:clientData/>
  </xdr:oneCellAnchor>
  <xdr:twoCellAnchor>
    <xdr:from>
      <xdr:col>1</xdr:col>
      <xdr:colOff>2729593</xdr:colOff>
      <xdr:row>25</xdr:row>
      <xdr:rowOff>171450</xdr:rowOff>
    </xdr:from>
    <xdr:to>
      <xdr:col>3</xdr:col>
      <xdr:colOff>1695450</xdr:colOff>
      <xdr:row>30</xdr:row>
      <xdr:rowOff>115661</xdr:rowOff>
    </xdr:to>
    <xdr:sp macro="" textlink="">
      <xdr:nvSpPr>
        <xdr:cNvPr id="2" name="4 CuadroTexto">
          <a:extLst>
            <a:ext uri="{FF2B5EF4-FFF2-40B4-BE49-F238E27FC236}">
              <a16:creationId xmlns:a16="http://schemas.microsoft.com/office/drawing/2014/main" id="{B7C38C98-13B1-4066-89E1-C54C02CB4D84}"/>
            </a:ext>
          </a:extLst>
        </xdr:cNvPr>
        <xdr:cNvSpPr txBox="1"/>
      </xdr:nvSpPr>
      <xdr:spPr>
        <a:xfrm>
          <a:off x="2815318" y="6067425"/>
          <a:ext cx="2747282" cy="991961"/>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900" b="0" i="0" u="none" strike="noStrike" kern="0" cap="none" spc="0" normalizeH="0" baseline="0" noProof="0">
              <a:ln>
                <a:noFill/>
              </a:ln>
              <a:solidFill>
                <a:sysClr val="window" lastClr="FFFFFF"/>
              </a:solidFill>
              <a:effectLst/>
              <a:uLnTx/>
              <a:uFillTx/>
              <a:latin typeface="Calibri" panose="020F0502020204030204"/>
              <a:ea typeface="+mn-ea"/>
              <a:cs typeface="+mn-cs"/>
            </a:rPr>
            <a:t>====================================================================   </a:t>
          </a: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900" b="1" i="0" u="sng" strike="noStrike" kern="0" cap="none" spc="0" normalizeH="0" baseline="0" noProof="0">
              <a:ln>
                <a:noFill/>
              </a:ln>
              <a:solidFill>
                <a:sysClr val="windowText" lastClr="000000"/>
              </a:solidFill>
              <a:effectLst/>
              <a:uLnTx/>
              <a:uFillTx/>
              <a:latin typeface="Calibri" panose="020F0502020204030204"/>
              <a:ea typeface="+mn-ea"/>
              <a:cs typeface="+mn-cs"/>
            </a:rPr>
            <a:t>C.P. REBECA I. LAGUNA FIGUEROA</a:t>
          </a: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900" b="1" i="0" u="none" strike="noStrike" kern="0" cap="none" spc="0" normalizeH="0" baseline="0" noProof="0">
              <a:ln>
                <a:noFill/>
              </a:ln>
              <a:solidFill>
                <a:sysClr val="windowText" lastClr="000000"/>
              </a:solidFill>
              <a:effectLst/>
              <a:uLnTx/>
              <a:uFillTx/>
              <a:latin typeface="Calibri" panose="020F0502020204030204"/>
              <a:ea typeface="+mn-ea"/>
              <a:cs typeface="+mn-cs"/>
            </a:rPr>
            <a:t>DIRECTORA GENERAL DE ADMINISTRACION Y FINANZAS </a:t>
          </a:r>
        </a:p>
      </xdr:txBody>
    </xdr:sp>
    <xdr:clientData/>
  </xdr:twoCellAnchor>
  <xdr:oneCellAnchor>
    <xdr:from>
      <xdr:col>0</xdr:col>
      <xdr:colOff>47625</xdr:colOff>
      <xdr:row>26</xdr:row>
      <xdr:rowOff>52325</xdr:rowOff>
    </xdr:from>
    <xdr:ext cx="2823483" cy="877661"/>
    <xdr:sp macro="" textlink="">
      <xdr:nvSpPr>
        <xdr:cNvPr id="3" name="CuadroTexto 5">
          <a:extLst>
            <a:ext uri="{FF2B5EF4-FFF2-40B4-BE49-F238E27FC236}">
              <a16:creationId xmlns:a16="http://schemas.microsoft.com/office/drawing/2014/main" id="{8DB92618-4144-4BBE-B639-18C43B87AC20}"/>
            </a:ext>
          </a:extLst>
        </xdr:cNvPr>
        <xdr:cNvSpPr txBox="1"/>
      </xdr:nvSpPr>
      <xdr:spPr>
        <a:xfrm>
          <a:off x="47625" y="6157850"/>
          <a:ext cx="2823483" cy="877661"/>
        </a:xfrm>
        <a:prstGeom prst="rect">
          <a:avLst/>
        </a:prstGeom>
        <a:noFill/>
        <a:ln>
          <a:noFill/>
        </a:ln>
        <a:effectLst/>
      </xdr:spPr>
      <xdr:txBody>
        <a:bodyPr vertOverflow="clip" horzOverflow="clip" wrap="non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a:ln>
              <a:noFill/>
            </a:ln>
            <a:solidFill>
              <a:prstClr val="black"/>
            </a:solidFill>
            <a:effectLst/>
            <a:uLnTx/>
            <a:uFillTx/>
            <a:latin typeface="Calibri" panose="020F0502020204030204"/>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1" i="0" u="sng" strike="noStrike" kern="0" cap="none" spc="0" normalizeH="0" baseline="0" noProof="0">
              <a:ln>
                <a:noFill/>
              </a:ln>
              <a:solidFill>
                <a:prstClr val="black"/>
              </a:solidFill>
              <a:effectLst/>
              <a:uLnTx/>
              <a:uFillTx/>
              <a:latin typeface="Calibri" panose="020F0502020204030204"/>
              <a:ea typeface="+mn-ea"/>
              <a:cs typeface="+mn-cs"/>
            </a:rPr>
            <a:t>LIC. ISMAEL NORZAGARAY MICHEL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prstClr val="black"/>
              </a:solidFill>
              <a:effectLst/>
              <a:uLnTx/>
              <a:uFillTx/>
              <a:latin typeface="Calibri" panose="020F0502020204030204"/>
              <a:ea typeface="+mn-ea"/>
              <a:cs typeface="+mn-cs"/>
            </a:rPr>
            <a:t>DIRECTOR ADMINISTRATIVO </a:t>
          </a:r>
          <a:endParaRPr kumimoji="0" lang="es-ES" sz="1000" b="0" i="0" u="none" strike="noStrike" kern="0" cap="none" spc="0" normalizeH="0" baseline="0" noProof="0">
            <a:ln>
              <a:noFill/>
            </a:ln>
            <a:solidFill>
              <a:prstClr val="black"/>
            </a:solidFill>
            <a:effectLst/>
            <a:uLnTx/>
            <a:uFillTx/>
            <a:latin typeface="Calibri" panose="020F0502020204030204"/>
            <a:ea typeface="+mn-ea"/>
            <a:cs typeface="+mn-cs"/>
          </a:endParaRP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3</xdr:row>
      <xdr:rowOff>142875</xdr:rowOff>
    </xdr:from>
    <xdr:ext cx="184731" cy="264560"/>
    <xdr:sp macro="" textlink="">
      <xdr:nvSpPr>
        <xdr:cNvPr id="7" name="21 CuadroTexto">
          <a:extLst>
            <a:ext uri="{FF2B5EF4-FFF2-40B4-BE49-F238E27FC236}">
              <a16:creationId xmlns:a16="http://schemas.microsoft.com/office/drawing/2014/main" id="{00000000-0008-0000-1000-000007000000}"/>
            </a:ext>
          </a:extLst>
        </xdr:cNvPr>
        <xdr:cNvSpPr txBox="1"/>
      </xdr:nvSpPr>
      <xdr:spPr>
        <a:xfrm>
          <a:off x="0" y="74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5</xdr:col>
      <xdr:colOff>853910</xdr:colOff>
      <xdr:row>0</xdr:row>
      <xdr:rowOff>38100</xdr:rowOff>
    </xdr:from>
    <xdr:ext cx="898002" cy="247649"/>
    <xdr:sp macro="" textlink="">
      <xdr:nvSpPr>
        <xdr:cNvPr id="8" name="22 CuadroTexto">
          <a:extLst>
            <a:ext uri="{FF2B5EF4-FFF2-40B4-BE49-F238E27FC236}">
              <a16:creationId xmlns:a16="http://schemas.microsoft.com/office/drawing/2014/main" id="{00000000-0008-0000-1000-000008000000}"/>
            </a:ext>
          </a:extLst>
        </xdr:cNvPr>
        <xdr:cNvSpPr txBox="1"/>
      </xdr:nvSpPr>
      <xdr:spPr>
        <a:xfrm>
          <a:off x="7950035" y="38100"/>
          <a:ext cx="898002" cy="24764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noAutofit/>
        </a:bodyPr>
        <a:lstStyle/>
        <a:p>
          <a:pPr algn="r"/>
          <a:endParaRPr lang="es-MX" sz="1100" b="1">
            <a:latin typeface="Arial" pitchFamily="34" charset="0"/>
            <a:cs typeface="Arial" pitchFamily="34" charset="0"/>
          </a:endParaRPr>
        </a:p>
      </xdr:txBody>
    </xdr:sp>
    <xdr:clientData/>
  </xdr:oneCellAnchor>
  <xdr:oneCellAnchor>
    <xdr:from>
      <xdr:col>3</xdr:col>
      <xdr:colOff>87475</xdr:colOff>
      <xdr:row>3</xdr:row>
      <xdr:rowOff>106913</xdr:rowOff>
    </xdr:from>
    <xdr:ext cx="3524250" cy="342900"/>
    <xdr:sp macro="" textlink="">
      <xdr:nvSpPr>
        <xdr:cNvPr id="11" name="6 CuadroTexto">
          <a:extLst>
            <a:ext uri="{FF2B5EF4-FFF2-40B4-BE49-F238E27FC236}">
              <a16:creationId xmlns:a16="http://schemas.microsoft.com/office/drawing/2014/main" id="{00000000-0008-0000-1000-00000B000000}"/>
            </a:ext>
          </a:extLst>
        </xdr:cNvPr>
        <xdr:cNvSpPr txBox="1"/>
      </xdr:nvSpPr>
      <xdr:spPr>
        <a:xfrm>
          <a:off x="5354800" y="706988"/>
          <a:ext cx="3524250" cy="342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lang="es-MX" sz="1100" b="1">
              <a:latin typeface="Arial" pitchFamily="34" charset="0"/>
              <a:cs typeface="Arial" pitchFamily="34" charset="0"/>
            </a:rPr>
            <a:t>CUENTA</a:t>
          </a:r>
          <a:r>
            <a:rPr lang="es-MX" sz="1100" b="1" baseline="0">
              <a:latin typeface="Arial" pitchFamily="34" charset="0"/>
              <a:cs typeface="Arial" pitchFamily="34" charset="0"/>
            </a:rPr>
            <a:t> PÚBLICA 2023</a:t>
          </a:r>
          <a:endParaRPr lang="es-MX" sz="1100" b="1">
            <a:latin typeface="Arial" pitchFamily="34" charset="0"/>
            <a:cs typeface="Arial" pitchFamily="34" charset="0"/>
          </a:endParaRPr>
        </a:p>
      </xdr:txBody>
    </xdr:sp>
    <xdr:clientData/>
  </xdr:oneCellAnchor>
  <xdr:twoCellAnchor>
    <xdr:from>
      <xdr:col>2</xdr:col>
      <xdr:colOff>862693</xdr:colOff>
      <xdr:row>81</xdr:row>
      <xdr:rowOff>152400</xdr:rowOff>
    </xdr:from>
    <xdr:to>
      <xdr:col>5</xdr:col>
      <xdr:colOff>752475</xdr:colOff>
      <xdr:row>87</xdr:row>
      <xdr:rowOff>1361</xdr:rowOff>
    </xdr:to>
    <xdr:sp macro="" textlink="">
      <xdr:nvSpPr>
        <xdr:cNvPr id="2" name="4 CuadroTexto">
          <a:extLst>
            <a:ext uri="{FF2B5EF4-FFF2-40B4-BE49-F238E27FC236}">
              <a16:creationId xmlns:a16="http://schemas.microsoft.com/office/drawing/2014/main" id="{8B1E3971-D1B9-488D-BCDA-B19560E3D25E}"/>
            </a:ext>
          </a:extLst>
        </xdr:cNvPr>
        <xdr:cNvSpPr txBox="1"/>
      </xdr:nvSpPr>
      <xdr:spPr>
        <a:xfrm>
          <a:off x="5101318" y="16125825"/>
          <a:ext cx="2747282" cy="991961"/>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900" b="0" i="0" u="none" strike="noStrike" kern="0" cap="none" spc="0" normalizeH="0" baseline="0" noProof="0">
              <a:ln>
                <a:noFill/>
              </a:ln>
              <a:solidFill>
                <a:sysClr val="window" lastClr="FFFFFF"/>
              </a:solidFill>
              <a:effectLst/>
              <a:uLnTx/>
              <a:uFillTx/>
              <a:latin typeface="Calibri" panose="020F0502020204030204"/>
              <a:ea typeface="+mn-ea"/>
              <a:cs typeface="+mn-cs"/>
            </a:rPr>
            <a:t>====================================================================   </a:t>
          </a: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900" b="1" i="0" u="sng" strike="noStrike" kern="0" cap="none" spc="0" normalizeH="0" baseline="0" noProof="0">
              <a:ln>
                <a:noFill/>
              </a:ln>
              <a:solidFill>
                <a:sysClr val="windowText" lastClr="000000"/>
              </a:solidFill>
              <a:effectLst/>
              <a:uLnTx/>
              <a:uFillTx/>
              <a:latin typeface="Calibri" panose="020F0502020204030204"/>
              <a:ea typeface="+mn-ea"/>
              <a:cs typeface="+mn-cs"/>
            </a:rPr>
            <a:t>C.P. REBECA I. LAGUNA FIGUEROA</a:t>
          </a: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900" b="1" i="0" u="none" strike="noStrike" kern="0" cap="none" spc="0" normalizeH="0" baseline="0" noProof="0">
              <a:ln>
                <a:noFill/>
              </a:ln>
              <a:solidFill>
                <a:sysClr val="windowText" lastClr="000000"/>
              </a:solidFill>
              <a:effectLst/>
              <a:uLnTx/>
              <a:uFillTx/>
              <a:latin typeface="Calibri" panose="020F0502020204030204"/>
              <a:ea typeface="+mn-ea"/>
              <a:cs typeface="+mn-cs"/>
            </a:rPr>
            <a:t>DIRECTORA GENERAL DE ADMINISTRACION Y FINANZAS </a:t>
          </a:r>
        </a:p>
      </xdr:txBody>
    </xdr:sp>
    <xdr:clientData/>
  </xdr:twoCellAnchor>
  <xdr:oneCellAnchor>
    <xdr:from>
      <xdr:col>0</xdr:col>
      <xdr:colOff>228600</xdr:colOff>
      <xdr:row>82</xdr:row>
      <xdr:rowOff>90425</xdr:rowOff>
    </xdr:from>
    <xdr:ext cx="2823483" cy="877661"/>
    <xdr:sp macro="" textlink="">
      <xdr:nvSpPr>
        <xdr:cNvPr id="3" name="CuadroTexto 5">
          <a:extLst>
            <a:ext uri="{FF2B5EF4-FFF2-40B4-BE49-F238E27FC236}">
              <a16:creationId xmlns:a16="http://schemas.microsoft.com/office/drawing/2014/main" id="{1DCB5BAC-8438-4A7B-8C1E-48D1CFBF46D7}"/>
            </a:ext>
          </a:extLst>
        </xdr:cNvPr>
        <xdr:cNvSpPr txBox="1"/>
      </xdr:nvSpPr>
      <xdr:spPr>
        <a:xfrm>
          <a:off x="228600" y="16254350"/>
          <a:ext cx="2823483" cy="877661"/>
        </a:xfrm>
        <a:prstGeom prst="rect">
          <a:avLst/>
        </a:prstGeom>
        <a:noFill/>
        <a:ln>
          <a:noFill/>
        </a:ln>
        <a:effectLst/>
      </xdr:spPr>
      <xdr:txBody>
        <a:bodyPr vertOverflow="clip" horzOverflow="clip" wrap="non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a:ln>
              <a:noFill/>
            </a:ln>
            <a:solidFill>
              <a:prstClr val="black"/>
            </a:solidFill>
            <a:effectLst/>
            <a:uLnTx/>
            <a:uFillTx/>
            <a:latin typeface="Calibri" panose="020F0502020204030204"/>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1" i="0" u="sng" strike="noStrike" kern="0" cap="none" spc="0" normalizeH="0" baseline="0" noProof="0">
              <a:ln>
                <a:noFill/>
              </a:ln>
              <a:solidFill>
                <a:prstClr val="black"/>
              </a:solidFill>
              <a:effectLst/>
              <a:uLnTx/>
              <a:uFillTx/>
              <a:latin typeface="Calibri" panose="020F0502020204030204"/>
              <a:ea typeface="+mn-ea"/>
              <a:cs typeface="+mn-cs"/>
            </a:rPr>
            <a:t>LIC. ISMAEL NORZAGARAY MICHEL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prstClr val="black"/>
              </a:solidFill>
              <a:effectLst/>
              <a:uLnTx/>
              <a:uFillTx/>
              <a:latin typeface="Calibri" panose="020F0502020204030204"/>
              <a:ea typeface="+mn-ea"/>
              <a:cs typeface="+mn-cs"/>
            </a:rPr>
            <a:t>DIRECTOR ADMINISTRATIVO </a:t>
          </a:r>
          <a:endParaRPr kumimoji="0" lang="es-ES" sz="1000" b="0" i="0" u="none" strike="noStrike" kern="0" cap="none" spc="0" normalizeH="0" baseline="0" noProof="0">
            <a:ln>
              <a:noFill/>
            </a:ln>
            <a:solidFill>
              <a:prstClr val="black"/>
            </a:solidFill>
            <a:effectLst/>
            <a:uLnTx/>
            <a:uFillTx/>
            <a:latin typeface="Calibri" panose="020F0502020204030204"/>
            <a:ea typeface="+mn-ea"/>
            <a:cs typeface="+mn-cs"/>
          </a:endParaRP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6</xdr:col>
      <xdr:colOff>495300</xdr:colOff>
      <xdr:row>0</xdr:row>
      <xdr:rowOff>19051</xdr:rowOff>
    </xdr:from>
    <xdr:ext cx="1019173" cy="266700"/>
    <xdr:sp macro="" textlink="">
      <xdr:nvSpPr>
        <xdr:cNvPr id="2" name="1 CuadroTexto">
          <a:extLst>
            <a:ext uri="{FF2B5EF4-FFF2-40B4-BE49-F238E27FC236}">
              <a16:creationId xmlns:a16="http://schemas.microsoft.com/office/drawing/2014/main" id="{00000000-0008-0000-1100-000002000000}"/>
            </a:ext>
          </a:extLst>
        </xdr:cNvPr>
        <xdr:cNvSpPr txBox="1"/>
      </xdr:nvSpPr>
      <xdr:spPr>
        <a:xfrm>
          <a:off x="7258050" y="19051"/>
          <a:ext cx="1019173" cy="2667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noAutofit/>
        </a:bodyPr>
        <a:lstStyle/>
        <a:p>
          <a:pPr algn="r"/>
          <a:endParaRPr lang="es-MX" sz="1100" b="1">
            <a:latin typeface="Arial" pitchFamily="34" charset="0"/>
            <a:cs typeface="Arial" pitchFamily="34" charset="0"/>
          </a:endParaRPr>
        </a:p>
      </xdr:txBody>
    </xdr:sp>
    <xdr:clientData/>
  </xdr:oneCellAnchor>
  <xdr:oneCellAnchor>
    <xdr:from>
      <xdr:col>3</xdr:col>
      <xdr:colOff>276225</xdr:colOff>
      <xdr:row>3</xdr:row>
      <xdr:rowOff>47625</xdr:rowOff>
    </xdr:from>
    <xdr:ext cx="3524250" cy="342900"/>
    <xdr:sp macro="" textlink="">
      <xdr:nvSpPr>
        <xdr:cNvPr id="6" name="5 CuadroTexto">
          <a:extLst>
            <a:ext uri="{FF2B5EF4-FFF2-40B4-BE49-F238E27FC236}">
              <a16:creationId xmlns:a16="http://schemas.microsoft.com/office/drawing/2014/main" id="{00000000-0008-0000-1100-000006000000}"/>
            </a:ext>
          </a:extLst>
        </xdr:cNvPr>
        <xdr:cNvSpPr txBox="1"/>
      </xdr:nvSpPr>
      <xdr:spPr>
        <a:xfrm>
          <a:off x="5524500" y="628650"/>
          <a:ext cx="3524250" cy="342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lang="es-MX" sz="1100" b="1">
              <a:latin typeface="Arial" pitchFamily="34" charset="0"/>
              <a:cs typeface="Arial" pitchFamily="34" charset="0"/>
            </a:rPr>
            <a:t>CUENTA PÚBLICA 2023</a:t>
          </a:r>
        </a:p>
      </xdr:txBody>
    </xdr:sp>
    <xdr:clientData/>
  </xdr:oneCellAnchor>
  <xdr:twoCellAnchor>
    <xdr:from>
      <xdr:col>3</xdr:col>
      <xdr:colOff>34018</xdr:colOff>
      <xdr:row>159</xdr:row>
      <xdr:rowOff>38100</xdr:rowOff>
    </xdr:from>
    <xdr:to>
      <xdr:col>6</xdr:col>
      <xdr:colOff>419100</xdr:colOff>
      <xdr:row>164</xdr:row>
      <xdr:rowOff>77561</xdr:rowOff>
    </xdr:to>
    <xdr:sp macro="" textlink="">
      <xdr:nvSpPr>
        <xdr:cNvPr id="5" name="4 CuadroTexto">
          <a:extLst>
            <a:ext uri="{FF2B5EF4-FFF2-40B4-BE49-F238E27FC236}">
              <a16:creationId xmlns:a16="http://schemas.microsoft.com/office/drawing/2014/main" id="{712446F4-6E19-435D-8F69-D83008B8C5B8}"/>
            </a:ext>
          </a:extLst>
        </xdr:cNvPr>
        <xdr:cNvSpPr txBox="1"/>
      </xdr:nvSpPr>
      <xdr:spPr>
        <a:xfrm>
          <a:off x="5282293" y="30680025"/>
          <a:ext cx="2747282" cy="991961"/>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900" b="0" i="0" u="none" strike="noStrike" kern="0" cap="none" spc="0" normalizeH="0" baseline="0" noProof="0">
              <a:ln>
                <a:noFill/>
              </a:ln>
              <a:solidFill>
                <a:sysClr val="window" lastClr="FFFFFF"/>
              </a:solidFill>
              <a:effectLst/>
              <a:uLnTx/>
              <a:uFillTx/>
              <a:latin typeface="Calibri" panose="020F0502020204030204"/>
              <a:ea typeface="+mn-ea"/>
              <a:cs typeface="+mn-cs"/>
            </a:rPr>
            <a:t>====================================================================   </a:t>
          </a: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900" b="1" i="0" u="sng" strike="noStrike" kern="0" cap="none" spc="0" normalizeH="0" baseline="0" noProof="0">
              <a:ln>
                <a:noFill/>
              </a:ln>
              <a:solidFill>
                <a:sysClr val="windowText" lastClr="000000"/>
              </a:solidFill>
              <a:effectLst/>
              <a:uLnTx/>
              <a:uFillTx/>
              <a:latin typeface="Calibri" panose="020F0502020204030204"/>
              <a:ea typeface="+mn-ea"/>
              <a:cs typeface="+mn-cs"/>
            </a:rPr>
            <a:t>C.P. REBECA I. LAGUNA FIGUEROA</a:t>
          </a: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900" b="1" i="0" u="none" strike="noStrike" kern="0" cap="none" spc="0" normalizeH="0" baseline="0" noProof="0">
              <a:ln>
                <a:noFill/>
              </a:ln>
              <a:solidFill>
                <a:sysClr val="windowText" lastClr="000000"/>
              </a:solidFill>
              <a:effectLst/>
              <a:uLnTx/>
              <a:uFillTx/>
              <a:latin typeface="Calibri" panose="020F0502020204030204"/>
              <a:ea typeface="+mn-ea"/>
              <a:cs typeface="+mn-cs"/>
            </a:rPr>
            <a:t>DIRECTORA GENERAL DE ADMINISTRACION Y FINANZAS </a:t>
          </a:r>
        </a:p>
      </xdr:txBody>
    </xdr:sp>
    <xdr:clientData/>
  </xdr:twoCellAnchor>
  <xdr:oneCellAnchor>
    <xdr:from>
      <xdr:col>1</xdr:col>
      <xdr:colOff>0</xdr:colOff>
      <xdr:row>159</xdr:row>
      <xdr:rowOff>166625</xdr:rowOff>
    </xdr:from>
    <xdr:ext cx="2823483" cy="877661"/>
    <xdr:sp macro="" textlink="">
      <xdr:nvSpPr>
        <xdr:cNvPr id="7" name="CuadroTexto 5">
          <a:extLst>
            <a:ext uri="{FF2B5EF4-FFF2-40B4-BE49-F238E27FC236}">
              <a16:creationId xmlns:a16="http://schemas.microsoft.com/office/drawing/2014/main" id="{8018BEE7-0223-47B7-B0E8-34B4A9E2643A}"/>
            </a:ext>
          </a:extLst>
        </xdr:cNvPr>
        <xdr:cNvSpPr txBox="1"/>
      </xdr:nvSpPr>
      <xdr:spPr>
        <a:xfrm>
          <a:off x="409575" y="30808550"/>
          <a:ext cx="2823483" cy="877661"/>
        </a:xfrm>
        <a:prstGeom prst="rect">
          <a:avLst/>
        </a:prstGeom>
        <a:noFill/>
        <a:ln>
          <a:noFill/>
        </a:ln>
        <a:effectLst/>
      </xdr:spPr>
      <xdr:txBody>
        <a:bodyPr vertOverflow="clip" horzOverflow="clip" wrap="non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a:ln>
              <a:noFill/>
            </a:ln>
            <a:solidFill>
              <a:prstClr val="black"/>
            </a:solidFill>
            <a:effectLst/>
            <a:uLnTx/>
            <a:uFillTx/>
            <a:latin typeface="Calibri" panose="020F0502020204030204"/>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1" i="0" u="sng" strike="noStrike" kern="0" cap="none" spc="0" normalizeH="0" baseline="0" noProof="0">
              <a:ln>
                <a:noFill/>
              </a:ln>
              <a:solidFill>
                <a:prstClr val="black"/>
              </a:solidFill>
              <a:effectLst/>
              <a:uLnTx/>
              <a:uFillTx/>
              <a:latin typeface="Calibri" panose="020F0502020204030204"/>
              <a:ea typeface="+mn-ea"/>
              <a:cs typeface="+mn-cs"/>
            </a:rPr>
            <a:t>LIC. ISMAEL NORZAGARAY MICHEL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prstClr val="black"/>
              </a:solidFill>
              <a:effectLst/>
              <a:uLnTx/>
              <a:uFillTx/>
              <a:latin typeface="Calibri" panose="020F0502020204030204"/>
              <a:ea typeface="+mn-ea"/>
              <a:cs typeface="+mn-cs"/>
            </a:rPr>
            <a:t>DIRECTOR ADMINISTRATIVO </a:t>
          </a:r>
          <a:endParaRPr kumimoji="0" lang="es-ES" sz="1000" b="0" i="0" u="none" strike="noStrike" kern="0" cap="none" spc="0" normalizeH="0" baseline="0" noProof="0">
            <a:ln>
              <a:noFill/>
            </a:ln>
            <a:solidFill>
              <a:prstClr val="black"/>
            </a:solidFill>
            <a:effectLst/>
            <a:uLnTx/>
            <a:uFillTx/>
            <a:latin typeface="Calibri" panose="020F0502020204030204"/>
            <a:ea typeface="+mn-ea"/>
            <a:cs typeface="+mn-cs"/>
          </a:endParaRP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3</xdr:row>
      <xdr:rowOff>142875</xdr:rowOff>
    </xdr:from>
    <xdr:ext cx="184731" cy="264560"/>
    <xdr:sp macro="" textlink="">
      <xdr:nvSpPr>
        <xdr:cNvPr id="2" name="1 CuadroTexto">
          <a:extLst>
            <a:ext uri="{FF2B5EF4-FFF2-40B4-BE49-F238E27FC236}">
              <a16:creationId xmlns:a16="http://schemas.microsoft.com/office/drawing/2014/main" id="{00000000-0008-0000-1200-000002000000}"/>
            </a:ext>
          </a:extLst>
        </xdr:cNvPr>
        <xdr:cNvSpPr txBox="1"/>
      </xdr:nvSpPr>
      <xdr:spPr>
        <a:xfrm>
          <a:off x="3048000"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5</xdr:col>
      <xdr:colOff>371475</xdr:colOff>
      <xdr:row>0</xdr:row>
      <xdr:rowOff>85725</xdr:rowOff>
    </xdr:from>
    <xdr:ext cx="1447112" cy="254557"/>
    <xdr:sp macro="" textlink="">
      <xdr:nvSpPr>
        <xdr:cNvPr id="3" name="2 CuadroTexto">
          <a:extLst>
            <a:ext uri="{FF2B5EF4-FFF2-40B4-BE49-F238E27FC236}">
              <a16:creationId xmlns:a16="http://schemas.microsoft.com/office/drawing/2014/main" id="{00000000-0008-0000-1200-000003000000}"/>
            </a:ext>
          </a:extLst>
        </xdr:cNvPr>
        <xdr:cNvSpPr txBox="1"/>
      </xdr:nvSpPr>
      <xdr:spPr>
        <a:xfrm>
          <a:off x="6305550" y="85725"/>
          <a:ext cx="1447112"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endParaRPr lang="es-MX" sz="1100" b="1">
            <a:latin typeface="Arial" pitchFamily="34" charset="0"/>
            <a:cs typeface="Arial" pitchFamily="34" charset="0"/>
          </a:endParaRPr>
        </a:p>
      </xdr:txBody>
    </xdr:sp>
    <xdr:clientData/>
  </xdr:oneCellAnchor>
  <xdr:oneCellAnchor>
    <xdr:from>
      <xdr:col>1</xdr:col>
      <xdr:colOff>0</xdr:colOff>
      <xdr:row>29</xdr:row>
      <xdr:rowOff>0</xdr:rowOff>
    </xdr:from>
    <xdr:ext cx="184731" cy="264560"/>
    <xdr:sp macro="" textlink="">
      <xdr:nvSpPr>
        <xdr:cNvPr id="5" name="4 CuadroTexto">
          <a:extLst>
            <a:ext uri="{FF2B5EF4-FFF2-40B4-BE49-F238E27FC236}">
              <a16:creationId xmlns:a16="http://schemas.microsoft.com/office/drawing/2014/main" id="{00000000-0008-0000-1200-000005000000}"/>
            </a:ext>
          </a:extLst>
        </xdr:cNvPr>
        <xdr:cNvSpPr txBox="1"/>
      </xdr:nvSpPr>
      <xdr:spPr>
        <a:xfrm>
          <a:off x="3048000"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29</xdr:row>
      <xdr:rowOff>0</xdr:rowOff>
    </xdr:from>
    <xdr:ext cx="184731" cy="264560"/>
    <xdr:sp macro="" textlink="">
      <xdr:nvSpPr>
        <xdr:cNvPr id="8" name="7 CuadroTexto">
          <a:extLst>
            <a:ext uri="{FF2B5EF4-FFF2-40B4-BE49-F238E27FC236}">
              <a16:creationId xmlns:a16="http://schemas.microsoft.com/office/drawing/2014/main" id="{00000000-0008-0000-1200-000008000000}"/>
            </a:ext>
          </a:extLst>
        </xdr:cNvPr>
        <xdr:cNvSpPr txBox="1"/>
      </xdr:nvSpPr>
      <xdr:spPr>
        <a:xfrm>
          <a:off x="3048000" y="851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6</xdr:col>
      <xdr:colOff>596830</xdr:colOff>
      <xdr:row>29</xdr:row>
      <xdr:rowOff>0</xdr:rowOff>
    </xdr:from>
    <xdr:ext cx="184731" cy="254557"/>
    <xdr:sp macro="" textlink="">
      <xdr:nvSpPr>
        <xdr:cNvPr id="10" name="9 CuadroTexto">
          <a:extLst>
            <a:ext uri="{FF2B5EF4-FFF2-40B4-BE49-F238E27FC236}">
              <a16:creationId xmlns:a16="http://schemas.microsoft.com/office/drawing/2014/main" id="{00000000-0008-0000-1200-00000A000000}"/>
            </a:ext>
          </a:extLst>
        </xdr:cNvPr>
        <xdr:cNvSpPr txBox="1"/>
      </xdr:nvSpPr>
      <xdr:spPr>
        <a:xfrm>
          <a:off x="10293280" y="6991350"/>
          <a:ext cx="184731"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endParaRPr lang="es-MX" sz="1100" b="1">
            <a:latin typeface="Arial" pitchFamily="34" charset="0"/>
            <a:cs typeface="Arial" pitchFamily="34" charset="0"/>
          </a:endParaRPr>
        </a:p>
      </xdr:txBody>
    </xdr:sp>
    <xdr:clientData/>
  </xdr:oneCellAnchor>
  <xdr:oneCellAnchor>
    <xdr:from>
      <xdr:col>0</xdr:col>
      <xdr:colOff>0</xdr:colOff>
      <xdr:row>3</xdr:row>
      <xdr:rowOff>142875</xdr:rowOff>
    </xdr:from>
    <xdr:ext cx="184731" cy="264560"/>
    <xdr:sp macro="" textlink="">
      <xdr:nvSpPr>
        <xdr:cNvPr id="9" name="1 CuadroTexto">
          <a:extLst>
            <a:ext uri="{FF2B5EF4-FFF2-40B4-BE49-F238E27FC236}">
              <a16:creationId xmlns:a16="http://schemas.microsoft.com/office/drawing/2014/main" id="{00000000-0008-0000-1200-000009000000}"/>
            </a:ext>
          </a:extLst>
        </xdr:cNvPr>
        <xdr:cNvSpPr txBox="1"/>
      </xdr:nvSpPr>
      <xdr:spPr>
        <a:xfrm>
          <a:off x="3028950"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0</xdr:colOff>
      <xdr:row>3</xdr:row>
      <xdr:rowOff>142875</xdr:rowOff>
    </xdr:from>
    <xdr:ext cx="184731" cy="264560"/>
    <xdr:sp macro="" textlink="">
      <xdr:nvSpPr>
        <xdr:cNvPr id="11" name="1 CuadroTexto">
          <a:extLst>
            <a:ext uri="{FF2B5EF4-FFF2-40B4-BE49-F238E27FC236}">
              <a16:creationId xmlns:a16="http://schemas.microsoft.com/office/drawing/2014/main" id="{00000000-0008-0000-1200-00000B000000}"/>
            </a:ext>
          </a:extLst>
        </xdr:cNvPr>
        <xdr:cNvSpPr txBox="1"/>
      </xdr:nvSpPr>
      <xdr:spPr>
        <a:xfrm>
          <a:off x="3028950"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6</xdr:col>
      <xdr:colOff>0</xdr:colOff>
      <xdr:row>3</xdr:row>
      <xdr:rowOff>142875</xdr:rowOff>
    </xdr:from>
    <xdr:ext cx="184731" cy="264560"/>
    <xdr:sp macro="" textlink="">
      <xdr:nvSpPr>
        <xdr:cNvPr id="12" name="4 CuadroTexto">
          <a:extLst>
            <a:ext uri="{FF2B5EF4-FFF2-40B4-BE49-F238E27FC236}">
              <a16:creationId xmlns:a16="http://schemas.microsoft.com/office/drawing/2014/main" id="{00000000-0008-0000-1200-00000C000000}"/>
            </a:ext>
          </a:extLst>
        </xdr:cNvPr>
        <xdr:cNvSpPr txBox="1"/>
      </xdr:nvSpPr>
      <xdr:spPr>
        <a:xfrm>
          <a:off x="726757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3</xdr:col>
      <xdr:colOff>66675</xdr:colOff>
      <xdr:row>3</xdr:row>
      <xdr:rowOff>66675</xdr:rowOff>
    </xdr:from>
    <xdr:ext cx="3524250" cy="342900"/>
    <xdr:sp macro="" textlink="">
      <xdr:nvSpPr>
        <xdr:cNvPr id="15" name="14 CuadroTexto">
          <a:extLst>
            <a:ext uri="{FF2B5EF4-FFF2-40B4-BE49-F238E27FC236}">
              <a16:creationId xmlns:a16="http://schemas.microsoft.com/office/drawing/2014/main" id="{00000000-0008-0000-1200-00000F000000}"/>
            </a:ext>
          </a:extLst>
        </xdr:cNvPr>
        <xdr:cNvSpPr txBox="1"/>
      </xdr:nvSpPr>
      <xdr:spPr>
        <a:xfrm>
          <a:off x="4229100" y="676275"/>
          <a:ext cx="3524250" cy="342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lang="es-MX" sz="1100" b="1">
              <a:latin typeface="Arial" pitchFamily="34" charset="0"/>
              <a:cs typeface="Arial" pitchFamily="34" charset="0"/>
            </a:rPr>
            <a:t>CUENTA PÚBLICA</a:t>
          </a:r>
          <a:r>
            <a:rPr lang="es-MX" sz="1100" b="1" baseline="0">
              <a:latin typeface="Arial" pitchFamily="34" charset="0"/>
              <a:cs typeface="Arial" pitchFamily="34" charset="0"/>
            </a:rPr>
            <a:t> 2023</a:t>
          </a:r>
          <a:endParaRPr lang="es-MX" sz="1100" b="1">
            <a:latin typeface="Arial" pitchFamily="34" charset="0"/>
            <a:cs typeface="Arial" pitchFamily="34" charset="0"/>
          </a:endParaRPr>
        </a:p>
      </xdr:txBody>
    </xdr:sp>
    <xdr:clientData/>
  </xdr:oneCellAnchor>
  <xdr:twoCellAnchor>
    <xdr:from>
      <xdr:col>3</xdr:col>
      <xdr:colOff>710293</xdr:colOff>
      <xdr:row>18</xdr:row>
      <xdr:rowOff>0</xdr:rowOff>
    </xdr:from>
    <xdr:to>
      <xdr:col>6</xdr:col>
      <xdr:colOff>628650</xdr:colOff>
      <xdr:row>22</xdr:row>
      <xdr:rowOff>153761</xdr:rowOff>
    </xdr:to>
    <xdr:sp macro="" textlink="">
      <xdr:nvSpPr>
        <xdr:cNvPr id="4" name="4 CuadroTexto">
          <a:extLst>
            <a:ext uri="{FF2B5EF4-FFF2-40B4-BE49-F238E27FC236}">
              <a16:creationId xmlns:a16="http://schemas.microsoft.com/office/drawing/2014/main" id="{09560C4A-4418-4640-BEB5-FF84B43C1347}"/>
            </a:ext>
          </a:extLst>
        </xdr:cNvPr>
        <xdr:cNvSpPr txBox="1"/>
      </xdr:nvSpPr>
      <xdr:spPr>
        <a:xfrm>
          <a:off x="4872718" y="4324350"/>
          <a:ext cx="2747282" cy="991961"/>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900" b="0" i="0" u="none" strike="noStrike" kern="0" cap="none" spc="0" normalizeH="0" baseline="0" noProof="0">
              <a:ln>
                <a:noFill/>
              </a:ln>
              <a:solidFill>
                <a:sysClr val="window" lastClr="FFFFFF"/>
              </a:solidFill>
              <a:effectLst/>
              <a:uLnTx/>
              <a:uFillTx/>
              <a:latin typeface="Calibri" panose="020F0502020204030204"/>
              <a:ea typeface="+mn-ea"/>
              <a:cs typeface="+mn-cs"/>
            </a:rPr>
            <a:t>====================================================================   </a:t>
          </a: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900" b="1" i="0" u="sng" strike="noStrike" kern="0" cap="none" spc="0" normalizeH="0" baseline="0" noProof="0">
              <a:ln>
                <a:noFill/>
              </a:ln>
              <a:solidFill>
                <a:sysClr val="windowText" lastClr="000000"/>
              </a:solidFill>
              <a:effectLst/>
              <a:uLnTx/>
              <a:uFillTx/>
              <a:latin typeface="Calibri" panose="020F0502020204030204"/>
              <a:ea typeface="+mn-ea"/>
              <a:cs typeface="+mn-cs"/>
            </a:rPr>
            <a:t>C.P. REBECA I. LAGUNA FIGUEROA</a:t>
          </a: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900" b="1" i="0" u="none" strike="noStrike" kern="0" cap="none" spc="0" normalizeH="0" baseline="0" noProof="0">
              <a:ln>
                <a:noFill/>
              </a:ln>
              <a:solidFill>
                <a:sysClr val="windowText" lastClr="000000"/>
              </a:solidFill>
              <a:effectLst/>
              <a:uLnTx/>
              <a:uFillTx/>
              <a:latin typeface="Calibri" panose="020F0502020204030204"/>
              <a:ea typeface="+mn-ea"/>
              <a:cs typeface="+mn-cs"/>
            </a:rPr>
            <a:t>DIRECTORA GENERAL DE ADMINISTRACION Y FINANZAS </a:t>
          </a:r>
        </a:p>
      </xdr:txBody>
    </xdr:sp>
    <xdr:clientData/>
  </xdr:twoCellAnchor>
  <xdr:oneCellAnchor>
    <xdr:from>
      <xdr:col>0</xdr:col>
      <xdr:colOff>0</xdr:colOff>
      <xdr:row>18</xdr:row>
      <xdr:rowOff>128525</xdr:rowOff>
    </xdr:from>
    <xdr:ext cx="2823483" cy="877661"/>
    <xdr:sp macro="" textlink="">
      <xdr:nvSpPr>
        <xdr:cNvPr id="6" name="CuadroTexto 5">
          <a:extLst>
            <a:ext uri="{FF2B5EF4-FFF2-40B4-BE49-F238E27FC236}">
              <a16:creationId xmlns:a16="http://schemas.microsoft.com/office/drawing/2014/main" id="{64B7D469-3E3E-4634-8440-09ED75D11986}"/>
            </a:ext>
          </a:extLst>
        </xdr:cNvPr>
        <xdr:cNvSpPr txBox="1"/>
      </xdr:nvSpPr>
      <xdr:spPr>
        <a:xfrm>
          <a:off x="0" y="4452875"/>
          <a:ext cx="2823483" cy="877661"/>
        </a:xfrm>
        <a:prstGeom prst="rect">
          <a:avLst/>
        </a:prstGeom>
        <a:noFill/>
        <a:ln>
          <a:noFill/>
        </a:ln>
        <a:effectLst/>
      </xdr:spPr>
      <xdr:txBody>
        <a:bodyPr vertOverflow="clip" horzOverflow="clip" wrap="non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a:ln>
              <a:noFill/>
            </a:ln>
            <a:solidFill>
              <a:prstClr val="black"/>
            </a:solidFill>
            <a:effectLst/>
            <a:uLnTx/>
            <a:uFillTx/>
            <a:latin typeface="Calibri" panose="020F0502020204030204"/>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1" i="0" u="sng" strike="noStrike" kern="0" cap="none" spc="0" normalizeH="0" baseline="0" noProof="0">
              <a:ln>
                <a:noFill/>
              </a:ln>
              <a:solidFill>
                <a:prstClr val="black"/>
              </a:solidFill>
              <a:effectLst/>
              <a:uLnTx/>
              <a:uFillTx/>
              <a:latin typeface="Calibri" panose="020F0502020204030204"/>
              <a:ea typeface="+mn-ea"/>
              <a:cs typeface="+mn-cs"/>
            </a:rPr>
            <a:t>LIC. ISMAEL NORZAGARAY MICHEL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prstClr val="black"/>
              </a:solidFill>
              <a:effectLst/>
              <a:uLnTx/>
              <a:uFillTx/>
              <a:latin typeface="Calibri" panose="020F0502020204030204"/>
              <a:ea typeface="+mn-ea"/>
              <a:cs typeface="+mn-cs"/>
            </a:rPr>
            <a:t>DIRECTOR ADMINISTRATIVO </a:t>
          </a:r>
          <a:endParaRPr kumimoji="0" lang="es-ES" sz="1000" b="0" i="0" u="none" strike="noStrike" kern="0" cap="none" spc="0" normalizeH="0" baseline="0" noProof="0">
            <a:ln>
              <a:noFill/>
            </a:ln>
            <a:solidFill>
              <a:prstClr val="black"/>
            </a:solidFill>
            <a:effectLst/>
            <a:uLnTx/>
            <a:uFillTx/>
            <a:latin typeface="Calibri" panose="020F0502020204030204"/>
            <a:ea typeface="+mn-ea"/>
            <a:cs typeface="+mn-cs"/>
          </a:endParaRP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3</xdr:row>
      <xdr:rowOff>142875</xdr:rowOff>
    </xdr:from>
    <xdr:ext cx="184731" cy="264560"/>
    <xdr:sp macro="" textlink="">
      <xdr:nvSpPr>
        <xdr:cNvPr id="2" name="1 CuadroTexto">
          <a:extLst>
            <a:ext uri="{FF2B5EF4-FFF2-40B4-BE49-F238E27FC236}">
              <a16:creationId xmlns:a16="http://schemas.microsoft.com/office/drawing/2014/main" id="{00000000-0008-0000-1300-000002000000}"/>
            </a:ext>
          </a:extLst>
        </xdr:cNvPr>
        <xdr:cNvSpPr txBox="1"/>
      </xdr:nvSpPr>
      <xdr:spPr>
        <a:xfrm>
          <a:off x="31718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40</xdr:row>
      <xdr:rowOff>0</xdr:rowOff>
    </xdr:from>
    <xdr:ext cx="184731" cy="264560"/>
    <xdr:sp macro="" textlink="">
      <xdr:nvSpPr>
        <xdr:cNvPr id="3" name="2 CuadroTexto">
          <a:extLst>
            <a:ext uri="{FF2B5EF4-FFF2-40B4-BE49-F238E27FC236}">
              <a16:creationId xmlns:a16="http://schemas.microsoft.com/office/drawing/2014/main" id="{00000000-0008-0000-1300-000003000000}"/>
            </a:ext>
          </a:extLst>
        </xdr:cNvPr>
        <xdr:cNvSpPr txBox="1"/>
      </xdr:nvSpPr>
      <xdr:spPr>
        <a:xfrm>
          <a:off x="3171825" y="906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40</xdr:row>
      <xdr:rowOff>0</xdr:rowOff>
    </xdr:from>
    <xdr:ext cx="184731" cy="264560"/>
    <xdr:sp macro="" textlink="">
      <xdr:nvSpPr>
        <xdr:cNvPr id="6" name="5 CuadroTexto">
          <a:extLst>
            <a:ext uri="{FF2B5EF4-FFF2-40B4-BE49-F238E27FC236}">
              <a16:creationId xmlns:a16="http://schemas.microsoft.com/office/drawing/2014/main" id="{00000000-0008-0000-1300-000006000000}"/>
            </a:ext>
          </a:extLst>
        </xdr:cNvPr>
        <xdr:cNvSpPr txBox="1"/>
      </xdr:nvSpPr>
      <xdr:spPr>
        <a:xfrm>
          <a:off x="3171825" y="1717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5</xdr:col>
      <xdr:colOff>397532</xdr:colOff>
      <xdr:row>0</xdr:row>
      <xdr:rowOff>0</xdr:rowOff>
    </xdr:from>
    <xdr:ext cx="1478446" cy="254557"/>
    <xdr:sp macro="" textlink="">
      <xdr:nvSpPr>
        <xdr:cNvPr id="12" name="11 CuadroTexto">
          <a:extLst>
            <a:ext uri="{FF2B5EF4-FFF2-40B4-BE49-F238E27FC236}">
              <a16:creationId xmlns:a16="http://schemas.microsoft.com/office/drawing/2014/main" id="{00000000-0008-0000-1300-00000C000000}"/>
            </a:ext>
          </a:extLst>
        </xdr:cNvPr>
        <xdr:cNvSpPr txBox="1"/>
      </xdr:nvSpPr>
      <xdr:spPr>
        <a:xfrm>
          <a:off x="7644815" y="0"/>
          <a:ext cx="1478446"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endParaRPr lang="es-MX" sz="1100" b="1">
            <a:latin typeface="Arial" pitchFamily="34" charset="0"/>
            <a:cs typeface="Arial" pitchFamily="34" charset="0"/>
          </a:endParaRPr>
        </a:p>
      </xdr:txBody>
    </xdr:sp>
    <xdr:clientData/>
  </xdr:oneCellAnchor>
  <xdr:oneCellAnchor>
    <xdr:from>
      <xdr:col>0</xdr:col>
      <xdr:colOff>0</xdr:colOff>
      <xdr:row>3</xdr:row>
      <xdr:rowOff>142875</xdr:rowOff>
    </xdr:from>
    <xdr:ext cx="184731" cy="264560"/>
    <xdr:sp macro="" textlink="">
      <xdr:nvSpPr>
        <xdr:cNvPr id="15" name="1 CuadroTexto">
          <a:extLst>
            <a:ext uri="{FF2B5EF4-FFF2-40B4-BE49-F238E27FC236}">
              <a16:creationId xmlns:a16="http://schemas.microsoft.com/office/drawing/2014/main" id="{00000000-0008-0000-1300-00000F000000}"/>
            </a:ext>
          </a:extLst>
        </xdr:cNvPr>
        <xdr:cNvSpPr txBox="1"/>
      </xdr:nvSpPr>
      <xdr:spPr>
        <a:xfrm>
          <a:off x="2552700"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0</xdr:colOff>
      <xdr:row>3</xdr:row>
      <xdr:rowOff>142875</xdr:rowOff>
    </xdr:from>
    <xdr:ext cx="184731" cy="264560"/>
    <xdr:sp macro="" textlink="">
      <xdr:nvSpPr>
        <xdr:cNvPr id="16" name="1 CuadroTexto">
          <a:extLst>
            <a:ext uri="{FF2B5EF4-FFF2-40B4-BE49-F238E27FC236}">
              <a16:creationId xmlns:a16="http://schemas.microsoft.com/office/drawing/2014/main" id="{00000000-0008-0000-1300-000010000000}"/>
            </a:ext>
          </a:extLst>
        </xdr:cNvPr>
        <xdr:cNvSpPr txBox="1"/>
      </xdr:nvSpPr>
      <xdr:spPr>
        <a:xfrm>
          <a:off x="2552700"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0</xdr:colOff>
      <xdr:row>3</xdr:row>
      <xdr:rowOff>142875</xdr:rowOff>
    </xdr:from>
    <xdr:ext cx="184731" cy="264560"/>
    <xdr:sp macro="" textlink="">
      <xdr:nvSpPr>
        <xdr:cNvPr id="17" name="1 CuadroTexto">
          <a:extLst>
            <a:ext uri="{FF2B5EF4-FFF2-40B4-BE49-F238E27FC236}">
              <a16:creationId xmlns:a16="http://schemas.microsoft.com/office/drawing/2014/main" id="{00000000-0008-0000-1300-000011000000}"/>
            </a:ext>
          </a:extLst>
        </xdr:cNvPr>
        <xdr:cNvSpPr txBox="1"/>
      </xdr:nvSpPr>
      <xdr:spPr>
        <a:xfrm>
          <a:off x="2552700"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6</xdr:col>
      <xdr:colOff>0</xdr:colOff>
      <xdr:row>3</xdr:row>
      <xdr:rowOff>142875</xdr:rowOff>
    </xdr:from>
    <xdr:ext cx="184731" cy="264560"/>
    <xdr:sp macro="" textlink="">
      <xdr:nvSpPr>
        <xdr:cNvPr id="18" name="4 CuadroTexto">
          <a:extLst>
            <a:ext uri="{FF2B5EF4-FFF2-40B4-BE49-F238E27FC236}">
              <a16:creationId xmlns:a16="http://schemas.microsoft.com/office/drawing/2014/main" id="{00000000-0008-0000-1300-000012000000}"/>
            </a:ext>
          </a:extLst>
        </xdr:cNvPr>
        <xdr:cNvSpPr txBox="1"/>
      </xdr:nvSpPr>
      <xdr:spPr>
        <a:xfrm>
          <a:off x="709612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40</xdr:row>
      <xdr:rowOff>0</xdr:rowOff>
    </xdr:from>
    <xdr:ext cx="184731" cy="264560"/>
    <xdr:sp macro="" textlink="">
      <xdr:nvSpPr>
        <xdr:cNvPr id="20" name="1 CuadroTexto">
          <a:extLst>
            <a:ext uri="{FF2B5EF4-FFF2-40B4-BE49-F238E27FC236}">
              <a16:creationId xmlns:a16="http://schemas.microsoft.com/office/drawing/2014/main" id="{00000000-0008-0000-1300-000014000000}"/>
            </a:ext>
          </a:extLst>
        </xdr:cNvPr>
        <xdr:cNvSpPr txBox="1"/>
      </xdr:nvSpPr>
      <xdr:spPr>
        <a:xfrm>
          <a:off x="3172239" y="9711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40</xdr:row>
      <xdr:rowOff>0</xdr:rowOff>
    </xdr:from>
    <xdr:ext cx="184731" cy="264560"/>
    <xdr:sp macro="" textlink="">
      <xdr:nvSpPr>
        <xdr:cNvPr id="21" name="1 CuadroTexto">
          <a:extLst>
            <a:ext uri="{FF2B5EF4-FFF2-40B4-BE49-F238E27FC236}">
              <a16:creationId xmlns:a16="http://schemas.microsoft.com/office/drawing/2014/main" id="{00000000-0008-0000-1300-000015000000}"/>
            </a:ext>
          </a:extLst>
        </xdr:cNvPr>
        <xdr:cNvSpPr txBox="1"/>
      </xdr:nvSpPr>
      <xdr:spPr>
        <a:xfrm>
          <a:off x="3172239" y="9711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40</xdr:row>
      <xdr:rowOff>0</xdr:rowOff>
    </xdr:from>
    <xdr:ext cx="184731" cy="264560"/>
    <xdr:sp macro="" textlink="">
      <xdr:nvSpPr>
        <xdr:cNvPr id="22" name="1 CuadroTexto">
          <a:extLst>
            <a:ext uri="{FF2B5EF4-FFF2-40B4-BE49-F238E27FC236}">
              <a16:creationId xmlns:a16="http://schemas.microsoft.com/office/drawing/2014/main" id="{00000000-0008-0000-1300-000016000000}"/>
            </a:ext>
          </a:extLst>
        </xdr:cNvPr>
        <xdr:cNvSpPr txBox="1"/>
      </xdr:nvSpPr>
      <xdr:spPr>
        <a:xfrm>
          <a:off x="3172239" y="9711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40</xdr:row>
      <xdr:rowOff>0</xdr:rowOff>
    </xdr:from>
    <xdr:ext cx="184731" cy="264560"/>
    <xdr:sp macro="" textlink="">
      <xdr:nvSpPr>
        <xdr:cNvPr id="23" name="1 CuadroTexto">
          <a:extLst>
            <a:ext uri="{FF2B5EF4-FFF2-40B4-BE49-F238E27FC236}">
              <a16:creationId xmlns:a16="http://schemas.microsoft.com/office/drawing/2014/main" id="{00000000-0008-0000-1300-000017000000}"/>
            </a:ext>
          </a:extLst>
        </xdr:cNvPr>
        <xdr:cNvSpPr txBox="1"/>
      </xdr:nvSpPr>
      <xdr:spPr>
        <a:xfrm>
          <a:off x="3172239" y="9711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6</xdr:col>
      <xdr:colOff>0</xdr:colOff>
      <xdr:row>40</xdr:row>
      <xdr:rowOff>0</xdr:rowOff>
    </xdr:from>
    <xdr:ext cx="184731" cy="264560"/>
    <xdr:sp macro="" textlink="">
      <xdr:nvSpPr>
        <xdr:cNvPr id="24" name="4 CuadroTexto">
          <a:extLst>
            <a:ext uri="{FF2B5EF4-FFF2-40B4-BE49-F238E27FC236}">
              <a16:creationId xmlns:a16="http://schemas.microsoft.com/office/drawing/2014/main" id="{00000000-0008-0000-1300-000018000000}"/>
            </a:ext>
          </a:extLst>
        </xdr:cNvPr>
        <xdr:cNvSpPr txBox="1"/>
      </xdr:nvSpPr>
      <xdr:spPr>
        <a:xfrm>
          <a:off x="7727674" y="9711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40</xdr:row>
      <xdr:rowOff>0</xdr:rowOff>
    </xdr:from>
    <xdr:ext cx="184731" cy="264560"/>
    <xdr:sp macro="" textlink="">
      <xdr:nvSpPr>
        <xdr:cNvPr id="25" name="1 CuadroTexto">
          <a:extLst>
            <a:ext uri="{FF2B5EF4-FFF2-40B4-BE49-F238E27FC236}">
              <a16:creationId xmlns:a16="http://schemas.microsoft.com/office/drawing/2014/main" id="{00000000-0008-0000-1300-000019000000}"/>
            </a:ext>
          </a:extLst>
        </xdr:cNvPr>
        <xdr:cNvSpPr txBox="1"/>
      </xdr:nvSpPr>
      <xdr:spPr>
        <a:xfrm>
          <a:off x="3172239" y="9711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40</xdr:row>
      <xdr:rowOff>0</xdr:rowOff>
    </xdr:from>
    <xdr:ext cx="184731" cy="264560"/>
    <xdr:sp macro="" textlink="">
      <xdr:nvSpPr>
        <xdr:cNvPr id="26" name="1 CuadroTexto">
          <a:extLst>
            <a:ext uri="{FF2B5EF4-FFF2-40B4-BE49-F238E27FC236}">
              <a16:creationId xmlns:a16="http://schemas.microsoft.com/office/drawing/2014/main" id="{00000000-0008-0000-1300-00001A000000}"/>
            </a:ext>
          </a:extLst>
        </xdr:cNvPr>
        <xdr:cNvSpPr txBox="1"/>
      </xdr:nvSpPr>
      <xdr:spPr>
        <a:xfrm>
          <a:off x="3172239" y="9711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40</xdr:row>
      <xdr:rowOff>0</xdr:rowOff>
    </xdr:from>
    <xdr:ext cx="184731" cy="264560"/>
    <xdr:sp macro="" textlink="">
      <xdr:nvSpPr>
        <xdr:cNvPr id="27" name="1 CuadroTexto">
          <a:extLst>
            <a:ext uri="{FF2B5EF4-FFF2-40B4-BE49-F238E27FC236}">
              <a16:creationId xmlns:a16="http://schemas.microsoft.com/office/drawing/2014/main" id="{00000000-0008-0000-1300-00001B000000}"/>
            </a:ext>
          </a:extLst>
        </xdr:cNvPr>
        <xdr:cNvSpPr txBox="1"/>
      </xdr:nvSpPr>
      <xdr:spPr>
        <a:xfrm>
          <a:off x="3172239" y="9711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40</xdr:row>
      <xdr:rowOff>0</xdr:rowOff>
    </xdr:from>
    <xdr:ext cx="184731" cy="264560"/>
    <xdr:sp macro="" textlink="">
      <xdr:nvSpPr>
        <xdr:cNvPr id="28" name="1 CuadroTexto">
          <a:extLst>
            <a:ext uri="{FF2B5EF4-FFF2-40B4-BE49-F238E27FC236}">
              <a16:creationId xmlns:a16="http://schemas.microsoft.com/office/drawing/2014/main" id="{00000000-0008-0000-1300-00001C000000}"/>
            </a:ext>
          </a:extLst>
        </xdr:cNvPr>
        <xdr:cNvSpPr txBox="1"/>
      </xdr:nvSpPr>
      <xdr:spPr>
        <a:xfrm>
          <a:off x="3172239" y="9711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6</xdr:col>
      <xdr:colOff>0</xdr:colOff>
      <xdr:row>40</xdr:row>
      <xdr:rowOff>0</xdr:rowOff>
    </xdr:from>
    <xdr:ext cx="184731" cy="264560"/>
    <xdr:sp macro="" textlink="">
      <xdr:nvSpPr>
        <xdr:cNvPr id="29" name="4 CuadroTexto">
          <a:extLst>
            <a:ext uri="{FF2B5EF4-FFF2-40B4-BE49-F238E27FC236}">
              <a16:creationId xmlns:a16="http://schemas.microsoft.com/office/drawing/2014/main" id="{00000000-0008-0000-1300-00001D000000}"/>
            </a:ext>
          </a:extLst>
        </xdr:cNvPr>
        <xdr:cNvSpPr txBox="1"/>
      </xdr:nvSpPr>
      <xdr:spPr>
        <a:xfrm>
          <a:off x="7727674" y="9711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3</xdr:col>
      <xdr:colOff>124240</xdr:colOff>
      <xdr:row>3</xdr:row>
      <xdr:rowOff>74544</xdr:rowOff>
    </xdr:from>
    <xdr:ext cx="3524250" cy="342900"/>
    <xdr:sp macro="" textlink="">
      <xdr:nvSpPr>
        <xdr:cNvPr id="33" name="32 CuadroTexto">
          <a:extLst>
            <a:ext uri="{FF2B5EF4-FFF2-40B4-BE49-F238E27FC236}">
              <a16:creationId xmlns:a16="http://schemas.microsoft.com/office/drawing/2014/main" id="{00000000-0008-0000-1300-000021000000}"/>
            </a:ext>
          </a:extLst>
        </xdr:cNvPr>
        <xdr:cNvSpPr txBox="1"/>
      </xdr:nvSpPr>
      <xdr:spPr>
        <a:xfrm>
          <a:off x="4605131" y="695740"/>
          <a:ext cx="3524250" cy="342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lang="es-MX" sz="900" b="1">
              <a:latin typeface="Arial" pitchFamily="34" charset="0"/>
              <a:cs typeface="Arial" pitchFamily="34" charset="0"/>
            </a:rPr>
            <a:t>CUENTA PÚBLICA</a:t>
          </a:r>
          <a:r>
            <a:rPr lang="es-MX" sz="900" b="1" baseline="0">
              <a:latin typeface="Arial" pitchFamily="34" charset="0"/>
              <a:cs typeface="Arial" pitchFamily="34" charset="0"/>
            </a:rPr>
            <a:t> 2023</a:t>
          </a:r>
          <a:endParaRPr lang="es-MX" sz="900" b="1">
            <a:latin typeface="Arial" pitchFamily="34" charset="0"/>
            <a:cs typeface="Arial" pitchFamily="34" charset="0"/>
          </a:endParaRPr>
        </a:p>
      </xdr:txBody>
    </xdr:sp>
    <xdr:clientData/>
  </xdr:oneCellAnchor>
  <xdr:twoCellAnchor>
    <xdr:from>
      <xdr:col>3</xdr:col>
      <xdr:colOff>491219</xdr:colOff>
      <xdr:row>32</xdr:row>
      <xdr:rowOff>8283</xdr:rowOff>
    </xdr:from>
    <xdr:to>
      <xdr:col>6</xdr:col>
      <xdr:colOff>505240</xdr:colOff>
      <xdr:row>36</xdr:row>
      <xdr:rowOff>171983</xdr:rowOff>
    </xdr:to>
    <xdr:sp macro="" textlink="">
      <xdr:nvSpPr>
        <xdr:cNvPr id="4" name="4 CuadroTexto">
          <a:extLst>
            <a:ext uri="{FF2B5EF4-FFF2-40B4-BE49-F238E27FC236}">
              <a16:creationId xmlns:a16="http://schemas.microsoft.com/office/drawing/2014/main" id="{F62976D3-578C-4FC3-9998-B26A9ED8C338}"/>
            </a:ext>
          </a:extLst>
        </xdr:cNvPr>
        <xdr:cNvSpPr txBox="1"/>
      </xdr:nvSpPr>
      <xdr:spPr>
        <a:xfrm>
          <a:off x="4972110" y="8274326"/>
          <a:ext cx="2747282" cy="991961"/>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900" b="0" i="0" u="none" strike="noStrike" kern="0" cap="none" spc="0" normalizeH="0" baseline="0" noProof="0">
              <a:ln>
                <a:noFill/>
              </a:ln>
              <a:solidFill>
                <a:sysClr val="window" lastClr="FFFFFF"/>
              </a:solidFill>
              <a:effectLst/>
              <a:uLnTx/>
              <a:uFillTx/>
              <a:latin typeface="Calibri" panose="020F0502020204030204"/>
              <a:ea typeface="+mn-ea"/>
              <a:cs typeface="+mn-cs"/>
            </a:rPr>
            <a:t>====================================================================   </a:t>
          </a: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900" b="1" i="0" u="sng" strike="noStrike" kern="0" cap="none" spc="0" normalizeH="0" baseline="0" noProof="0">
              <a:ln>
                <a:noFill/>
              </a:ln>
              <a:solidFill>
                <a:sysClr val="windowText" lastClr="000000"/>
              </a:solidFill>
              <a:effectLst/>
              <a:uLnTx/>
              <a:uFillTx/>
              <a:latin typeface="Calibri" panose="020F0502020204030204"/>
              <a:ea typeface="+mn-ea"/>
              <a:cs typeface="+mn-cs"/>
            </a:rPr>
            <a:t>C.P. REBECA I. LAGUNA FIGUEROA</a:t>
          </a: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900" b="1" i="0" u="none" strike="noStrike" kern="0" cap="none" spc="0" normalizeH="0" baseline="0" noProof="0">
              <a:ln>
                <a:noFill/>
              </a:ln>
              <a:solidFill>
                <a:sysClr val="windowText" lastClr="000000"/>
              </a:solidFill>
              <a:effectLst/>
              <a:uLnTx/>
              <a:uFillTx/>
              <a:latin typeface="Calibri" panose="020F0502020204030204"/>
              <a:ea typeface="+mn-ea"/>
              <a:cs typeface="+mn-cs"/>
            </a:rPr>
            <a:t>DIRECTORA GENERAL DE ADMINISTRACION Y FINANZAS </a:t>
          </a:r>
        </a:p>
      </xdr:txBody>
    </xdr:sp>
    <xdr:clientData/>
  </xdr:twoCellAnchor>
  <xdr:oneCellAnchor>
    <xdr:from>
      <xdr:col>0</xdr:col>
      <xdr:colOff>99392</xdr:colOff>
      <xdr:row>32</xdr:row>
      <xdr:rowOff>136808</xdr:rowOff>
    </xdr:from>
    <xdr:ext cx="2823483" cy="877661"/>
    <xdr:sp macro="" textlink="">
      <xdr:nvSpPr>
        <xdr:cNvPr id="5" name="CuadroTexto 5">
          <a:extLst>
            <a:ext uri="{FF2B5EF4-FFF2-40B4-BE49-F238E27FC236}">
              <a16:creationId xmlns:a16="http://schemas.microsoft.com/office/drawing/2014/main" id="{09BF3E91-DA2F-4BCC-8F01-CC7296D9AC04}"/>
            </a:ext>
          </a:extLst>
        </xdr:cNvPr>
        <xdr:cNvSpPr txBox="1"/>
      </xdr:nvSpPr>
      <xdr:spPr>
        <a:xfrm>
          <a:off x="99392" y="8402851"/>
          <a:ext cx="2823483" cy="877661"/>
        </a:xfrm>
        <a:prstGeom prst="rect">
          <a:avLst/>
        </a:prstGeom>
        <a:noFill/>
        <a:ln>
          <a:noFill/>
        </a:ln>
        <a:effectLst/>
      </xdr:spPr>
      <xdr:txBody>
        <a:bodyPr vertOverflow="clip" horzOverflow="clip" wrap="non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a:ln>
              <a:noFill/>
            </a:ln>
            <a:solidFill>
              <a:prstClr val="black"/>
            </a:solidFill>
            <a:effectLst/>
            <a:uLnTx/>
            <a:uFillTx/>
            <a:latin typeface="Calibri" panose="020F0502020204030204"/>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1" i="0" u="sng" strike="noStrike" kern="0" cap="none" spc="0" normalizeH="0" baseline="0" noProof="0">
              <a:ln>
                <a:noFill/>
              </a:ln>
              <a:solidFill>
                <a:prstClr val="black"/>
              </a:solidFill>
              <a:effectLst/>
              <a:uLnTx/>
              <a:uFillTx/>
              <a:latin typeface="Calibri" panose="020F0502020204030204"/>
              <a:ea typeface="+mn-ea"/>
              <a:cs typeface="+mn-cs"/>
            </a:rPr>
            <a:t>LIC. ISMAEL NORZAGARAY MICHEL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prstClr val="black"/>
              </a:solidFill>
              <a:effectLst/>
              <a:uLnTx/>
              <a:uFillTx/>
              <a:latin typeface="Calibri" panose="020F0502020204030204"/>
              <a:ea typeface="+mn-ea"/>
              <a:cs typeface="+mn-cs"/>
            </a:rPr>
            <a:t>DIRECTOR ADMINISTRATIVO </a:t>
          </a:r>
          <a:endParaRPr kumimoji="0" lang="es-ES" sz="1000" b="0" i="0" u="none" strike="noStrike" kern="0" cap="none" spc="0" normalizeH="0" baseline="0" noProof="0">
            <a:ln>
              <a:noFill/>
            </a:ln>
            <a:solidFill>
              <a:prstClr val="black"/>
            </a:solidFill>
            <a:effectLst/>
            <a:uLnTx/>
            <a:uFillTx/>
            <a:latin typeface="Calibri" panose="020F0502020204030204"/>
            <a:ea typeface="+mn-ea"/>
            <a:cs typeface="+mn-cs"/>
          </a:endParaRPr>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5</xdr:col>
      <xdr:colOff>685801</xdr:colOff>
      <xdr:row>0</xdr:row>
      <xdr:rowOff>19050</xdr:rowOff>
    </xdr:from>
    <xdr:ext cx="1228724" cy="266700"/>
    <xdr:sp macro="" textlink="">
      <xdr:nvSpPr>
        <xdr:cNvPr id="3" name="2 CuadroTexto">
          <a:extLst>
            <a:ext uri="{FF2B5EF4-FFF2-40B4-BE49-F238E27FC236}">
              <a16:creationId xmlns:a16="http://schemas.microsoft.com/office/drawing/2014/main" id="{00000000-0008-0000-1400-000003000000}"/>
            </a:ext>
          </a:extLst>
        </xdr:cNvPr>
        <xdr:cNvSpPr txBox="1"/>
      </xdr:nvSpPr>
      <xdr:spPr>
        <a:xfrm>
          <a:off x="6219826" y="19050"/>
          <a:ext cx="1228724" cy="2667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noAutofit/>
        </a:bodyPr>
        <a:lstStyle/>
        <a:p>
          <a:pPr algn="r"/>
          <a:endParaRPr lang="es-MX" sz="1100" b="1">
            <a:latin typeface="Arial" pitchFamily="34" charset="0"/>
            <a:cs typeface="Arial" pitchFamily="34" charset="0"/>
          </a:endParaRPr>
        </a:p>
      </xdr:txBody>
    </xdr:sp>
    <xdr:clientData/>
  </xdr:oneCellAnchor>
  <xdr:oneCellAnchor>
    <xdr:from>
      <xdr:col>3</xdr:col>
      <xdr:colOff>76200</xdr:colOff>
      <xdr:row>3</xdr:row>
      <xdr:rowOff>19050</xdr:rowOff>
    </xdr:from>
    <xdr:ext cx="3524250" cy="342900"/>
    <xdr:sp macro="" textlink="">
      <xdr:nvSpPr>
        <xdr:cNvPr id="7" name="6 CuadroTexto">
          <a:extLst>
            <a:ext uri="{FF2B5EF4-FFF2-40B4-BE49-F238E27FC236}">
              <a16:creationId xmlns:a16="http://schemas.microsoft.com/office/drawing/2014/main" id="{00000000-0008-0000-1400-000007000000}"/>
            </a:ext>
          </a:extLst>
        </xdr:cNvPr>
        <xdr:cNvSpPr txBox="1"/>
      </xdr:nvSpPr>
      <xdr:spPr>
        <a:xfrm>
          <a:off x="3924300" y="542925"/>
          <a:ext cx="3524250" cy="342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lang="es-MX" sz="1100" b="1">
              <a:latin typeface="Arial" pitchFamily="34" charset="0"/>
              <a:cs typeface="Arial" pitchFamily="34" charset="0"/>
            </a:rPr>
            <a:t>CUENTA</a:t>
          </a:r>
          <a:r>
            <a:rPr lang="es-MX" sz="1100" b="1" baseline="0">
              <a:latin typeface="Arial" pitchFamily="34" charset="0"/>
              <a:cs typeface="Arial" pitchFamily="34" charset="0"/>
            </a:rPr>
            <a:t> PÚBLICA 2023</a:t>
          </a:r>
          <a:endParaRPr lang="es-MX" sz="1100" b="1">
            <a:latin typeface="Arial" pitchFamily="34" charset="0"/>
            <a:cs typeface="Arial" pitchFamily="34" charset="0"/>
          </a:endParaRPr>
        </a:p>
      </xdr:txBody>
    </xdr:sp>
    <xdr:clientData/>
  </xdr:oneCellAnchor>
  <xdr:twoCellAnchor>
    <xdr:from>
      <xdr:col>3</xdr:col>
      <xdr:colOff>605518</xdr:colOff>
      <xdr:row>34</xdr:row>
      <xdr:rowOff>180975</xdr:rowOff>
    </xdr:from>
    <xdr:to>
      <xdr:col>6</xdr:col>
      <xdr:colOff>733425</xdr:colOff>
      <xdr:row>40</xdr:row>
      <xdr:rowOff>29936</xdr:rowOff>
    </xdr:to>
    <xdr:sp macro="" textlink="">
      <xdr:nvSpPr>
        <xdr:cNvPr id="2" name="4 CuadroTexto">
          <a:extLst>
            <a:ext uri="{FF2B5EF4-FFF2-40B4-BE49-F238E27FC236}">
              <a16:creationId xmlns:a16="http://schemas.microsoft.com/office/drawing/2014/main" id="{64E97D9F-B29D-47A6-9CE9-543329C8F7F6}"/>
            </a:ext>
          </a:extLst>
        </xdr:cNvPr>
        <xdr:cNvSpPr txBox="1"/>
      </xdr:nvSpPr>
      <xdr:spPr>
        <a:xfrm>
          <a:off x="4453618" y="5743575"/>
          <a:ext cx="2747282" cy="991961"/>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900" b="0" i="0" u="none" strike="noStrike" kern="0" cap="none" spc="0" normalizeH="0" baseline="0" noProof="0">
              <a:ln>
                <a:noFill/>
              </a:ln>
              <a:solidFill>
                <a:sysClr val="window" lastClr="FFFFFF"/>
              </a:solidFill>
              <a:effectLst/>
              <a:uLnTx/>
              <a:uFillTx/>
              <a:latin typeface="Calibri" panose="020F0502020204030204"/>
              <a:ea typeface="+mn-ea"/>
              <a:cs typeface="+mn-cs"/>
            </a:rPr>
            <a:t>====================================================================   </a:t>
          </a: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900" b="1" i="0" u="sng" strike="noStrike" kern="0" cap="none" spc="0" normalizeH="0" baseline="0" noProof="0">
              <a:ln>
                <a:noFill/>
              </a:ln>
              <a:solidFill>
                <a:sysClr val="windowText" lastClr="000000"/>
              </a:solidFill>
              <a:effectLst/>
              <a:uLnTx/>
              <a:uFillTx/>
              <a:latin typeface="Calibri" panose="020F0502020204030204"/>
              <a:ea typeface="+mn-ea"/>
              <a:cs typeface="+mn-cs"/>
            </a:rPr>
            <a:t>C.P. REBECA I. LAGUNA FIGUEROA</a:t>
          </a: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900" b="1" i="0" u="none" strike="noStrike" kern="0" cap="none" spc="0" normalizeH="0" baseline="0" noProof="0">
              <a:ln>
                <a:noFill/>
              </a:ln>
              <a:solidFill>
                <a:sysClr val="windowText" lastClr="000000"/>
              </a:solidFill>
              <a:effectLst/>
              <a:uLnTx/>
              <a:uFillTx/>
              <a:latin typeface="Calibri" panose="020F0502020204030204"/>
              <a:ea typeface="+mn-ea"/>
              <a:cs typeface="+mn-cs"/>
            </a:rPr>
            <a:t>DIRECTORA GENERAL DE ADMINISTRACION Y FINANZAS </a:t>
          </a:r>
        </a:p>
      </xdr:txBody>
    </xdr:sp>
    <xdr:clientData/>
  </xdr:twoCellAnchor>
  <xdr:oneCellAnchor>
    <xdr:from>
      <xdr:col>0</xdr:col>
      <xdr:colOff>0</xdr:colOff>
      <xdr:row>35</xdr:row>
      <xdr:rowOff>119000</xdr:rowOff>
    </xdr:from>
    <xdr:ext cx="2823483" cy="877661"/>
    <xdr:sp macro="" textlink="">
      <xdr:nvSpPr>
        <xdr:cNvPr id="4" name="CuadroTexto 5">
          <a:extLst>
            <a:ext uri="{FF2B5EF4-FFF2-40B4-BE49-F238E27FC236}">
              <a16:creationId xmlns:a16="http://schemas.microsoft.com/office/drawing/2014/main" id="{60220A77-97E5-4036-BE92-A17864C700EF}"/>
            </a:ext>
          </a:extLst>
        </xdr:cNvPr>
        <xdr:cNvSpPr txBox="1"/>
      </xdr:nvSpPr>
      <xdr:spPr>
        <a:xfrm>
          <a:off x="0" y="5872100"/>
          <a:ext cx="2823483" cy="877661"/>
        </a:xfrm>
        <a:prstGeom prst="rect">
          <a:avLst/>
        </a:prstGeom>
        <a:noFill/>
        <a:ln>
          <a:noFill/>
        </a:ln>
        <a:effectLst/>
      </xdr:spPr>
      <xdr:txBody>
        <a:bodyPr vertOverflow="clip" horzOverflow="clip" wrap="non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a:ln>
              <a:noFill/>
            </a:ln>
            <a:solidFill>
              <a:prstClr val="black"/>
            </a:solidFill>
            <a:effectLst/>
            <a:uLnTx/>
            <a:uFillTx/>
            <a:latin typeface="Calibri" panose="020F0502020204030204"/>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1" i="0" u="sng" strike="noStrike" kern="0" cap="none" spc="0" normalizeH="0" baseline="0" noProof="0">
              <a:ln>
                <a:noFill/>
              </a:ln>
              <a:solidFill>
                <a:prstClr val="black"/>
              </a:solidFill>
              <a:effectLst/>
              <a:uLnTx/>
              <a:uFillTx/>
              <a:latin typeface="Calibri" panose="020F0502020204030204"/>
              <a:ea typeface="+mn-ea"/>
              <a:cs typeface="+mn-cs"/>
            </a:rPr>
            <a:t>LIC. ISMAEL NORZAGARAY MICHEL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prstClr val="black"/>
              </a:solidFill>
              <a:effectLst/>
              <a:uLnTx/>
              <a:uFillTx/>
              <a:latin typeface="Calibri" panose="020F0502020204030204"/>
              <a:ea typeface="+mn-ea"/>
              <a:cs typeface="+mn-cs"/>
            </a:rPr>
            <a:t>DIRECTOR ADMINISTRATIVO </a:t>
          </a:r>
          <a:endParaRPr kumimoji="0" lang="es-ES" sz="1000" b="0" i="0" u="none" strike="noStrike" kern="0" cap="none" spc="0" normalizeH="0" baseline="0" noProof="0">
            <a:ln>
              <a:noFill/>
            </a:ln>
            <a:solidFill>
              <a:prstClr val="black"/>
            </a:solidFill>
            <a:effectLst/>
            <a:uLnTx/>
            <a:uFillTx/>
            <a:latin typeface="Calibri" panose="020F0502020204030204"/>
            <a:ea typeface="+mn-ea"/>
            <a:cs typeface="+mn-cs"/>
          </a:endParaRPr>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1</xdr:col>
      <xdr:colOff>0</xdr:colOff>
      <xdr:row>0</xdr:row>
      <xdr:rowOff>0</xdr:rowOff>
    </xdr:from>
    <xdr:ext cx="184731" cy="264560"/>
    <xdr:sp macro="" textlink="">
      <xdr:nvSpPr>
        <xdr:cNvPr id="2" name="1 CuadroTexto">
          <a:extLst>
            <a:ext uri="{FF2B5EF4-FFF2-40B4-BE49-F238E27FC236}">
              <a16:creationId xmlns:a16="http://schemas.microsoft.com/office/drawing/2014/main" id="{00000000-0008-0000-1500-000002000000}"/>
            </a:ext>
          </a:extLst>
        </xdr:cNvPr>
        <xdr:cNvSpPr txBox="1"/>
      </xdr:nvSpPr>
      <xdr:spPr>
        <a:xfrm>
          <a:off x="3171825" y="9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0</xdr:colOff>
      <xdr:row>3</xdr:row>
      <xdr:rowOff>142875</xdr:rowOff>
    </xdr:from>
    <xdr:ext cx="184731" cy="264560"/>
    <xdr:sp macro="" textlink="">
      <xdr:nvSpPr>
        <xdr:cNvPr id="3" name="2 CuadroTexto">
          <a:extLst>
            <a:ext uri="{FF2B5EF4-FFF2-40B4-BE49-F238E27FC236}">
              <a16:creationId xmlns:a16="http://schemas.microsoft.com/office/drawing/2014/main" id="{00000000-0008-0000-1500-000003000000}"/>
            </a:ext>
          </a:extLst>
        </xdr:cNvPr>
        <xdr:cNvSpPr txBox="1"/>
      </xdr:nvSpPr>
      <xdr:spPr>
        <a:xfrm>
          <a:off x="3171825"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20</xdr:row>
      <xdr:rowOff>0</xdr:rowOff>
    </xdr:from>
    <xdr:ext cx="184731" cy="264560"/>
    <xdr:sp macro="" textlink="">
      <xdr:nvSpPr>
        <xdr:cNvPr id="4" name="5 CuadroTexto">
          <a:extLst>
            <a:ext uri="{FF2B5EF4-FFF2-40B4-BE49-F238E27FC236}">
              <a16:creationId xmlns:a16="http://schemas.microsoft.com/office/drawing/2014/main" id="{00000000-0008-0000-1500-000004000000}"/>
            </a:ext>
          </a:extLst>
        </xdr:cNvPr>
        <xdr:cNvSpPr txBox="1"/>
      </xdr:nvSpPr>
      <xdr:spPr>
        <a:xfrm>
          <a:off x="3171825"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0</xdr:row>
      <xdr:rowOff>0</xdr:rowOff>
    </xdr:from>
    <xdr:ext cx="184731" cy="264560"/>
    <xdr:sp macro="" textlink="">
      <xdr:nvSpPr>
        <xdr:cNvPr id="6" name="1 CuadroTexto">
          <a:extLst>
            <a:ext uri="{FF2B5EF4-FFF2-40B4-BE49-F238E27FC236}">
              <a16:creationId xmlns:a16="http://schemas.microsoft.com/office/drawing/2014/main" id="{00000000-0008-0000-1500-000006000000}"/>
            </a:ext>
          </a:extLst>
        </xdr:cNvPr>
        <xdr:cNvSpPr txBox="1"/>
      </xdr:nvSpPr>
      <xdr:spPr>
        <a:xfrm>
          <a:off x="3171825" y="9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0</xdr:row>
      <xdr:rowOff>0</xdr:rowOff>
    </xdr:from>
    <xdr:ext cx="184731" cy="264560"/>
    <xdr:sp macro="" textlink="">
      <xdr:nvSpPr>
        <xdr:cNvPr id="7" name="1 CuadroTexto">
          <a:extLst>
            <a:ext uri="{FF2B5EF4-FFF2-40B4-BE49-F238E27FC236}">
              <a16:creationId xmlns:a16="http://schemas.microsoft.com/office/drawing/2014/main" id="{00000000-0008-0000-1500-000007000000}"/>
            </a:ext>
          </a:extLst>
        </xdr:cNvPr>
        <xdr:cNvSpPr txBox="1"/>
      </xdr:nvSpPr>
      <xdr:spPr>
        <a:xfrm>
          <a:off x="3171825" y="9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0</xdr:row>
      <xdr:rowOff>0</xdr:rowOff>
    </xdr:from>
    <xdr:ext cx="184731" cy="264560"/>
    <xdr:sp macro="" textlink="">
      <xdr:nvSpPr>
        <xdr:cNvPr id="8" name="1 CuadroTexto">
          <a:extLst>
            <a:ext uri="{FF2B5EF4-FFF2-40B4-BE49-F238E27FC236}">
              <a16:creationId xmlns:a16="http://schemas.microsoft.com/office/drawing/2014/main" id="{00000000-0008-0000-1500-000008000000}"/>
            </a:ext>
          </a:extLst>
        </xdr:cNvPr>
        <xdr:cNvSpPr txBox="1"/>
      </xdr:nvSpPr>
      <xdr:spPr>
        <a:xfrm>
          <a:off x="3171825" y="9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6</xdr:col>
      <xdr:colOff>0</xdr:colOff>
      <xdr:row>0</xdr:row>
      <xdr:rowOff>0</xdr:rowOff>
    </xdr:from>
    <xdr:ext cx="184731" cy="264560"/>
    <xdr:sp macro="" textlink="">
      <xdr:nvSpPr>
        <xdr:cNvPr id="9" name="4 CuadroTexto">
          <a:extLst>
            <a:ext uri="{FF2B5EF4-FFF2-40B4-BE49-F238E27FC236}">
              <a16:creationId xmlns:a16="http://schemas.microsoft.com/office/drawing/2014/main" id="{00000000-0008-0000-1500-000009000000}"/>
            </a:ext>
          </a:extLst>
        </xdr:cNvPr>
        <xdr:cNvSpPr txBox="1"/>
      </xdr:nvSpPr>
      <xdr:spPr>
        <a:xfrm>
          <a:off x="7743825" y="9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5</xdr:col>
      <xdr:colOff>301073</xdr:colOff>
      <xdr:row>0</xdr:row>
      <xdr:rowOff>16566</xdr:rowOff>
    </xdr:from>
    <xdr:ext cx="1478446" cy="254557"/>
    <xdr:sp macro="" textlink="">
      <xdr:nvSpPr>
        <xdr:cNvPr id="10" name="11 CuadroTexto">
          <a:extLst>
            <a:ext uri="{FF2B5EF4-FFF2-40B4-BE49-F238E27FC236}">
              <a16:creationId xmlns:a16="http://schemas.microsoft.com/office/drawing/2014/main" id="{00000000-0008-0000-1500-00000A000000}"/>
            </a:ext>
          </a:extLst>
        </xdr:cNvPr>
        <xdr:cNvSpPr txBox="1"/>
      </xdr:nvSpPr>
      <xdr:spPr>
        <a:xfrm>
          <a:off x="6616148" y="16566"/>
          <a:ext cx="1478446"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endParaRPr lang="es-MX" sz="1100" b="1">
            <a:latin typeface="Arial" pitchFamily="34" charset="0"/>
            <a:cs typeface="Arial" pitchFamily="34" charset="0"/>
          </a:endParaRPr>
        </a:p>
      </xdr:txBody>
    </xdr:sp>
    <xdr:clientData/>
  </xdr:oneCellAnchor>
  <xdr:oneCellAnchor>
    <xdr:from>
      <xdr:col>0</xdr:col>
      <xdr:colOff>0</xdr:colOff>
      <xdr:row>3</xdr:row>
      <xdr:rowOff>142875</xdr:rowOff>
    </xdr:from>
    <xdr:ext cx="184731" cy="264560"/>
    <xdr:sp macro="" textlink="">
      <xdr:nvSpPr>
        <xdr:cNvPr id="11" name="1 CuadroTexto">
          <a:extLst>
            <a:ext uri="{FF2B5EF4-FFF2-40B4-BE49-F238E27FC236}">
              <a16:creationId xmlns:a16="http://schemas.microsoft.com/office/drawing/2014/main" id="{00000000-0008-0000-1500-00000B000000}"/>
            </a:ext>
          </a:extLst>
        </xdr:cNvPr>
        <xdr:cNvSpPr txBox="1"/>
      </xdr:nvSpPr>
      <xdr:spPr>
        <a:xfrm>
          <a:off x="3171825"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0</xdr:colOff>
      <xdr:row>3</xdr:row>
      <xdr:rowOff>142875</xdr:rowOff>
    </xdr:from>
    <xdr:ext cx="184731" cy="264560"/>
    <xdr:sp macro="" textlink="">
      <xdr:nvSpPr>
        <xdr:cNvPr id="12" name="1 CuadroTexto">
          <a:extLst>
            <a:ext uri="{FF2B5EF4-FFF2-40B4-BE49-F238E27FC236}">
              <a16:creationId xmlns:a16="http://schemas.microsoft.com/office/drawing/2014/main" id="{00000000-0008-0000-1500-00000C000000}"/>
            </a:ext>
          </a:extLst>
        </xdr:cNvPr>
        <xdr:cNvSpPr txBox="1"/>
      </xdr:nvSpPr>
      <xdr:spPr>
        <a:xfrm>
          <a:off x="3171825"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0</xdr:colOff>
      <xdr:row>3</xdr:row>
      <xdr:rowOff>142875</xdr:rowOff>
    </xdr:from>
    <xdr:ext cx="184731" cy="264560"/>
    <xdr:sp macro="" textlink="">
      <xdr:nvSpPr>
        <xdr:cNvPr id="13" name="1 CuadroTexto">
          <a:extLst>
            <a:ext uri="{FF2B5EF4-FFF2-40B4-BE49-F238E27FC236}">
              <a16:creationId xmlns:a16="http://schemas.microsoft.com/office/drawing/2014/main" id="{00000000-0008-0000-1500-00000D000000}"/>
            </a:ext>
          </a:extLst>
        </xdr:cNvPr>
        <xdr:cNvSpPr txBox="1"/>
      </xdr:nvSpPr>
      <xdr:spPr>
        <a:xfrm>
          <a:off x="3171825"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0</xdr:colOff>
      <xdr:row>3</xdr:row>
      <xdr:rowOff>142875</xdr:rowOff>
    </xdr:from>
    <xdr:ext cx="184731" cy="264560"/>
    <xdr:sp macro="" textlink="">
      <xdr:nvSpPr>
        <xdr:cNvPr id="14" name="1 CuadroTexto">
          <a:extLst>
            <a:ext uri="{FF2B5EF4-FFF2-40B4-BE49-F238E27FC236}">
              <a16:creationId xmlns:a16="http://schemas.microsoft.com/office/drawing/2014/main" id="{00000000-0008-0000-1500-00000E000000}"/>
            </a:ext>
          </a:extLst>
        </xdr:cNvPr>
        <xdr:cNvSpPr txBox="1"/>
      </xdr:nvSpPr>
      <xdr:spPr>
        <a:xfrm>
          <a:off x="3171825"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5</xdr:col>
      <xdr:colOff>0</xdr:colOff>
      <xdr:row>3</xdr:row>
      <xdr:rowOff>142875</xdr:rowOff>
    </xdr:from>
    <xdr:ext cx="184731" cy="264560"/>
    <xdr:sp macro="" textlink="">
      <xdr:nvSpPr>
        <xdr:cNvPr id="15" name="4 CuadroTexto">
          <a:extLst>
            <a:ext uri="{FF2B5EF4-FFF2-40B4-BE49-F238E27FC236}">
              <a16:creationId xmlns:a16="http://schemas.microsoft.com/office/drawing/2014/main" id="{00000000-0008-0000-1500-00000F000000}"/>
            </a:ext>
          </a:extLst>
        </xdr:cNvPr>
        <xdr:cNvSpPr txBox="1"/>
      </xdr:nvSpPr>
      <xdr:spPr>
        <a:xfrm>
          <a:off x="7743825"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20</xdr:row>
      <xdr:rowOff>0</xdr:rowOff>
    </xdr:from>
    <xdr:ext cx="184731" cy="264560"/>
    <xdr:sp macro="" textlink="">
      <xdr:nvSpPr>
        <xdr:cNvPr id="16" name="1 CuadroTexto">
          <a:extLst>
            <a:ext uri="{FF2B5EF4-FFF2-40B4-BE49-F238E27FC236}">
              <a16:creationId xmlns:a16="http://schemas.microsoft.com/office/drawing/2014/main" id="{00000000-0008-0000-1500-000010000000}"/>
            </a:ext>
          </a:extLst>
        </xdr:cNvPr>
        <xdr:cNvSpPr txBox="1"/>
      </xdr:nvSpPr>
      <xdr:spPr>
        <a:xfrm>
          <a:off x="3171825"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20</xdr:row>
      <xdr:rowOff>0</xdr:rowOff>
    </xdr:from>
    <xdr:ext cx="184731" cy="264560"/>
    <xdr:sp macro="" textlink="">
      <xdr:nvSpPr>
        <xdr:cNvPr id="17" name="1 CuadroTexto">
          <a:extLst>
            <a:ext uri="{FF2B5EF4-FFF2-40B4-BE49-F238E27FC236}">
              <a16:creationId xmlns:a16="http://schemas.microsoft.com/office/drawing/2014/main" id="{00000000-0008-0000-1500-000011000000}"/>
            </a:ext>
          </a:extLst>
        </xdr:cNvPr>
        <xdr:cNvSpPr txBox="1"/>
      </xdr:nvSpPr>
      <xdr:spPr>
        <a:xfrm>
          <a:off x="3171825"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20</xdr:row>
      <xdr:rowOff>0</xdr:rowOff>
    </xdr:from>
    <xdr:ext cx="184731" cy="264560"/>
    <xdr:sp macro="" textlink="">
      <xdr:nvSpPr>
        <xdr:cNvPr id="18" name="1 CuadroTexto">
          <a:extLst>
            <a:ext uri="{FF2B5EF4-FFF2-40B4-BE49-F238E27FC236}">
              <a16:creationId xmlns:a16="http://schemas.microsoft.com/office/drawing/2014/main" id="{00000000-0008-0000-1500-000012000000}"/>
            </a:ext>
          </a:extLst>
        </xdr:cNvPr>
        <xdr:cNvSpPr txBox="1"/>
      </xdr:nvSpPr>
      <xdr:spPr>
        <a:xfrm>
          <a:off x="3171825"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20</xdr:row>
      <xdr:rowOff>0</xdr:rowOff>
    </xdr:from>
    <xdr:ext cx="184731" cy="264560"/>
    <xdr:sp macro="" textlink="">
      <xdr:nvSpPr>
        <xdr:cNvPr id="19" name="1 CuadroTexto">
          <a:extLst>
            <a:ext uri="{FF2B5EF4-FFF2-40B4-BE49-F238E27FC236}">
              <a16:creationId xmlns:a16="http://schemas.microsoft.com/office/drawing/2014/main" id="{00000000-0008-0000-1500-000013000000}"/>
            </a:ext>
          </a:extLst>
        </xdr:cNvPr>
        <xdr:cNvSpPr txBox="1"/>
      </xdr:nvSpPr>
      <xdr:spPr>
        <a:xfrm>
          <a:off x="3171825"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6</xdr:col>
      <xdr:colOff>0</xdr:colOff>
      <xdr:row>20</xdr:row>
      <xdr:rowOff>0</xdr:rowOff>
    </xdr:from>
    <xdr:ext cx="184731" cy="264560"/>
    <xdr:sp macro="" textlink="">
      <xdr:nvSpPr>
        <xdr:cNvPr id="20" name="4 CuadroTexto">
          <a:extLst>
            <a:ext uri="{FF2B5EF4-FFF2-40B4-BE49-F238E27FC236}">
              <a16:creationId xmlns:a16="http://schemas.microsoft.com/office/drawing/2014/main" id="{00000000-0008-0000-1500-000014000000}"/>
            </a:ext>
          </a:extLst>
        </xdr:cNvPr>
        <xdr:cNvSpPr txBox="1"/>
      </xdr:nvSpPr>
      <xdr:spPr>
        <a:xfrm>
          <a:off x="7743825"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3</xdr:col>
      <xdr:colOff>133350</xdr:colOff>
      <xdr:row>3</xdr:row>
      <xdr:rowOff>57150</xdr:rowOff>
    </xdr:from>
    <xdr:ext cx="3524250" cy="342900"/>
    <xdr:sp macro="" textlink="">
      <xdr:nvSpPr>
        <xdr:cNvPr id="25" name="24 CuadroTexto">
          <a:extLst>
            <a:ext uri="{FF2B5EF4-FFF2-40B4-BE49-F238E27FC236}">
              <a16:creationId xmlns:a16="http://schemas.microsoft.com/office/drawing/2014/main" id="{00000000-0008-0000-1500-000019000000}"/>
            </a:ext>
          </a:extLst>
        </xdr:cNvPr>
        <xdr:cNvSpPr txBox="1"/>
      </xdr:nvSpPr>
      <xdr:spPr>
        <a:xfrm>
          <a:off x="4619625" y="685800"/>
          <a:ext cx="3524250" cy="342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lang="es-MX" sz="1100" b="1">
              <a:latin typeface="Arial" pitchFamily="34" charset="0"/>
              <a:cs typeface="Arial" pitchFamily="34" charset="0"/>
            </a:rPr>
            <a:t>CUENTA PÚBLICA 2023</a:t>
          </a:r>
        </a:p>
      </xdr:txBody>
    </xdr:sp>
    <xdr:clientData/>
  </xdr:oneCellAnchor>
  <xdr:twoCellAnchor>
    <xdr:from>
      <xdr:col>3</xdr:col>
      <xdr:colOff>386443</xdr:colOff>
      <xdr:row>16</xdr:row>
      <xdr:rowOff>0</xdr:rowOff>
    </xdr:from>
    <xdr:to>
      <xdr:col>6</xdr:col>
      <xdr:colOff>390525</xdr:colOff>
      <xdr:row>19</xdr:row>
      <xdr:rowOff>153761</xdr:rowOff>
    </xdr:to>
    <xdr:sp macro="" textlink="">
      <xdr:nvSpPr>
        <xdr:cNvPr id="5" name="4 CuadroTexto">
          <a:extLst>
            <a:ext uri="{FF2B5EF4-FFF2-40B4-BE49-F238E27FC236}">
              <a16:creationId xmlns:a16="http://schemas.microsoft.com/office/drawing/2014/main" id="{FF34EAF6-E1B9-460F-B8C2-397A2157BF86}"/>
            </a:ext>
          </a:extLst>
        </xdr:cNvPr>
        <xdr:cNvSpPr txBox="1"/>
      </xdr:nvSpPr>
      <xdr:spPr>
        <a:xfrm>
          <a:off x="4872718" y="4991100"/>
          <a:ext cx="2747282" cy="991961"/>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900" b="0" i="0" u="none" strike="noStrike" kern="0" cap="none" spc="0" normalizeH="0" baseline="0" noProof="0">
              <a:ln>
                <a:noFill/>
              </a:ln>
              <a:solidFill>
                <a:sysClr val="window" lastClr="FFFFFF"/>
              </a:solidFill>
              <a:effectLst/>
              <a:uLnTx/>
              <a:uFillTx/>
              <a:latin typeface="Calibri" panose="020F0502020204030204"/>
              <a:ea typeface="+mn-ea"/>
              <a:cs typeface="+mn-cs"/>
            </a:rPr>
            <a:t>====================================================================   </a:t>
          </a: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900" b="1" i="0" u="sng" strike="noStrike" kern="0" cap="none" spc="0" normalizeH="0" baseline="0" noProof="0">
              <a:ln>
                <a:noFill/>
              </a:ln>
              <a:solidFill>
                <a:sysClr val="windowText" lastClr="000000"/>
              </a:solidFill>
              <a:effectLst/>
              <a:uLnTx/>
              <a:uFillTx/>
              <a:latin typeface="Calibri" panose="020F0502020204030204"/>
              <a:ea typeface="+mn-ea"/>
              <a:cs typeface="+mn-cs"/>
            </a:rPr>
            <a:t>C.P. REBECA I. LAGUNA FIGUEROA</a:t>
          </a: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900" b="1" i="0" u="none" strike="noStrike" kern="0" cap="none" spc="0" normalizeH="0" baseline="0" noProof="0">
              <a:ln>
                <a:noFill/>
              </a:ln>
              <a:solidFill>
                <a:sysClr val="windowText" lastClr="000000"/>
              </a:solidFill>
              <a:effectLst/>
              <a:uLnTx/>
              <a:uFillTx/>
              <a:latin typeface="Calibri" panose="020F0502020204030204"/>
              <a:ea typeface="+mn-ea"/>
              <a:cs typeface="+mn-cs"/>
            </a:rPr>
            <a:t>DIRECTORA GENERAL DE ADMINISTRACION Y FINANZAS </a:t>
          </a:r>
        </a:p>
      </xdr:txBody>
    </xdr:sp>
    <xdr:clientData/>
  </xdr:twoCellAnchor>
  <xdr:oneCellAnchor>
    <xdr:from>
      <xdr:col>0</xdr:col>
      <xdr:colOff>0</xdr:colOff>
      <xdr:row>16</xdr:row>
      <xdr:rowOff>128525</xdr:rowOff>
    </xdr:from>
    <xdr:ext cx="2823483" cy="877661"/>
    <xdr:sp macro="" textlink="">
      <xdr:nvSpPr>
        <xdr:cNvPr id="21" name="CuadroTexto 5">
          <a:extLst>
            <a:ext uri="{FF2B5EF4-FFF2-40B4-BE49-F238E27FC236}">
              <a16:creationId xmlns:a16="http://schemas.microsoft.com/office/drawing/2014/main" id="{AD760F26-3E03-4427-8D01-867F8406DEA8}"/>
            </a:ext>
          </a:extLst>
        </xdr:cNvPr>
        <xdr:cNvSpPr txBox="1"/>
      </xdr:nvSpPr>
      <xdr:spPr>
        <a:xfrm>
          <a:off x="0" y="5119625"/>
          <a:ext cx="2823483" cy="877661"/>
        </a:xfrm>
        <a:prstGeom prst="rect">
          <a:avLst/>
        </a:prstGeom>
        <a:noFill/>
        <a:ln>
          <a:noFill/>
        </a:ln>
        <a:effectLst/>
      </xdr:spPr>
      <xdr:txBody>
        <a:bodyPr vertOverflow="clip" horzOverflow="clip" wrap="non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a:ln>
              <a:noFill/>
            </a:ln>
            <a:solidFill>
              <a:prstClr val="black"/>
            </a:solidFill>
            <a:effectLst/>
            <a:uLnTx/>
            <a:uFillTx/>
            <a:latin typeface="Calibri" panose="020F0502020204030204"/>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1" i="0" u="sng" strike="noStrike" kern="0" cap="none" spc="0" normalizeH="0" baseline="0" noProof="0">
              <a:ln>
                <a:noFill/>
              </a:ln>
              <a:solidFill>
                <a:prstClr val="black"/>
              </a:solidFill>
              <a:effectLst/>
              <a:uLnTx/>
              <a:uFillTx/>
              <a:latin typeface="Calibri" panose="020F0502020204030204"/>
              <a:ea typeface="+mn-ea"/>
              <a:cs typeface="+mn-cs"/>
            </a:rPr>
            <a:t>LIC. ISMAEL NORZAGARAY MICHEL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prstClr val="black"/>
              </a:solidFill>
              <a:effectLst/>
              <a:uLnTx/>
              <a:uFillTx/>
              <a:latin typeface="Calibri" panose="020F0502020204030204"/>
              <a:ea typeface="+mn-ea"/>
              <a:cs typeface="+mn-cs"/>
            </a:rPr>
            <a:t>DIRECTOR ADMINISTRATIVO </a:t>
          </a:r>
          <a:endParaRPr kumimoji="0" lang="es-ES" sz="1000" b="0" i="0" u="none" strike="noStrike" kern="0" cap="none" spc="0" normalizeH="0" baseline="0" noProof="0">
            <a:ln>
              <a:noFill/>
            </a:ln>
            <a:solidFill>
              <a:prstClr val="black"/>
            </a:solidFill>
            <a:effectLst/>
            <a:uLnTx/>
            <a:uFillTx/>
            <a:latin typeface="Calibri" panose="020F0502020204030204"/>
            <a:ea typeface="+mn-ea"/>
            <a:cs typeface="+mn-cs"/>
          </a:endParaRPr>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1</xdr:col>
      <xdr:colOff>0</xdr:colOff>
      <xdr:row>0</xdr:row>
      <xdr:rowOff>0</xdr:rowOff>
    </xdr:from>
    <xdr:ext cx="184731" cy="264560"/>
    <xdr:sp macro="" textlink="">
      <xdr:nvSpPr>
        <xdr:cNvPr id="2" name="1 CuadroTexto">
          <a:extLst>
            <a:ext uri="{FF2B5EF4-FFF2-40B4-BE49-F238E27FC236}">
              <a16:creationId xmlns:a16="http://schemas.microsoft.com/office/drawing/2014/main" id="{00000000-0008-0000-1600-000002000000}"/>
            </a:ext>
          </a:extLst>
        </xdr:cNvPr>
        <xdr:cNvSpPr txBox="1"/>
      </xdr:nvSpPr>
      <xdr:spPr>
        <a:xfrm>
          <a:off x="3171825" y="9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0</xdr:row>
      <xdr:rowOff>0</xdr:rowOff>
    </xdr:from>
    <xdr:ext cx="184731" cy="264560"/>
    <xdr:sp macro="" textlink="">
      <xdr:nvSpPr>
        <xdr:cNvPr id="3" name="2 CuadroTexto">
          <a:extLst>
            <a:ext uri="{FF2B5EF4-FFF2-40B4-BE49-F238E27FC236}">
              <a16:creationId xmlns:a16="http://schemas.microsoft.com/office/drawing/2014/main" id="{00000000-0008-0000-1600-000003000000}"/>
            </a:ext>
          </a:extLst>
        </xdr:cNvPr>
        <xdr:cNvSpPr txBox="1"/>
      </xdr:nvSpPr>
      <xdr:spPr>
        <a:xfrm>
          <a:off x="3171825"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0</xdr:colOff>
      <xdr:row>3</xdr:row>
      <xdr:rowOff>142875</xdr:rowOff>
    </xdr:from>
    <xdr:ext cx="184731" cy="264560"/>
    <xdr:sp macro="" textlink="">
      <xdr:nvSpPr>
        <xdr:cNvPr id="4" name="5 CuadroTexto">
          <a:extLst>
            <a:ext uri="{FF2B5EF4-FFF2-40B4-BE49-F238E27FC236}">
              <a16:creationId xmlns:a16="http://schemas.microsoft.com/office/drawing/2014/main" id="{00000000-0008-0000-1600-000004000000}"/>
            </a:ext>
          </a:extLst>
        </xdr:cNvPr>
        <xdr:cNvSpPr txBox="1"/>
      </xdr:nvSpPr>
      <xdr:spPr>
        <a:xfrm>
          <a:off x="3171825"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0</xdr:row>
      <xdr:rowOff>0</xdr:rowOff>
    </xdr:from>
    <xdr:ext cx="184731" cy="264560"/>
    <xdr:sp macro="" textlink="">
      <xdr:nvSpPr>
        <xdr:cNvPr id="6" name="1 CuadroTexto">
          <a:extLst>
            <a:ext uri="{FF2B5EF4-FFF2-40B4-BE49-F238E27FC236}">
              <a16:creationId xmlns:a16="http://schemas.microsoft.com/office/drawing/2014/main" id="{00000000-0008-0000-1600-000006000000}"/>
            </a:ext>
          </a:extLst>
        </xdr:cNvPr>
        <xdr:cNvSpPr txBox="1"/>
      </xdr:nvSpPr>
      <xdr:spPr>
        <a:xfrm>
          <a:off x="3171825" y="9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0</xdr:row>
      <xdr:rowOff>0</xdr:rowOff>
    </xdr:from>
    <xdr:ext cx="184731" cy="264560"/>
    <xdr:sp macro="" textlink="">
      <xdr:nvSpPr>
        <xdr:cNvPr id="7" name="1 CuadroTexto">
          <a:extLst>
            <a:ext uri="{FF2B5EF4-FFF2-40B4-BE49-F238E27FC236}">
              <a16:creationId xmlns:a16="http://schemas.microsoft.com/office/drawing/2014/main" id="{00000000-0008-0000-1600-000007000000}"/>
            </a:ext>
          </a:extLst>
        </xdr:cNvPr>
        <xdr:cNvSpPr txBox="1"/>
      </xdr:nvSpPr>
      <xdr:spPr>
        <a:xfrm>
          <a:off x="3171825" y="9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0</xdr:row>
      <xdr:rowOff>0</xdr:rowOff>
    </xdr:from>
    <xdr:ext cx="184731" cy="264560"/>
    <xdr:sp macro="" textlink="">
      <xdr:nvSpPr>
        <xdr:cNvPr id="8" name="1 CuadroTexto">
          <a:extLst>
            <a:ext uri="{FF2B5EF4-FFF2-40B4-BE49-F238E27FC236}">
              <a16:creationId xmlns:a16="http://schemas.microsoft.com/office/drawing/2014/main" id="{00000000-0008-0000-1600-000008000000}"/>
            </a:ext>
          </a:extLst>
        </xdr:cNvPr>
        <xdr:cNvSpPr txBox="1"/>
      </xdr:nvSpPr>
      <xdr:spPr>
        <a:xfrm>
          <a:off x="3171825" y="9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6</xdr:col>
      <xdr:colOff>0</xdr:colOff>
      <xdr:row>0</xdr:row>
      <xdr:rowOff>0</xdr:rowOff>
    </xdr:from>
    <xdr:ext cx="184731" cy="264560"/>
    <xdr:sp macro="" textlink="">
      <xdr:nvSpPr>
        <xdr:cNvPr id="9" name="4 CuadroTexto">
          <a:extLst>
            <a:ext uri="{FF2B5EF4-FFF2-40B4-BE49-F238E27FC236}">
              <a16:creationId xmlns:a16="http://schemas.microsoft.com/office/drawing/2014/main" id="{00000000-0008-0000-1600-000009000000}"/>
            </a:ext>
          </a:extLst>
        </xdr:cNvPr>
        <xdr:cNvSpPr txBox="1"/>
      </xdr:nvSpPr>
      <xdr:spPr>
        <a:xfrm>
          <a:off x="7743825" y="9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0</xdr:row>
      <xdr:rowOff>0</xdr:rowOff>
    </xdr:from>
    <xdr:ext cx="184731" cy="264560"/>
    <xdr:sp macro="" textlink="">
      <xdr:nvSpPr>
        <xdr:cNvPr id="11" name="1 CuadroTexto">
          <a:extLst>
            <a:ext uri="{FF2B5EF4-FFF2-40B4-BE49-F238E27FC236}">
              <a16:creationId xmlns:a16="http://schemas.microsoft.com/office/drawing/2014/main" id="{00000000-0008-0000-1600-00000B000000}"/>
            </a:ext>
          </a:extLst>
        </xdr:cNvPr>
        <xdr:cNvSpPr txBox="1"/>
      </xdr:nvSpPr>
      <xdr:spPr>
        <a:xfrm>
          <a:off x="3171825"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0</xdr:row>
      <xdr:rowOff>0</xdr:rowOff>
    </xdr:from>
    <xdr:ext cx="184731" cy="264560"/>
    <xdr:sp macro="" textlink="">
      <xdr:nvSpPr>
        <xdr:cNvPr id="12" name="1 CuadroTexto">
          <a:extLst>
            <a:ext uri="{FF2B5EF4-FFF2-40B4-BE49-F238E27FC236}">
              <a16:creationId xmlns:a16="http://schemas.microsoft.com/office/drawing/2014/main" id="{00000000-0008-0000-1600-00000C000000}"/>
            </a:ext>
          </a:extLst>
        </xdr:cNvPr>
        <xdr:cNvSpPr txBox="1"/>
      </xdr:nvSpPr>
      <xdr:spPr>
        <a:xfrm>
          <a:off x="3171825"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0</xdr:row>
      <xdr:rowOff>0</xdr:rowOff>
    </xdr:from>
    <xdr:ext cx="184731" cy="264560"/>
    <xdr:sp macro="" textlink="">
      <xdr:nvSpPr>
        <xdr:cNvPr id="13" name="1 CuadroTexto">
          <a:extLst>
            <a:ext uri="{FF2B5EF4-FFF2-40B4-BE49-F238E27FC236}">
              <a16:creationId xmlns:a16="http://schemas.microsoft.com/office/drawing/2014/main" id="{00000000-0008-0000-1600-00000D000000}"/>
            </a:ext>
          </a:extLst>
        </xdr:cNvPr>
        <xdr:cNvSpPr txBox="1"/>
      </xdr:nvSpPr>
      <xdr:spPr>
        <a:xfrm>
          <a:off x="3171825"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0</xdr:row>
      <xdr:rowOff>0</xdr:rowOff>
    </xdr:from>
    <xdr:ext cx="184731" cy="264560"/>
    <xdr:sp macro="" textlink="">
      <xdr:nvSpPr>
        <xdr:cNvPr id="14" name="1 CuadroTexto">
          <a:extLst>
            <a:ext uri="{FF2B5EF4-FFF2-40B4-BE49-F238E27FC236}">
              <a16:creationId xmlns:a16="http://schemas.microsoft.com/office/drawing/2014/main" id="{00000000-0008-0000-1600-00000E000000}"/>
            </a:ext>
          </a:extLst>
        </xdr:cNvPr>
        <xdr:cNvSpPr txBox="1"/>
      </xdr:nvSpPr>
      <xdr:spPr>
        <a:xfrm>
          <a:off x="3171825"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6</xdr:col>
      <xdr:colOff>0</xdr:colOff>
      <xdr:row>0</xdr:row>
      <xdr:rowOff>0</xdr:rowOff>
    </xdr:from>
    <xdr:ext cx="184731" cy="264560"/>
    <xdr:sp macro="" textlink="">
      <xdr:nvSpPr>
        <xdr:cNvPr id="15" name="4 CuadroTexto">
          <a:extLst>
            <a:ext uri="{FF2B5EF4-FFF2-40B4-BE49-F238E27FC236}">
              <a16:creationId xmlns:a16="http://schemas.microsoft.com/office/drawing/2014/main" id="{00000000-0008-0000-1600-00000F000000}"/>
            </a:ext>
          </a:extLst>
        </xdr:cNvPr>
        <xdr:cNvSpPr txBox="1"/>
      </xdr:nvSpPr>
      <xdr:spPr>
        <a:xfrm>
          <a:off x="7743825"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0</xdr:colOff>
      <xdr:row>3</xdr:row>
      <xdr:rowOff>142875</xdr:rowOff>
    </xdr:from>
    <xdr:ext cx="184731" cy="264560"/>
    <xdr:sp macro="" textlink="">
      <xdr:nvSpPr>
        <xdr:cNvPr id="16" name="1 CuadroTexto">
          <a:extLst>
            <a:ext uri="{FF2B5EF4-FFF2-40B4-BE49-F238E27FC236}">
              <a16:creationId xmlns:a16="http://schemas.microsoft.com/office/drawing/2014/main" id="{00000000-0008-0000-1600-000010000000}"/>
            </a:ext>
          </a:extLst>
        </xdr:cNvPr>
        <xdr:cNvSpPr txBox="1"/>
      </xdr:nvSpPr>
      <xdr:spPr>
        <a:xfrm>
          <a:off x="3171825"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0</xdr:colOff>
      <xdr:row>3</xdr:row>
      <xdr:rowOff>142875</xdr:rowOff>
    </xdr:from>
    <xdr:ext cx="184731" cy="264560"/>
    <xdr:sp macro="" textlink="">
      <xdr:nvSpPr>
        <xdr:cNvPr id="17" name="1 CuadroTexto">
          <a:extLst>
            <a:ext uri="{FF2B5EF4-FFF2-40B4-BE49-F238E27FC236}">
              <a16:creationId xmlns:a16="http://schemas.microsoft.com/office/drawing/2014/main" id="{00000000-0008-0000-1600-000011000000}"/>
            </a:ext>
          </a:extLst>
        </xdr:cNvPr>
        <xdr:cNvSpPr txBox="1"/>
      </xdr:nvSpPr>
      <xdr:spPr>
        <a:xfrm>
          <a:off x="3171825"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0</xdr:colOff>
      <xdr:row>3</xdr:row>
      <xdr:rowOff>142875</xdr:rowOff>
    </xdr:from>
    <xdr:ext cx="184731" cy="264560"/>
    <xdr:sp macro="" textlink="">
      <xdr:nvSpPr>
        <xdr:cNvPr id="18" name="1 CuadroTexto">
          <a:extLst>
            <a:ext uri="{FF2B5EF4-FFF2-40B4-BE49-F238E27FC236}">
              <a16:creationId xmlns:a16="http://schemas.microsoft.com/office/drawing/2014/main" id="{00000000-0008-0000-1600-000012000000}"/>
            </a:ext>
          </a:extLst>
        </xdr:cNvPr>
        <xdr:cNvSpPr txBox="1"/>
      </xdr:nvSpPr>
      <xdr:spPr>
        <a:xfrm>
          <a:off x="3171825"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0</xdr:colOff>
      <xdr:row>3</xdr:row>
      <xdr:rowOff>142875</xdr:rowOff>
    </xdr:from>
    <xdr:ext cx="184731" cy="264560"/>
    <xdr:sp macro="" textlink="">
      <xdr:nvSpPr>
        <xdr:cNvPr id="19" name="1 CuadroTexto">
          <a:extLst>
            <a:ext uri="{FF2B5EF4-FFF2-40B4-BE49-F238E27FC236}">
              <a16:creationId xmlns:a16="http://schemas.microsoft.com/office/drawing/2014/main" id="{00000000-0008-0000-1600-000013000000}"/>
            </a:ext>
          </a:extLst>
        </xdr:cNvPr>
        <xdr:cNvSpPr txBox="1"/>
      </xdr:nvSpPr>
      <xdr:spPr>
        <a:xfrm>
          <a:off x="3171825"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5</xdr:col>
      <xdr:colOff>355738</xdr:colOff>
      <xdr:row>0</xdr:row>
      <xdr:rowOff>49695</xdr:rowOff>
    </xdr:from>
    <xdr:ext cx="1478446" cy="254557"/>
    <xdr:sp macro="" textlink="">
      <xdr:nvSpPr>
        <xdr:cNvPr id="21" name="11 CuadroTexto">
          <a:extLst>
            <a:ext uri="{FF2B5EF4-FFF2-40B4-BE49-F238E27FC236}">
              <a16:creationId xmlns:a16="http://schemas.microsoft.com/office/drawing/2014/main" id="{00000000-0008-0000-1600-000015000000}"/>
            </a:ext>
          </a:extLst>
        </xdr:cNvPr>
        <xdr:cNvSpPr txBox="1"/>
      </xdr:nvSpPr>
      <xdr:spPr>
        <a:xfrm>
          <a:off x="6670813" y="49695"/>
          <a:ext cx="1478446"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endParaRPr lang="es-MX" sz="1100" b="1">
            <a:latin typeface="Arial" pitchFamily="34" charset="0"/>
            <a:cs typeface="Arial" pitchFamily="34" charset="0"/>
          </a:endParaRPr>
        </a:p>
      </xdr:txBody>
    </xdr:sp>
    <xdr:clientData/>
  </xdr:oneCellAnchor>
  <xdr:oneCellAnchor>
    <xdr:from>
      <xdr:col>3</xdr:col>
      <xdr:colOff>133350</xdr:colOff>
      <xdr:row>3</xdr:row>
      <xdr:rowOff>66675</xdr:rowOff>
    </xdr:from>
    <xdr:ext cx="3524250" cy="342900"/>
    <xdr:sp macro="" textlink="">
      <xdr:nvSpPr>
        <xdr:cNvPr id="24" name="23 CuadroTexto">
          <a:extLst>
            <a:ext uri="{FF2B5EF4-FFF2-40B4-BE49-F238E27FC236}">
              <a16:creationId xmlns:a16="http://schemas.microsoft.com/office/drawing/2014/main" id="{00000000-0008-0000-1600-000018000000}"/>
            </a:ext>
          </a:extLst>
        </xdr:cNvPr>
        <xdr:cNvSpPr txBox="1"/>
      </xdr:nvSpPr>
      <xdr:spPr>
        <a:xfrm>
          <a:off x="4619625" y="695325"/>
          <a:ext cx="3524250" cy="342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lang="es-MX" sz="1100" b="1">
              <a:latin typeface="Arial" pitchFamily="34" charset="0"/>
              <a:cs typeface="Arial" pitchFamily="34" charset="0"/>
            </a:rPr>
            <a:t>CUENTA PÚBLICA 2023</a:t>
          </a:r>
        </a:p>
        <a:p>
          <a:pPr algn="r"/>
          <a:endParaRPr lang="es-MX" sz="1100" b="1">
            <a:latin typeface="Arial" pitchFamily="34" charset="0"/>
            <a:cs typeface="Arial" pitchFamily="34" charset="0"/>
          </a:endParaRPr>
        </a:p>
      </xdr:txBody>
    </xdr:sp>
    <xdr:clientData/>
  </xdr:oneCellAnchor>
  <xdr:twoCellAnchor>
    <xdr:from>
      <xdr:col>3</xdr:col>
      <xdr:colOff>386443</xdr:colOff>
      <xdr:row>24</xdr:row>
      <xdr:rowOff>0</xdr:rowOff>
    </xdr:from>
    <xdr:to>
      <xdr:col>6</xdr:col>
      <xdr:colOff>390525</xdr:colOff>
      <xdr:row>27</xdr:row>
      <xdr:rowOff>48986</xdr:rowOff>
    </xdr:to>
    <xdr:sp macro="" textlink="">
      <xdr:nvSpPr>
        <xdr:cNvPr id="5" name="4 CuadroTexto">
          <a:extLst>
            <a:ext uri="{FF2B5EF4-FFF2-40B4-BE49-F238E27FC236}">
              <a16:creationId xmlns:a16="http://schemas.microsoft.com/office/drawing/2014/main" id="{207AFB66-239F-4C1E-B270-BF91AE364C28}"/>
            </a:ext>
          </a:extLst>
        </xdr:cNvPr>
        <xdr:cNvSpPr txBox="1"/>
      </xdr:nvSpPr>
      <xdr:spPr>
        <a:xfrm>
          <a:off x="4872718" y="5429250"/>
          <a:ext cx="2747282" cy="991961"/>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900" b="0" i="0" u="none" strike="noStrike" kern="0" cap="none" spc="0" normalizeH="0" baseline="0" noProof="0">
              <a:ln>
                <a:noFill/>
              </a:ln>
              <a:solidFill>
                <a:sysClr val="window" lastClr="FFFFFF"/>
              </a:solidFill>
              <a:effectLst/>
              <a:uLnTx/>
              <a:uFillTx/>
              <a:latin typeface="Calibri" panose="020F0502020204030204"/>
              <a:ea typeface="+mn-ea"/>
              <a:cs typeface="+mn-cs"/>
            </a:rPr>
            <a:t>====================================================================   </a:t>
          </a: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900" b="1" i="0" u="sng" strike="noStrike" kern="0" cap="none" spc="0" normalizeH="0" baseline="0" noProof="0">
              <a:ln>
                <a:noFill/>
              </a:ln>
              <a:solidFill>
                <a:sysClr val="windowText" lastClr="000000"/>
              </a:solidFill>
              <a:effectLst/>
              <a:uLnTx/>
              <a:uFillTx/>
              <a:latin typeface="Calibri" panose="020F0502020204030204"/>
              <a:ea typeface="+mn-ea"/>
              <a:cs typeface="+mn-cs"/>
            </a:rPr>
            <a:t>C.P. REBECA I. LAGUNA FIGUEROA</a:t>
          </a: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900" b="1" i="0" u="none" strike="noStrike" kern="0" cap="none" spc="0" normalizeH="0" baseline="0" noProof="0">
              <a:ln>
                <a:noFill/>
              </a:ln>
              <a:solidFill>
                <a:sysClr val="windowText" lastClr="000000"/>
              </a:solidFill>
              <a:effectLst/>
              <a:uLnTx/>
              <a:uFillTx/>
              <a:latin typeface="Calibri" panose="020F0502020204030204"/>
              <a:ea typeface="+mn-ea"/>
              <a:cs typeface="+mn-cs"/>
            </a:rPr>
            <a:t>DIRECTORA GENERAL DE ADMINISTRACION Y FINANZAS </a:t>
          </a:r>
        </a:p>
      </xdr:txBody>
    </xdr:sp>
    <xdr:clientData/>
  </xdr:twoCellAnchor>
  <xdr:oneCellAnchor>
    <xdr:from>
      <xdr:col>0</xdr:col>
      <xdr:colOff>0</xdr:colOff>
      <xdr:row>24</xdr:row>
      <xdr:rowOff>128525</xdr:rowOff>
    </xdr:from>
    <xdr:ext cx="2823483" cy="877661"/>
    <xdr:sp macro="" textlink="">
      <xdr:nvSpPr>
        <xdr:cNvPr id="10" name="CuadroTexto 5">
          <a:extLst>
            <a:ext uri="{FF2B5EF4-FFF2-40B4-BE49-F238E27FC236}">
              <a16:creationId xmlns:a16="http://schemas.microsoft.com/office/drawing/2014/main" id="{508E4DDC-9277-47A9-BF58-A99CEBE09230}"/>
            </a:ext>
          </a:extLst>
        </xdr:cNvPr>
        <xdr:cNvSpPr txBox="1"/>
      </xdr:nvSpPr>
      <xdr:spPr>
        <a:xfrm>
          <a:off x="0" y="5557775"/>
          <a:ext cx="2823483" cy="877661"/>
        </a:xfrm>
        <a:prstGeom prst="rect">
          <a:avLst/>
        </a:prstGeom>
        <a:noFill/>
        <a:ln>
          <a:noFill/>
        </a:ln>
        <a:effectLst/>
      </xdr:spPr>
      <xdr:txBody>
        <a:bodyPr vertOverflow="clip" horzOverflow="clip" wrap="non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a:ln>
              <a:noFill/>
            </a:ln>
            <a:solidFill>
              <a:prstClr val="black"/>
            </a:solidFill>
            <a:effectLst/>
            <a:uLnTx/>
            <a:uFillTx/>
            <a:latin typeface="Calibri" panose="020F0502020204030204"/>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1" i="0" u="sng" strike="noStrike" kern="0" cap="none" spc="0" normalizeH="0" baseline="0" noProof="0">
              <a:ln>
                <a:noFill/>
              </a:ln>
              <a:solidFill>
                <a:prstClr val="black"/>
              </a:solidFill>
              <a:effectLst/>
              <a:uLnTx/>
              <a:uFillTx/>
              <a:latin typeface="Calibri" panose="020F0502020204030204"/>
              <a:ea typeface="+mn-ea"/>
              <a:cs typeface="+mn-cs"/>
            </a:rPr>
            <a:t>LIC. ISMAEL NORZAGARAY MICHEL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prstClr val="black"/>
              </a:solidFill>
              <a:effectLst/>
              <a:uLnTx/>
              <a:uFillTx/>
              <a:latin typeface="Calibri" panose="020F0502020204030204"/>
              <a:ea typeface="+mn-ea"/>
              <a:cs typeface="+mn-cs"/>
            </a:rPr>
            <a:t>DIRECTOR ADMINISTRATIVO </a:t>
          </a:r>
          <a:endParaRPr kumimoji="0" lang="es-ES" sz="1000" b="0" i="0" u="none" strike="noStrike" kern="0" cap="none" spc="0" normalizeH="0" baseline="0" noProof="0">
            <a:ln>
              <a:noFill/>
            </a:ln>
            <a:solidFill>
              <a:prstClr val="black"/>
            </a:solidFill>
            <a:effectLst/>
            <a:uLnTx/>
            <a:uFillTx/>
            <a:latin typeface="Calibri" panose="020F0502020204030204"/>
            <a:ea typeface="+mn-ea"/>
            <a:cs typeface="+mn-cs"/>
          </a:endParaRPr>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1</xdr:col>
      <xdr:colOff>733425</xdr:colOff>
      <xdr:row>3</xdr:row>
      <xdr:rowOff>142875</xdr:rowOff>
    </xdr:from>
    <xdr:ext cx="838200" cy="264560"/>
    <xdr:sp macro="" textlink="">
      <xdr:nvSpPr>
        <xdr:cNvPr id="12" name="5 CuadroTexto">
          <a:extLst>
            <a:ext uri="{FF2B5EF4-FFF2-40B4-BE49-F238E27FC236}">
              <a16:creationId xmlns:a16="http://schemas.microsoft.com/office/drawing/2014/main" id="{00000000-0008-0000-1700-00000C000000}"/>
            </a:ext>
          </a:extLst>
        </xdr:cNvPr>
        <xdr:cNvSpPr txBox="1"/>
      </xdr:nvSpPr>
      <xdr:spPr>
        <a:xfrm>
          <a:off x="3181350" y="971550"/>
          <a:ext cx="8382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endParaRPr lang="es-MX" sz="1100"/>
        </a:p>
      </xdr:txBody>
    </xdr:sp>
    <xdr:clientData/>
  </xdr:oneCellAnchor>
  <xdr:oneCellAnchor>
    <xdr:from>
      <xdr:col>1</xdr:col>
      <xdr:colOff>0</xdr:colOff>
      <xdr:row>3</xdr:row>
      <xdr:rowOff>142875</xdr:rowOff>
    </xdr:from>
    <xdr:ext cx="184731" cy="264560"/>
    <xdr:sp macro="" textlink="">
      <xdr:nvSpPr>
        <xdr:cNvPr id="13" name="1 CuadroTexto">
          <a:extLst>
            <a:ext uri="{FF2B5EF4-FFF2-40B4-BE49-F238E27FC236}">
              <a16:creationId xmlns:a16="http://schemas.microsoft.com/office/drawing/2014/main" id="{00000000-0008-0000-1700-00000D000000}"/>
            </a:ext>
          </a:extLst>
        </xdr:cNvPr>
        <xdr:cNvSpPr txBox="1"/>
      </xdr:nvSpPr>
      <xdr:spPr>
        <a:xfrm>
          <a:off x="2447925" y="97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3</xdr:row>
      <xdr:rowOff>142875</xdr:rowOff>
    </xdr:from>
    <xdr:ext cx="184731" cy="264560"/>
    <xdr:sp macro="" textlink="">
      <xdr:nvSpPr>
        <xdr:cNvPr id="14" name="1 CuadroTexto">
          <a:extLst>
            <a:ext uri="{FF2B5EF4-FFF2-40B4-BE49-F238E27FC236}">
              <a16:creationId xmlns:a16="http://schemas.microsoft.com/office/drawing/2014/main" id="{00000000-0008-0000-1700-00000E000000}"/>
            </a:ext>
          </a:extLst>
        </xdr:cNvPr>
        <xdr:cNvSpPr txBox="1"/>
      </xdr:nvSpPr>
      <xdr:spPr>
        <a:xfrm>
          <a:off x="2447925" y="97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3</xdr:row>
      <xdr:rowOff>142875</xdr:rowOff>
    </xdr:from>
    <xdr:ext cx="184731" cy="264560"/>
    <xdr:sp macro="" textlink="">
      <xdr:nvSpPr>
        <xdr:cNvPr id="15" name="1 CuadroTexto">
          <a:extLst>
            <a:ext uri="{FF2B5EF4-FFF2-40B4-BE49-F238E27FC236}">
              <a16:creationId xmlns:a16="http://schemas.microsoft.com/office/drawing/2014/main" id="{00000000-0008-0000-1700-00000F000000}"/>
            </a:ext>
          </a:extLst>
        </xdr:cNvPr>
        <xdr:cNvSpPr txBox="1"/>
      </xdr:nvSpPr>
      <xdr:spPr>
        <a:xfrm>
          <a:off x="2447925" y="97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3</xdr:row>
      <xdr:rowOff>142875</xdr:rowOff>
    </xdr:from>
    <xdr:ext cx="184731" cy="264560"/>
    <xdr:sp macro="" textlink="">
      <xdr:nvSpPr>
        <xdr:cNvPr id="16" name="1 CuadroTexto">
          <a:extLst>
            <a:ext uri="{FF2B5EF4-FFF2-40B4-BE49-F238E27FC236}">
              <a16:creationId xmlns:a16="http://schemas.microsoft.com/office/drawing/2014/main" id="{00000000-0008-0000-1700-000010000000}"/>
            </a:ext>
          </a:extLst>
        </xdr:cNvPr>
        <xdr:cNvSpPr txBox="1"/>
      </xdr:nvSpPr>
      <xdr:spPr>
        <a:xfrm>
          <a:off x="2447925" y="97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5</xdr:col>
      <xdr:colOff>0</xdr:colOff>
      <xdr:row>3</xdr:row>
      <xdr:rowOff>142875</xdr:rowOff>
    </xdr:from>
    <xdr:ext cx="184731" cy="264560"/>
    <xdr:sp macro="" textlink="">
      <xdr:nvSpPr>
        <xdr:cNvPr id="17" name="4 CuadroTexto">
          <a:extLst>
            <a:ext uri="{FF2B5EF4-FFF2-40B4-BE49-F238E27FC236}">
              <a16:creationId xmlns:a16="http://schemas.microsoft.com/office/drawing/2014/main" id="{00000000-0008-0000-1700-000011000000}"/>
            </a:ext>
          </a:extLst>
        </xdr:cNvPr>
        <xdr:cNvSpPr txBox="1"/>
      </xdr:nvSpPr>
      <xdr:spPr>
        <a:xfrm>
          <a:off x="5457825" y="97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5</xdr:col>
      <xdr:colOff>22363</xdr:colOff>
      <xdr:row>0</xdr:row>
      <xdr:rowOff>49695</xdr:rowOff>
    </xdr:from>
    <xdr:ext cx="1478446" cy="254557"/>
    <xdr:sp macro="" textlink="">
      <xdr:nvSpPr>
        <xdr:cNvPr id="18" name="11 CuadroTexto">
          <a:extLst>
            <a:ext uri="{FF2B5EF4-FFF2-40B4-BE49-F238E27FC236}">
              <a16:creationId xmlns:a16="http://schemas.microsoft.com/office/drawing/2014/main" id="{00000000-0008-0000-1700-000012000000}"/>
            </a:ext>
          </a:extLst>
        </xdr:cNvPr>
        <xdr:cNvSpPr txBox="1"/>
      </xdr:nvSpPr>
      <xdr:spPr>
        <a:xfrm>
          <a:off x="5480188" y="49695"/>
          <a:ext cx="1478446"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endParaRPr lang="es-MX" sz="1100" b="1">
            <a:latin typeface="Arial" pitchFamily="34" charset="0"/>
            <a:cs typeface="Arial" pitchFamily="34" charset="0"/>
          </a:endParaRPr>
        </a:p>
      </xdr:txBody>
    </xdr:sp>
    <xdr:clientData/>
  </xdr:oneCellAnchor>
  <xdr:oneCellAnchor>
    <xdr:from>
      <xdr:col>2</xdr:col>
      <xdr:colOff>306917</xdr:colOff>
      <xdr:row>3</xdr:row>
      <xdr:rowOff>52916</xdr:rowOff>
    </xdr:from>
    <xdr:ext cx="3524250" cy="342900"/>
    <xdr:sp macro="" textlink="">
      <xdr:nvSpPr>
        <xdr:cNvPr id="22" name="21 CuadroTexto">
          <a:extLst>
            <a:ext uri="{FF2B5EF4-FFF2-40B4-BE49-F238E27FC236}">
              <a16:creationId xmlns:a16="http://schemas.microsoft.com/office/drawing/2014/main" id="{00000000-0008-0000-1700-000016000000}"/>
            </a:ext>
          </a:extLst>
        </xdr:cNvPr>
        <xdr:cNvSpPr txBox="1"/>
      </xdr:nvSpPr>
      <xdr:spPr>
        <a:xfrm>
          <a:off x="3439584" y="687916"/>
          <a:ext cx="3524250" cy="342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lang="es-MX" sz="1100" b="1">
              <a:latin typeface="Arial" pitchFamily="34" charset="0"/>
              <a:cs typeface="Arial" pitchFamily="34" charset="0"/>
            </a:rPr>
            <a:t>CUENTA PÚBLICA</a:t>
          </a:r>
          <a:r>
            <a:rPr lang="es-MX" sz="1100" b="1" baseline="0">
              <a:latin typeface="Arial" pitchFamily="34" charset="0"/>
              <a:cs typeface="Arial" pitchFamily="34" charset="0"/>
            </a:rPr>
            <a:t> 2023</a:t>
          </a:r>
          <a:endParaRPr lang="es-MX" sz="1100" b="1">
            <a:latin typeface="Arial" pitchFamily="34" charset="0"/>
            <a:cs typeface="Arial" pitchFamily="34" charset="0"/>
          </a:endParaRPr>
        </a:p>
      </xdr:txBody>
    </xdr:sp>
    <xdr:clientData/>
  </xdr:oneCellAnchor>
  <xdr:twoCellAnchor>
    <xdr:from>
      <xdr:col>2</xdr:col>
      <xdr:colOff>427718</xdr:colOff>
      <xdr:row>43</xdr:row>
      <xdr:rowOff>63500</xdr:rowOff>
    </xdr:from>
    <xdr:to>
      <xdr:col>6</xdr:col>
      <xdr:colOff>127000</xdr:colOff>
      <xdr:row>48</xdr:row>
      <xdr:rowOff>155878</xdr:rowOff>
    </xdr:to>
    <xdr:sp macro="" textlink="">
      <xdr:nvSpPr>
        <xdr:cNvPr id="2" name="4 CuadroTexto">
          <a:extLst>
            <a:ext uri="{FF2B5EF4-FFF2-40B4-BE49-F238E27FC236}">
              <a16:creationId xmlns:a16="http://schemas.microsoft.com/office/drawing/2014/main" id="{C5E1F3ED-5711-4237-85E7-5FF44D1E757D}"/>
            </a:ext>
          </a:extLst>
        </xdr:cNvPr>
        <xdr:cNvSpPr txBox="1"/>
      </xdr:nvSpPr>
      <xdr:spPr>
        <a:xfrm>
          <a:off x="4110718" y="8826500"/>
          <a:ext cx="2747282" cy="991961"/>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900" b="0" i="0" u="none" strike="noStrike" kern="0" cap="none" spc="0" normalizeH="0" baseline="0" noProof="0">
              <a:ln>
                <a:noFill/>
              </a:ln>
              <a:solidFill>
                <a:sysClr val="window" lastClr="FFFFFF"/>
              </a:solidFill>
              <a:effectLst/>
              <a:uLnTx/>
              <a:uFillTx/>
              <a:latin typeface="Calibri" panose="020F0502020204030204"/>
              <a:ea typeface="+mn-ea"/>
              <a:cs typeface="+mn-cs"/>
            </a:rPr>
            <a:t>====================================================================   </a:t>
          </a: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900" b="1" i="0" u="sng" strike="noStrike" kern="0" cap="none" spc="0" normalizeH="0" baseline="0" noProof="0">
              <a:ln>
                <a:noFill/>
              </a:ln>
              <a:solidFill>
                <a:sysClr val="windowText" lastClr="000000"/>
              </a:solidFill>
              <a:effectLst/>
              <a:uLnTx/>
              <a:uFillTx/>
              <a:latin typeface="Calibri" panose="020F0502020204030204"/>
              <a:ea typeface="+mn-ea"/>
              <a:cs typeface="+mn-cs"/>
            </a:rPr>
            <a:t>C.P. REBECA I. LAGUNA FIGUEROA</a:t>
          </a: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900" b="1" i="0" u="none" strike="noStrike" kern="0" cap="none" spc="0" normalizeH="0" baseline="0" noProof="0">
              <a:ln>
                <a:noFill/>
              </a:ln>
              <a:solidFill>
                <a:sysClr val="windowText" lastClr="000000"/>
              </a:solidFill>
              <a:effectLst/>
              <a:uLnTx/>
              <a:uFillTx/>
              <a:latin typeface="Calibri" panose="020F0502020204030204"/>
              <a:ea typeface="+mn-ea"/>
              <a:cs typeface="+mn-cs"/>
            </a:rPr>
            <a:t>DIRECTORA GENERAL DE ADMINISTRACION Y FINANZAS </a:t>
          </a:r>
        </a:p>
      </xdr:txBody>
    </xdr:sp>
    <xdr:clientData/>
  </xdr:twoCellAnchor>
  <xdr:oneCellAnchor>
    <xdr:from>
      <xdr:col>0</xdr:col>
      <xdr:colOff>21167</xdr:colOff>
      <xdr:row>44</xdr:row>
      <xdr:rowOff>43859</xdr:rowOff>
    </xdr:from>
    <xdr:ext cx="2823483" cy="877661"/>
    <xdr:sp macro="" textlink="">
      <xdr:nvSpPr>
        <xdr:cNvPr id="3" name="CuadroTexto 5">
          <a:extLst>
            <a:ext uri="{FF2B5EF4-FFF2-40B4-BE49-F238E27FC236}">
              <a16:creationId xmlns:a16="http://schemas.microsoft.com/office/drawing/2014/main" id="{F63CD6CF-5DC0-4BDD-80A4-AD0814BE83A0}"/>
            </a:ext>
          </a:extLst>
        </xdr:cNvPr>
        <xdr:cNvSpPr txBox="1"/>
      </xdr:nvSpPr>
      <xdr:spPr>
        <a:xfrm>
          <a:off x="21167" y="9007942"/>
          <a:ext cx="2823483" cy="877661"/>
        </a:xfrm>
        <a:prstGeom prst="rect">
          <a:avLst/>
        </a:prstGeom>
        <a:noFill/>
        <a:ln>
          <a:noFill/>
        </a:ln>
        <a:effectLst/>
      </xdr:spPr>
      <xdr:txBody>
        <a:bodyPr vertOverflow="clip" horzOverflow="clip" wrap="non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a:ln>
              <a:noFill/>
            </a:ln>
            <a:solidFill>
              <a:prstClr val="black"/>
            </a:solidFill>
            <a:effectLst/>
            <a:uLnTx/>
            <a:uFillTx/>
            <a:latin typeface="Calibri" panose="020F0502020204030204"/>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1" i="0" u="sng" strike="noStrike" kern="0" cap="none" spc="0" normalizeH="0" baseline="0" noProof="0">
              <a:ln>
                <a:noFill/>
              </a:ln>
              <a:solidFill>
                <a:prstClr val="black"/>
              </a:solidFill>
              <a:effectLst/>
              <a:uLnTx/>
              <a:uFillTx/>
              <a:latin typeface="Calibri" panose="020F0502020204030204"/>
              <a:ea typeface="+mn-ea"/>
              <a:cs typeface="+mn-cs"/>
            </a:rPr>
            <a:t>LIC. ISMAEL NORZAGARAY MICHEL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prstClr val="black"/>
              </a:solidFill>
              <a:effectLst/>
              <a:uLnTx/>
              <a:uFillTx/>
              <a:latin typeface="Calibri" panose="020F0502020204030204"/>
              <a:ea typeface="+mn-ea"/>
              <a:cs typeface="+mn-cs"/>
            </a:rPr>
            <a:t>DIRECTOR ADMINISTRATIVO </a:t>
          </a:r>
          <a:endParaRPr kumimoji="0" lang="es-ES" sz="1000" b="0" i="0" u="none" strike="noStrike" kern="0" cap="none" spc="0" normalizeH="0" baseline="0" noProof="0">
            <a:ln>
              <a:noFill/>
            </a:ln>
            <a:solidFill>
              <a:prstClr val="black"/>
            </a:solidFill>
            <a:effectLst/>
            <a:uLnTx/>
            <a:uFillTx/>
            <a:latin typeface="Calibri" panose="020F0502020204030204"/>
            <a:ea typeface="+mn-ea"/>
            <a:cs typeface="+mn-cs"/>
          </a:endParaRPr>
        </a:p>
      </xdr:txBody>
    </xdr:sp>
    <xdr:clientData/>
  </xdr:oneCellAnchor>
</xdr:wsDr>
</file>

<file path=xl/drawings/drawing24.xml><?xml version="1.0" encoding="utf-8"?>
<xdr:wsDr xmlns:xdr="http://schemas.openxmlformats.org/drawingml/2006/spreadsheetDrawing" xmlns:a="http://schemas.openxmlformats.org/drawingml/2006/main">
  <xdr:oneCellAnchor>
    <xdr:from>
      <xdr:col>2</xdr:col>
      <xdr:colOff>0</xdr:colOff>
      <xdr:row>3</xdr:row>
      <xdr:rowOff>142875</xdr:rowOff>
    </xdr:from>
    <xdr:ext cx="184731" cy="264560"/>
    <xdr:sp macro="" textlink="">
      <xdr:nvSpPr>
        <xdr:cNvPr id="2" name="1 CuadroTexto">
          <a:extLst>
            <a:ext uri="{FF2B5EF4-FFF2-40B4-BE49-F238E27FC236}">
              <a16:creationId xmlns:a16="http://schemas.microsoft.com/office/drawing/2014/main" id="{00000000-0008-0000-1900-000002000000}"/>
            </a:ext>
          </a:extLst>
        </xdr:cNvPr>
        <xdr:cNvSpPr txBox="1"/>
      </xdr:nvSpPr>
      <xdr:spPr>
        <a:xfrm>
          <a:off x="334327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7</xdr:col>
      <xdr:colOff>229621</xdr:colOff>
      <xdr:row>0</xdr:row>
      <xdr:rowOff>42522</xdr:rowOff>
    </xdr:from>
    <xdr:ext cx="1226791" cy="255134"/>
    <xdr:sp macro="" textlink="">
      <xdr:nvSpPr>
        <xdr:cNvPr id="3" name="2 CuadroTexto">
          <a:extLst>
            <a:ext uri="{FF2B5EF4-FFF2-40B4-BE49-F238E27FC236}">
              <a16:creationId xmlns:a16="http://schemas.microsoft.com/office/drawing/2014/main" id="{00000000-0008-0000-1900-000003000000}"/>
            </a:ext>
          </a:extLst>
        </xdr:cNvPr>
        <xdr:cNvSpPr txBox="1"/>
      </xdr:nvSpPr>
      <xdr:spPr>
        <a:xfrm>
          <a:off x="7811521" y="42522"/>
          <a:ext cx="1226791" cy="25513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endParaRPr lang="es-MX" sz="1100" b="1">
            <a:latin typeface="Arial" pitchFamily="34" charset="0"/>
            <a:cs typeface="Arial" pitchFamily="34" charset="0"/>
          </a:endParaRPr>
        </a:p>
      </xdr:txBody>
    </xdr:sp>
    <xdr:clientData/>
  </xdr:oneCellAnchor>
  <xdr:oneCellAnchor>
    <xdr:from>
      <xdr:col>2</xdr:col>
      <xdr:colOff>0</xdr:colOff>
      <xdr:row>3</xdr:row>
      <xdr:rowOff>142875</xdr:rowOff>
    </xdr:from>
    <xdr:ext cx="184731" cy="264560"/>
    <xdr:sp macro="" textlink="">
      <xdr:nvSpPr>
        <xdr:cNvPr id="4" name="1 CuadroTexto">
          <a:extLst>
            <a:ext uri="{FF2B5EF4-FFF2-40B4-BE49-F238E27FC236}">
              <a16:creationId xmlns:a16="http://schemas.microsoft.com/office/drawing/2014/main" id="{00000000-0008-0000-1900-000004000000}"/>
            </a:ext>
          </a:extLst>
        </xdr:cNvPr>
        <xdr:cNvSpPr txBox="1"/>
      </xdr:nvSpPr>
      <xdr:spPr>
        <a:xfrm>
          <a:off x="334327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6</xdr:col>
      <xdr:colOff>0</xdr:colOff>
      <xdr:row>3</xdr:row>
      <xdr:rowOff>142875</xdr:rowOff>
    </xdr:from>
    <xdr:ext cx="184731" cy="264560"/>
    <xdr:sp macro="" textlink="">
      <xdr:nvSpPr>
        <xdr:cNvPr id="5" name="4 CuadroTexto">
          <a:extLst>
            <a:ext uri="{FF2B5EF4-FFF2-40B4-BE49-F238E27FC236}">
              <a16:creationId xmlns:a16="http://schemas.microsoft.com/office/drawing/2014/main" id="{00000000-0008-0000-1900-000005000000}"/>
            </a:ext>
          </a:extLst>
        </xdr:cNvPr>
        <xdr:cNvSpPr txBox="1"/>
      </xdr:nvSpPr>
      <xdr:spPr>
        <a:xfrm>
          <a:off x="673417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4</xdr:col>
      <xdr:colOff>381000</xdr:colOff>
      <xdr:row>3</xdr:row>
      <xdr:rowOff>38100</xdr:rowOff>
    </xdr:from>
    <xdr:ext cx="3524250" cy="342900"/>
    <xdr:sp macro="" textlink="">
      <xdr:nvSpPr>
        <xdr:cNvPr id="11" name="10 CuadroTexto">
          <a:extLst>
            <a:ext uri="{FF2B5EF4-FFF2-40B4-BE49-F238E27FC236}">
              <a16:creationId xmlns:a16="http://schemas.microsoft.com/office/drawing/2014/main" id="{00000000-0008-0000-1900-00000B000000}"/>
            </a:ext>
          </a:extLst>
        </xdr:cNvPr>
        <xdr:cNvSpPr txBox="1"/>
      </xdr:nvSpPr>
      <xdr:spPr>
        <a:xfrm>
          <a:off x="5419725" y="647700"/>
          <a:ext cx="3524250" cy="342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lang="es-MX" sz="1100" b="1">
              <a:latin typeface="Arial" pitchFamily="34" charset="0"/>
              <a:cs typeface="Arial" pitchFamily="34" charset="0"/>
            </a:rPr>
            <a:t>CUENTA PÚBLICA 2023</a:t>
          </a:r>
        </a:p>
      </xdr:txBody>
    </xdr:sp>
    <xdr:clientData/>
  </xdr:oneCellAnchor>
  <xdr:twoCellAnchor>
    <xdr:from>
      <xdr:col>4</xdr:col>
      <xdr:colOff>453118</xdr:colOff>
      <xdr:row>428</xdr:row>
      <xdr:rowOff>0</xdr:rowOff>
    </xdr:from>
    <xdr:to>
      <xdr:col>7</xdr:col>
      <xdr:colOff>200025</xdr:colOff>
      <xdr:row>432</xdr:row>
      <xdr:rowOff>153761</xdr:rowOff>
    </xdr:to>
    <xdr:sp macro="" textlink="">
      <xdr:nvSpPr>
        <xdr:cNvPr id="6" name="4 CuadroTexto">
          <a:extLst>
            <a:ext uri="{FF2B5EF4-FFF2-40B4-BE49-F238E27FC236}">
              <a16:creationId xmlns:a16="http://schemas.microsoft.com/office/drawing/2014/main" id="{6D59D233-9A8F-47E3-90A4-6F116D3F699A}"/>
            </a:ext>
          </a:extLst>
        </xdr:cNvPr>
        <xdr:cNvSpPr txBox="1"/>
      </xdr:nvSpPr>
      <xdr:spPr>
        <a:xfrm>
          <a:off x="5568043" y="78038325"/>
          <a:ext cx="2747282" cy="991961"/>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900" b="0" i="0" u="none" strike="noStrike" kern="0" cap="none" spc="0" normalizeH="0" baseline="0" noProof="0">
              <a:ln>
                <a:noFill/>
              </a:ln>
              <a:solidFill>
                <a:sysClr val="window" lastClr="FFFFFF"/>
              </a:solidFill>
              <a:effectLst/>
              <a:uLnTx/>
              <a:uFillTx/>
              <a:latin typeface="Calibri" panose="020F0502020204030204"/>
              <a:ea typeface="+mn-ea"/>
              <a:cs typeface="+mn-cs"/>
            </a:rPr>
            <a:t>====================================================================   </a:t>
          </a: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900" b="1" i="0" u="sng" strike="noStrike" kern="0" cap="none" spc="0" normalizeH="0" baseline="0" noProof="0">
              <a:ln>
                <a:noFill/>
              </a:ln>
              <a:solidFill>
                <a:sysClr val="windowText" lastClr="000000"/>
              </a:solidFill>
              <a:effectLst/>
              <a:uLnTx/>
              <a:uFillTx/>
              <a:latin typeface="Calibri" panose="020F0502020204030204"/>
              <a:ea typeface="+mn-ea"/>
              <a:cs typeface="+mn-cs"/>
            </a:rPr>
            <a:t>C.P. REBECA I. LAGUNA FIGUEROA</a:t>
          </a: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900" b="1" i="0" u="none" strike="noStrike" kern="0" cap="none" spc="0" normalizeH="0" baseline="0" noProof="0">
              <a:ln>
                <a:noFill/>
              </a:ln>
              <a:solidFill>
                <a:sysClr val="windowText" lastClr="000000"/>
              </a:solidFill>
              <a:effectLst/>
              <a:uLnTx/>
              <a:uFillTx/>
              <a:latin typeface="Calibri" panose="020F0502020204030204"/>
              <a:ea typeface="+mn-ea"/>
              <a:cs typeface="+mn-cs"/>
            </a:rPr>
            <a:t>DIRECTORA GENERAL DE ADMINISTRACION Y FINANZAS </a:t>
          </a:r>
        </a:p>
      </xdr:txBody>
    </xdr:sp>
    <xdr:clientData/>
  </xdr:twoCellAnchor>
  <xdr:oneCellAnchor>
    <xdr:from>
      <xdr:col>1</xdr:col>
      <xdr:colOff>0</xdr:colOff>
      <xdr:row>428</xdr:row>
      <xdr:rowOff>128525</xdr:rowOff>
    </xdr:from>
    <xdr:ext cx="2823483" cy="877661"/>
    <xdr:sp macro="" textlink="">
      <xdr:nvSpPr>
        <xdr:cNvPr id="8" name="CuadroTexto 5">
          <a:extLst>
            <a:ext uri="{FF2B5EF4-FFF2-40B4-BE49-F238E27FC236}">
              <a16:creationId xmlns:a16="http://schemas.microsoft.com/office/drawing/2014/main" id="{8DF23E0F-5C15-41F8-98B3-903F5B50324E}"/>
            </a:ext>
          </a:extLst>
        </xdr:cNvPr>
        <xdr:cNvSpPr txBox="1"/>
      </xdr:nvSpPr>
      <xdr:spPr>
        <a:xfrm>
          <a:off x="695325" y="78166850"/>
          <a:ext cx="2823483" cy="877661"/>
        </a:xfrm>
        <a:prstGeom prst="rect">
          <a:avLst/>
        </a:prstGeom>
        <a:noFill/>
        <a:ln>
          <a:noFill/>
        </a:ln>
        <a:effectLst/>
      </xdr:spPr>
      <xdr:txBody>
        <a:bodyPr vertOverflow="clip" horzOverflow="clip" wrap="non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a:ln>
              <a:noFill/>
            </a:ln>
            <a:solidFill>
              <a:prstClr val="black"/>
            </a:solidFill>
            <a:effectLst/>
            <a:uLnTx/>
            <a:uFillTx/>
            <a:latin typeface="Calibri" panose="020F0502020204030204"/>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1" i="0" u="sng" strike="noStrike" kern="0" cap="none" spc="0" normalizeH="0" baseline="0" noProof="0">
              <a:ln>
                <a:noFill/>
              </a:ln>
              <a:solidFill>
                <a:prstClr val="black"/>
              </a:solidFill>
              <a:effectLst/>
              <a:uLnTx/>
              <a:uFillTx/>
              <a:latin typeface="Calibri" panose="020F0502020204030204"/>
              <a:ea typeface="+mn-ea"/>
              <a:cs typeface="+mn-cs"/>
            </a:rPr>
            <a:t>LIC. ISMAEL NORZAGARAY MICHEL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prstClr val="black"/>
              </a:solidFill>
              <a:effectLst/>
              <a:uLnTx/>
              <a:uFillTx/>
              <a:latin typeface="Calibri" panose="020F0502020204030204"/>
              <a:ea typeface="+mn-ea"/>
              <a:cs typeface="+mn-cs"/>
            </a:rPr>
            <a:t>DIRECTOR ADMINISTRATIVO </a:t>
          </a:r>
          <a:endParaRPr kumimoji="0" lang="es-ES" sz="1000" b="0" i="0" u="none" strike="noStrike" kern="0" cap="none" spc="0" normalizeH="0" baseline="0" noProof="0">
            <a:ln>
              <a:noFill/>
            </a:ln>
            <a:solidFill>
              <a:prstClr val="black"/>
            </a:solidFill>
            <a:effectLst/>
            <a:uLnTx/>
            <a:uFillTx/>
            <a:latin typeface="Calibri" panose="020F0502020204030204"/>
            <a:ea typeface="+mn-ea"/>
            <a:cs typeface="+mn-cs"/>
          </a:endParaRPr>
        </a:p>
      </xdr:txBody>
    </xdr:sp>
    <xdr:clientData/>
  </xdr:oneCellAnchor>
</xdr:wsDr>
</file>

<file path=xl/drawings/drawing25.xml><?xml version="1.0" encoding="utf-8"?>
<xdr:wsDr xmlns:xdr="http://schemas.openxmlformats.org/drawingml/2006/spreadsheetDrawing" xmlns:a="http://schemas.openxmlformats.org/drawingml/2006/main">
  <xdr:oneCellAnchor>
    <xdr:from>
      <xdr:col>6</xdr:col>
      <xdr:colOff>561975</xdr:colOff>
      <xdr:row>1</xdr:row>
      <xdr:rowOff>0</xdr:rowOff>
    </xdr:from>
    <xdr:ext cx="923924" cy="306917"/>
    <xdr:sp macro="" textlink="">
      <xdr:nvSpPr>
        <xdr:cNvPr id="2" name="1 CuadroTexto">
          <a:extLst>
            <a:ext uri="{FF2B5EF4-FFF2-40B4-BE49-F238E27FC236}">
              <a16:creationId xmlns:a16="http://schemas.microsoft.com/office/drawing/2014/main" id="{00000000-0008-0000-1800-000002000000}"/>
            </a:ext>
          </a:extLst>
        </xdr:cNvPr>
        <xdr:cNvSpPr txBox="1"/>
      </xdr:nvSpPr>
      <xdr:spPr>
        <a:xfrm>
          <a:off x="7949142" y="296332"/>
          <a:ext cx="923924" cy="30691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noAutofit/>
        </a:bodyPr>
        <a:lstStyle/>
        <a:p>
          <a:pPr algn="r"/>
          <a:endParaRPr lang="es-MX" sz="1100" b="1">
            <a:latin typeface="Arial" pitchFamily="34" charset="0"/>
            <a:cs typeface="Arial" pitchFamily="34" charset="0"/>
          </a:endParaRPr>
        </a:p>
      </xdr:txBody>
    </xdr:sp>
    <xdr:clientData/>
  </xdr:oneCellAnchor>
  <xdr:oneCellAnchor>
    <xdr:from>
      <xdr:col>3</xdr:col>
      <xdr:colOff>285750</xdr:colOff>
      <xdr:row>2</xdr:row>
      <xdr:rowOff>84666</xdr:rowOff>
    </xdr:from>
    <xdr:ext cx="3524250" cy="342900"/>
    <xdr:sp macro="" textlink="">
      <xdr:nvSpPr>
        <xdr:cNvPr id="6" name="5 CuadroTexto">
          <a:extLst>
            <a:ext uri="{FF2B5EF4-FFF2-40B4-BE49-F238E27FC236}">
              <a16:creationId xmlns:a16="http://schemas.microsoft.com/office/drawing/2014/main" id="{00000000-0008-0000-1800-000006000000}"/>
            </a:ext>
          </a:extLst>
        </xdr:cNvPr>
        <xdr:cNvSpPr txBox="1"/>
      </xdr:nvSpPr>
      <xdr:spPr>
        <a:xfrm>
          <a:off x="5386917" y="476249"/>
          <a:ext cx="3524250" cy="342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lang="es-MX" sz="1100" b="1">
              <a:latin typeface="Arial" pitchFamily="34" charset="0"/>
              <a:cs typeface="Arial" pitchFamily="34" charset="0"/>
            </a:rPr>
            <a:t>CUENTA PÚBLICA 2023</a:t>
          </a:r>
        </a:p>
      </xdr:txBody>
    </xdr:sp>
    <xdr:clientData/>
  </xdr:oneCellAnchor>
  <xdr:twoCellAnchor>
    <xdr:from>
      <xdr:col>4</xdr:col>
      <xdr:colOff>173718</xdr:colOff>
      <xdr:row>80</xdr:row>
      <xdr:rowOff>137583</xdr:rowOff>
    </xdr:from>
    <xdr:to>
      <xdr:col>6</xdr:col>
      <xdr:colOff>751417</xdr:colOff>
      <xdr:row>85</xdr:row>
      <xdr:rowOff>166460</xdr:rowOff>
    </xdr:to>
    <xdr:sp macro="" textlink="">
      <xdr:nvSpPr>
        <xdr:cNvPr id="3" name="4 CuadroTexto">
          <a:extLst>
            <a:ext uri="{FF2B5EF4-FFF2-40B4-BE49-F238E27FC236}">
              <a16:creationId xmlns:a16="http://schemas.microsoft.com/office/drawing/2014/main" id="{7421E0CD-1A95-4086-B9EC-5EB2E2F399A1}"/>
            </a:ext>
          </a:extLst>
        </xdr:cNvPr>
        <xdr:cNvSpPr txBox="1"/>
      </xdr:nvSpPr>
      <xdr:spPr>
        <a:xfrm>
          <a:off x="5423051" y="15610416"/>
          <a:ext cx="2630866" cy="991961"/>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900" b="0" i="0" u="none" strike="noStrike" kern="0" cap="none" spc="0" normalizeH="0" baseline="0" noProof="0">
              <a:ln>
                <a:noFill/>
              </a:ln>
              <a:solidFill>
                <a:sysClr val="window" lastClr="FFFFFF"/>
              </a:solidFill>
              <a:effectLst/>
              <a:uLnTx/>
              <a:uFillTx/>
              <a:latin typeface="Calibri" panose="020F0502020204030204"/>
              <a:ea typeface="+mn-ea"/>
              <a:cs typeface="+mn-cs"/>
            </a:rPr>
            <a:t>====================================================================   </a:t>
          </a: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900" b="1" i="0" u="sng" strike="noStrike" kern="0" cap="none" spc="0" normalizeH="0" baseline="0" noProof="0">
              <a:ln>
                <a:noFill/>
              </a:ln>
              <a:solidFill>
                <a:sysClr val="windowText" lastClr="000000"/>
              </a:solidFill>
              <a:effectLst/>
              <a:uLnTx/>
              <a:uFillTx/>
              <a:latin typeface="Calibri" panose="020F0502020204030204"/>
              <a:ea typeface="+mn-ea"/>
              <a:cs typeface="+mn-cs"/>
            </a:rPr>
            <a:t>C.P. REBECA I. LAGUNA FIGUEROA</a:t>
          </a: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900" b="1" i="0" u="none" strike="noStrike" kern="0" cap="none" spc="0" normalizeH="0" baseline="0" noProof="0">
              <a:ln>
                <a:noFill/>
              </a:ln>
              <a:solidFill>
                <a:sysClr val="windowText" lastClr="000000"/>
              </a:solidFill>
              <a:effectLst/>
              <a:uLnTx/>
              <a:uFillTx/>
              <a:latin typeface="Calibri" panose="020F0502020204030204"/>
              <a:ea typeface="+mn-ea"/>
              <a:cs typeface="+mn-cs"/>
            </a:rPr>
            <a:t>DIRECTORA GENERAL DE ADMINISTRACION Y FINANZAS </a:t>
          </a:r>
        </a:p>
      </xdr:txBody>
    </xdr:sp>
    <xdr:clientData/>
  </xdr:twoCellAnchor>
  <xdr:oneCellAnchor>
    <xdr:from>
      <xdr:col>1</xdr:col>
      <xdr:colOff>0</xdr:colOff>
      <xdr:row>81</xdr:row>
      <xdr:rowOff>65025</xdr:rowOff>
    </xdr:from>
    <xdr:ext cx="2823483" cy="877661"/>
    <xdr:sp macro="" textlink="">
      <xdr:nvSpPr>
        <xdr:cNvPr id="7" name="CuadroTexto 5">
          <a:extLst>
            <a:ext uri="{FF2B5EF4-FFF2-40B4-BE49-F238E27FC236}">
              <a16:creationId xmlns:a16="http://schemas.microsoft.com/office/drawing/2014/main" id="{8376908F-58BE-4EF5-8757-91DB6F351BE3}"/>
            </a:ext>
          </a:extLst>
        </xdr:cNvPr>
        <xdr:cNvSpPr txBox="1"/>
      </xdr:nvSpPr>
      <xdr:spPr>
        <a:xfrm>
          <a:off x="296333" y="15728358"/>
          <a:ext cx="2823483" cy="877661"/>
        </a:xfrm>
        <a:prstGeom prst="rect">
          <a:avLst/>
        </a:prstGeom>
        <a:noFill/>
        <a:ln>
          <a:noFill/>
        </a:ln>
        <a:effectLst/>
      </xdr:spPr>
      <xdr:txBody>
        <a:bodyPr vertOverflow="clip" horzOverflow="clip" wrap="non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a:ln>
              <a:noFill/>
            </a:ln>
            <a:solidFill>
              <a:prstClr val="black"/>
            </a:solidFill>
            <a:effectLst/>
            <a:uLnTx/>
            <a:uFillTx/>
            <a:latin typeface="Calibri" panose="020F0502020204030204"/>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1" i="0" u="sng" strike="noStrike" kern="0" cap="none" spc="0" normalizeH="0" baseline="0" noProof="0">
              <a:ln>
                <a:noFill/>
              </a:ln>
              <a:solidFill>
                <a:prstClr val="black"/>
              </a:solidFill>
              <a:effectLst/>
              <a:uLnTx/>
              <a:uFillTx/>
              <a:latin typeface="Calibri" panose="020F0502020204030204"/>
              <a:ea typeface="+mn-ea"/>
              <a:cs typeface="+mn-cs"/>
            </a:rPr>
            <a:t>LIC. ISMAEL NORZAGARAY MICHEL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prstClr val="black"/>
              </a:solidFill>
              <a:effectLst/>
              <a:uLnTx/>
              <a:uFillTx/>
              <a:latin typeface="Calibri" panose="020F0502020204030204"/>
              <a:ea typeface="+mn-ea"/>
              <a:cs typeface="+mn-cs"/>
            </a:rPr>
            <a:t>DIRECTOR ADMINISTRATIVO </a:t>
          </a:r>
          <a:endParaRPr kumimoji="0" lang="es-ES" sz="1000" b="0" i="0" u="none" strike="noStrike" kern="0" cap="none" spc="0" normalizeH="0" baseline="0" noProof="0">
            <a:ln>
              <a:noFill/>
            </a:ln>
            <a:solidFill>
              <a:prstClr val="black"/>
            </a:solidFill>
            <a:effectLst/>
            <a:uLnTx/>
            <a:uFillTx/>
            <a:latin typeface="Calibri" panose="020F0502020204030204"/>
            <a:ea typeface="+mn-ea"/>
            <a:cs typeface="+mn-cs"/>
          </a:endParaRPr>
        </a:p>
      </xdr:txBody>
    </xdr:sp>
    <xdr:clientData/>
  </xdr:oneCellAnchor>
</xdr:wsDr>
</file>

<file path=xl/drawings/drawing26.xml><?xml version="1.0" encoding="utf-8"?>
<xdr:wsDr xmlns:xdr="http://schemas.openxmlformats.org/drawingml/2006/spreadsheetDrawing" xmlns:a="http://schemas.openxmlformats.org/drawingml/2006/main">
  <xdr:oneCellAnchor>
    <xdr:from>
      <xdr:col>5</xdr:col>
      <xdr:colOff>457201</xdr:colOff>
      <xdr:row>0</xdr:row>
      <xdr:rowOff>21668</xdr:rowOff>
    </xdr:from>
    <xdr:ext cx="1087426" cy="254557"/>
    <xdr:sp macro="" textlink="">
      <xdr:nvSpPr>
        <xdr:cNvPr id="2" name="3 CuadroTexto">
          <a:extLst>
            <a:ext uri="{FF2B5EF4-FFF2-40B4-BE49-F238E27FC236}">
              <a16:creationId xmlns:a16="http://schemas.microsoft.com/office/drawing/2014/main" id="{00000000-0008-0000-1A00-000002000000}"/>
            </a:ext>
          </a:extLst>
        </xdr:cNvPr>
        <xdr:cNvSpPr txBox="1"/>
      </xdr:nvSpPr>
      <xdr:spPr>
        <a:xfrm>
          <a:off x="5753101" y="21668"/>
          <a:ext cx="1087426"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endParaRPr lang="es-MX" sz="1100" b="1">
            <a:latin typeface="Arial" pitchFamily="34" charset="0"/>
            <a:cs typeface="Arial" pitchFamily="34" charset="0"/>
          </a:endParaRPr>
        </a:p>
      </xdr:txBody>
    </xdr:sp>
    <xdr:clientData/>
  </xdr:oneCellAnchor>
  <xdr:oneCellAnchor>
    <xdr:from>
      <xdr:col>2</xdr:col>
      <xdr:colOff>428625</xdr:colOff>
      <xdr:row>3</xdr:row>
      <xdr:rowOff>38100</xdr:rowOff>
    </xdr:from>
    <xdr:ext cx="3524250" cy="342900"/>
    <xdr:sp macro="" textlink="">
      <xdr:nvSpPr>
        <xdr:cNvPr id="6" name="5 CuadroTexto">
          <a:extLst>
            <a:ext uri="{FF2B5EF4-FFF2-40B4-BE49-F238E27FC236}">
              <a16:creationId xmlns:a16="http://schemas.microsoft.com/office/drawing/2014/main" id="{00000000-0008-0000-1A00-000006000000}"/>
            </a:ext>
          </a:extLst>
        </xdr:cNvPr>
        <xdr:cNvSpPr txBox="1"/>
      </xdr:nvSpPr>
      <xdr:spPr>
        <a:xfrm>
          <a:off x="3333750" y="638175"/>
          <a:ext cx="3524250" cy="342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lang="es-MX" sz="1100" b="1">
              <a:latin typeface="Arial" pitchFamily="34" charset="0"/>
              <a:cs typeface="Arial" pitchFamily="34" charset="0"/>
            </a:rPr>
            <a:t>CUENTA PÚBLICA</a:t>
          </a:r>
          <a:r>
            <a:rPr lang="es-MX" sz="1100" b="1" baseline="0">
              <a:latin typeface="Arial" pitchFamily="34" charset="0"/>
              <a:cs typeface="Arial" pitchFamily="34" charset="0"/>
            </a:rPr>
            <a:t> 2023</a:t>
          </a:r>
          <a:endParaRPr lang="es-MX" sz="1100" b="1">
            <a:latin typeface="Arial" pitchFamily="34" charset="0"/>
            <a:cs typeface="Arial" pitchFamily="34" charset="0"/>
          </a:endParaRPr>
        </a:p>
      </xdr:txBody>
    </xdr:sp>
    <xdr:clientData/>
  </xdr:oneCellAnchor>
  <xdr:twoCellAnchor>
    <xdr:from>
      <xdr:col>3</xdr:col>
      <xdr:colOff>424543</xdr:colOff>
      <xdr:row>32</xdr:row>
      <xdr:rowOff>95250</xdr:rowOff>
    </xdr:from>
    <xdr:to>
      <xdr:col>7</xdr:col>
      <xdr:colOff>123825</xdr:colOff>
      <xdr:row>37</xdr:row>
      <xdr:rowOff>134711</xdr:rowOff>
    </xdr:to>
    <xdr:sp macro="" textlink="">
      <xdr:nvSpPr>
        <xdr:cNvPr id="3" name="4 CuadroTexto">
          <a:extLst>
            <a:ext uri="{FF2B5EF4-FFF2-40B4-BE49-F238E27FC236}">
              <a16:creationId xmlns:a16="http://schemas.microsoft.com/office/drawing/2014/main" id="{7DC92C11-D8D4-4695-A1C4-55B363183B50}"/>
            </a:ext>
          </a:extLst>
        </xdr:cNvPr>
        <xdr:cNvSpPr txBox="1"/>
      </xdr:nvSpPr>
      <xdr:spPr>
        <a:xfrm>
          <a:off x="4196443" y="6972300"/>
          <a:ext cx="2747282" cy="991961"/>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900" b="0" i="0" u="none" strike="noStrike" kern="0" cap="none" spc="0" normalizeH="0" baseline="0" noProof="0">
              <a:ln>
                <a:noFill/>
              </a:ln>
              <a:solidFill>
                <a:sysClr val="window" lastClr="FFFFFF"/>
              </a:solidFill>
              <a:effectLst/>
              <a:uLnTx/>
              <a:uFillTx/>
              <a:latin typeface="Calibri" panose="020F0502020204030204"/>
              <a:ea typeface="+mn-ea"/>
              <a:cs typeface="+mn-cs"/>
            </a:rPr>
            <a:t>====================================================================   </a:t>
          </a: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900" b="1" i="0" u="sng" strike="noStrike" kern="0" cap="none" spc="0" normalizeH="0" baseline="0" noProof="0">
              <a:ln>
                <a:noFill/>
              </a:ln>
              <a:solidFill>
                <a:sysClr val="windowText" lastClr="000000"/>
              </a:solidFill>
              <a:effectLst/>
              <a:uLnTx/>
              <a:uFillTx/>
              <a:latin typeface="Calibri" panose="020F0502020204030204"/>
              <a:ea typeface="+mn-ea"/>
              <a:cs typeface="+mn-cs"/>
            </a:rPr>
            <a:t>C.P. REBECA I. LAGUNA FIGUEROA</a:t>
          </a: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900" b="1" i="0" u="none" strike="noStrike" kern="0" cap="none" spc="0" normalizeH="0" baseline="0" noProof="0">
              <a:ln>
                <a:noFill/>
              </a:ln>
              <a:solidFill>
                <a:sysClr val="windowText" lastClr="000000"/>
              </a:solidFill>
              <a:effectLst/>
              <a:uLnTx/>
              <a:uFillTx/>
              <a:latin typeface="Calibri" panose="020F0502020204030204"/>
              <a:ea typeface="+mn-ea"/>
              <a:cs typeface="+mn-cs"/>
            </a:rPr>
            <a:t>DIRECTORA GENERAL DE ADMINISTRACION Y FINANZAS </a:t>
          </a:r>
        </a:p>
      </xdr:txBody>
    </xdr:sp>
    <xdr:clientData/>
  </xdr:twoCellAnchor>
  <xdr:oneCellAnchor>
    <xdr:from>
      <xdr:col>0</xdr:col>
      <xdr:colOff>0</xdr:colOff>
      <xdr:row>33</xdr:row>
      <xdr:rowOff>14225</xdr:rowOff>
    </xdr:from>
    <xdr:ext cx="2823483" cy="877661"/>
    <xdr:sp macro="" textlink="">
      <xdr:nvSpPr>
        <xdr:cNvPr id="7" name="CuadroTexto 5">
          <a:extLst>
            <a:ext uri="{FF2B5EF4-FFF2-40B4-BE49-F238E27FC236}">
              <a16:creationId xmlns:a16="http://schemas.microsoft.com/office/drawing/2014/main" id="{A7388078-8B75-4B37-8EF6-14082A7F86EB}"/>
            </a:ext>
          </a:extLst>
        </xdr:cNvPr>
        <xdr:cNvSpPr txBox="1"/>
      </xdr:nvSpPr>
      <xdr:spPr>
        <a:xfrm>
          <a:off x="0" y="7081775"/>
          <a:ext cx="2823483" cy="877661"/>
        </a:xfrm>
        <a:prstGeom prst="rect">
          <a:avLst/>
        </a:prstGeom>
        <a:noFill/>
        <a:ln>
          <a:noFill/>
        </a:ln>
        <a:effectLst/>
      </xdr:spPr>
      <xdr:txBody>
        <a:bodyPr vertOverflow="clip" horzOverflow="clip" wrap="non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a:ln>
              <a:noFill/>
            </a:ln>
            <a:solidFill>
              <a:prstClr val="black"/>
            </a:solidFill>
            <a:effectLst/>
            <a:uLnTx/>
            <a:uFillTx/>
            <a:latin typeface="Calibri" panose="020F0502020204030204"/>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1" i="0" u="sng" strike="noStrike" kern="0" cap="none" spc="0" normalizeH="0" baseline="0" noProof="0">
              <a:ln>
                <a:noFill/>
              </a:ln>
              <a:solidFill>
                <a:prstClr val="black"/>
              </a:solidFill>
              <a:effectLst/>
              <a:uLnTx/>
              <a:uFillTx/>
              <a:latin typeface="Calibri" panose="020F0502020204030204"/>
              <a:ea typeface="+mn-ea"/>
              <a:cs typeface="+mn-cs"/>
            </a:rPr>
            <a:t>LIC. ISMAEL NORZAGARAY MICHEL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prstClr val="black"/>
              </a:solidFill>
              <a:effectLst/>
              <a:uLnTx/>
              <a:uFillTx/>
              <a:latin typeface="Calibri" panose="020F0502020204030204"/>
              <a:ea typeface="+mn-ea"/>
              <a:cs typeface="+mn-cs"/>
            </a:rPr>
            <a:t>DIRECTOR ADMINISTRATIVO </a:t>
          </a:r>
          <a:endParaRPr kumimoji="0" lang="es-ES" sz="1000" b="0" i="0" u="none" strike="noStrike" kern="0" cap="none" spc="0" normalizeH="0" baseline="0" noProof="0">
            <a:ln>
              <a:noFill/>
            </a:ln>
            <a:solidFill>
              <a:prstClr val="black"/>
            </a:solidFill>
            <a:effectLst/>
            <a:uLnTx/>
            <a:uFillTx/>
            <a:latin typeface="Calibri" panose="020F0502020204030204"/>
            <a:ea typeface="+mn-ea"/>
            <a:cs typeface="+mn-cs"/>
          </a:endParaRPr>
        </a:p>
      </xdr:txBody>
    </xdr:sp>
    <xdr:clientData/>
  </xdr:oneCellAnchor>
</xdr:wsDr>
</file>

<file path=xl/drawings/drawing27.xml><?xml version="1.0" encoding="utf-8"?>
<xdr:wsDr xmlns:xdr="http://schemas.openxmlformats.org/drawingml/2006/spreadsheetDrawing" xmlns:a="http://schemas.openxmlformats.org/drawingml/2006/main">
  <xdr:oneCellAnchor>
    <xdr:from>
      <xdr:col>0</xdr:col>
      <xdr:colOff>0</xdr:colOff>
      <xdr:row>2</xdr:row>
      <xdr:rowOff>142875</xdr:rowOff>
    </xdr:from>
    <xdr:ext cx="184731" cy="264560"/>
    <xdr:sp macro="" textlink="">
      <xdr:nvSpPr>
        <xdr:cNvPr id="2" name="1 CuadroTexto">
          <a:extLst>
            <a:ext uri="{FF2B5EF4-FFF2-40B4-BE49-F238E27FC236}">
              <a16:creationId xmlns:a16="http://schemas.microsoft.com/office/drawing/2014/main" id="{00000000-0008-0000-1B00-000002000000}"/>
            </a:ext>
          </a:extLst>
        </xdr:cNvPr>
        <xdr:cNvSpPr txBox="1"/>
      </xdr:nvSpPr>
      <xdr:spPr>
        <a:xfrm>
          <a:off x="95250" y="73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2</xdr:col>
      <xdr:colOff>1489731</xdr:colOff>
      <xdr:row>0</xdr:row>
      <xdr:rowOff>0</xdr:rowOff>
    </xdr:from>
    <xdr:ext cx="184731" cy="254557"/>
    <xdr:sp macro="" textlink="">
      <xdr:nvSpPr>
        <xdr:cNvPr id="4" name="3 CuadroTexto">
          <a:extLst>
            <a:ext uri="{FF2B5EF4-FFF2-40B4-BE49-F238E27FC236}">
              <a16:creationId xmlns:a16="http://schemas.microsoft.com/office/drawing/2014/main" id="{00000000-0008-0000-1B00-000004000000}"/>
            </a:ext>
          </a:extLst>
        </xdr:cNvPr>
        <xdr:cNvSpPr txBox="1"/>
      </xdr:nvSpPr>
      <xdr:spPr>
        <a:xfrm>
          <a:off x="6131004" y="0"/>
          <a:ext cx="184731"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endParaRPr lang="es-MX" sz="1100" b="1">
            <a:latin typeface="Arial" pitchFamily="34" charset="0"/>
            <a:cs typeface="Arial" pitchFamily="34" charset="0"/>
          </a:endParaRPr>
        </a:p>
      </xdr:txBody>
    </xdr:sp>
    <xdr:clientData/>
  </xdr:oneCellAnchor>
  <xdr:oneCellAnchor>
    <xdr:from>
      <xdr:col>1</xdr:col>
      <xdr:colOff>0</xdr:colOff>
      <xdr:row>3</xdr:row>
      <xdr:rowOff>142875</xdr:rowOff>
    </xdr:from>
    <xdr:ext cx="184731" cy="264560"/>
    <xdr:sp macro="" textlink="">
      <xdr:nvSpPr>
        <xdr:cNvPr id="6" name="4 CuadroTexto">
          <a:extLst>
            <a:ext uri="{FF2B5EF4-FFF2-40B4-BE49-F238E27FC236}">
              <a16:creationId xmlns:a16="http://schemas.microsoft.com/office/drawing/2014/main" id="{00000000-0008-0000-1B00-000006000000}"/>
            </a:ext>
          </a:extLst>
        </xdr:cNvPr>
        <xdr:cNvSpPr txBox="1"/>
      </xdr:nvSpPr>
      <xdr:spPr>
        <a:xfrm>
          <a:off x="4733925"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3318752</xdr:colOff>
      <xdr:row>2</xdr:row>
      <xdr:rowOff>178405</xdr:rowOff>
    </xdr:from>
    <xdr:ext cx="1232260" cy="239809"/>
    <xdr:sp macro="" textlink="">
      <xdr:nvSpPr>
        <xdr:cNvPr id="5" name="4 CuadroTexto">
          <a:extLst>
            <a:ext uri="{FF2B5EF4-FFF2-40B4-BE49-F238E27FC236}">
              <a16:creationId xmlns:a16="http://schemas.microsoft.com/office/drawing/2014/main" id="{00000000-0008-0000-1B00-000005000000}"/>
            </a:ext>
          </a:extLst>
        </xdr:cNvPr>
        <xdr:cNvSpPr txBox="1"/>
      </xdr:nvSpPr>
      <xdr:spPr>
        <a:xfrm>
          <a:off x="3318752" y="585382"/>
          <a:ext cx="1232260" cy="23980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r>
            <a:rPr lang="es-MX" sz="1000" b="1">
              <a:latin typeface="Arial" pitchFamily="34" charset="0"/>
              <a:cs typeface="Arial" pitchFamily="34" charset="0"/>
            </a:rPr>
            <a:t>(Cifras en Pesos)</a:t>
          </a:r>
        </a:p>
      </xdr:txBody>
    </xdr:sp>
    <xdr:clientData/>
  </xdr:oneCellAnchor>
  <xdr:oneCellAnchor>
    <xdr:from>
      <xdr:col>1</xdr:col>
      <xdr:colOff>0</xdr:colOff>
      <xdr:row>2</xdr:row>
      <xdr:rowOff>142875</xdr:rowOff>
    </xdr:from>
    <xdr:ext cx="184731" cy="264560"/>
    <xdr:sp macro="" textlink="">
      <xdr:nvSpPr>
        <xdr:cNvPr id="7" name="4 CuadroTexto">
          <a:extLst>
            <a:ext uri="{FF2B5EF4-FFF2-40B4-BE49-F238E27FC236}">
              <a16:creationId xmlns:a16="http://schemas.microsoft.com/office/drawing/2014/main" id="{00000000-0008-0000-1B00-000007000000}"/>
            </a:ext>
          </a:extLst>
        </xdr:cNvPr>
        <xdr:cNvSpPr txBox="1"/>
      </xdr:nvSpPr>
      <xdr:spPr>
        <a:xfrm>
          <a:off x="4222750" y="9789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3472295</xdr:colOff>
      <xdr:row>2</xdr:row>
      <xdr:rowOff>60614</xdr:rowOff>
    </xdr:from>
    <xdr:ext cx="2831523" cy="342900"/>
    <xdr:sp macro="" textlink="">
      <xdr:nvSpPr>
        <xdr:cNvPr id="11" name="10 CuadroTexto">
          <a:extLst>
            <a:ext uri="{FF2B5EF4-FFF2-40B4-BE49-F238E27FC236}">
              <a16:creationId xmlns:a16="http://schemas.microsoft.com/office/drawing/2014/main" id="{00000000-0008-0000-1B00-00000B000000}"/>
            </a:ext>
          </a:extLst>
        </xdr:cNvPr>
        <xdr:cNvSpPr txBox="1"/>
      </xdr:nvSpPr>
      <xdr:spPr>
        <a:xfrm>
          <a:off x="3472295" y="467591"/>
          <a:ext cx="2831523" cy="342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lang="es-MX" sz="900" b="1">
              <a:latin typeface="Arial" pitchFamily="34" charset="0"/>
              <a:cs typeface="Arial" pitchFamily="34" charset="0"/>
            </a:rPr>
            <a:t>CUENTA PÚBLICA 2023</a:t>
          </a:r>
        </a:p>
      </xdr:txBody>
    </xdr:sp>
    <xdr:clientData/>
  </xdr:oneCellAnchor>
  <xdr:twoCellAnchor>
    <xdr:from>
      <xdr:col>0</xdr:col>
      <xdr:colOff>3400672</xdr:colOff>
      <xdr:row>43</xdr:row>
      <xdr:rowOff>34637</xdr:rowOff>
    </xdr:from>
    <xdr:to>
      <xdr:col>2</xdr:col>
      <xdr:colOff>1506681</xdr:colOff>
      <xdr:row>47</xdr:row>
      <xdr:rowOff>22144</xdr:rowOff>
    </xdr:to>
    <xdr:sp macro="" textlink="">
      <xdr:nvSpPr>
        <xdr:cNvPr id="3" name="4 CuadroTexto">
          <a:extLst>
            <a:ext uri="{FF2B5EF4-FFF2-40B4-BE49-F238E27FC236}">
              <a16:creationId xmlns:a16="http://schemas.microsoft.com/office/drawing/2014/main" id="{03E94C02-69FA-481A-A2ED-535500C14B80}"/>
            </a:ext>
          </a:extLst>
        </xdr:cNvPr>
        <xdr:cNvSpPr txBox="1"/>
      </xdr:nvSpPr>
      <xdr:spPr>
        <a:xfrm>
          <a:off x="3400672" y="10382251"/>
          <a:ext cx="2747282" cy="991961"/>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900" b="0" i="0" u="none" strike="noStrike" kern="0" cap="none" spc="0" normalizeH="0" baseline="0" noProof="0">
              <a:ln>
                <a:noFill/>
              </a:ln>
              <a:solidFill>
                <a:sysClr val="window" lastClr="FFFFFF"/>
              </a:solidFill>
              <a:effectLst/>
              <a:uLnTx/>
              <a:uFillTx/>
              <a:latin typeface="Calibri" panose="020F0502020204030204"/>
              <a:ea typeface="+mn-ea"/>
              <a:cs typeface="+mn-cs"/>
            </a:rPr>
            <a:t>====================================================================   </a:t>
          </a: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900" b="1" i="0" u="sng" strike="noStrike" kern="0" cap="none" spc="0" normalizeH="0" baseline="0" noProof="0">
              <a:ln>
                <a:noFill/>
              </a:ln>
              <a:solidFill>
                <a:sysClr val="windowText" lastClr="000000"/>
              </a:solidFill>
              <a:effectLst/>
              <a:uLnTx/>
              <a:uFillTx/>
              <a:latin typeface="Calibri" panose="020F0502020204030204"/>
              <a:ea typeface="+mn-ea"/>
              <a:cs typeface="+mn-cs"/>
            </a:rPr>
            <a:t>C.P. REBECA I. LAGUNA FIGUEROA</a:t>
          </a: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900" b="1" i="0" u="none" strike="noStrike" kern="0" cap="none" spc="0" normalizeH="0" baseline="0" noProof="0">
              <a:ln>
                <a:noFill/>
              </a:ln>
              <a:solidFill>
                <a:sysClr val="windowText" lastClr="000000"/>
              </a:solidFill>
              <a:effectLst/>
              <a:uLnTx/>
              <a:uFillTx/>
              <a:latin typeface="Calibri" panose="020F0502020204030204"/>
              <a:ea typeface="+mn-ea"/>
              <a:cs typeface="+mn-cs"/>
            </a:rPr>
            <a:t>DIRECTORA GENERAL DE ADMINISTRACION Y FINANZAS </a:t>
          </a:r>
        </a:p>
      </xdr:txBody>
    </xdr:sp>
    <xdr:clientData/>
  </xdr:twoCellAnchor>
  <xdr:oneCellAnchor>
    <xdr:from>
      <xdr:col>0</xdr:col>
      <xdr:colOff>0</xdr:colOff>
      <xdr:row>43</xdr:row>
      <xdr:rowOff>128525</xdr:rowOff>
    </xdr:from>
    <xdr:ext cx="2823483" cy="877661"/>
    <xdr:sp macro="" textlink="">
      <xdr:nvSpPr>
        <xdr:cNvPr id="10" name="CuadroTexto 5">
          <a:extLst>
            <a:ext uri="{FF2B5EF4-FFF2-40B4-BE49-F238E27FC236}">
              <a16:creationId xmlns:a16="http://schemas.microsoft.com/office/drawing/2014/main" id="{4C84E9BB-F130-4641-85E7-8CD35E496D60}"/>
            </a:ext>
          </a:extLst>
        </xdr:cNvPr>
        <xdr:cNvSpPr txBox="1"/>
      </xdr:nvSpPr>
      <xdr:spPr>
        <a:xfrm>
          <a:off x="0" y="10476139"/>
          <a:ext cx="2823483" cy="877661"/>
        </a:xfrm>
        <a:prstGeom prst="rect">
          <a:avLst/>
        </a:prstGeom>
        <a:noFill/>
        <a:ln>
          <a:noFill/>
        </a:ln>
        <a:effectLst/>
      </xdr:spPr>
      <xdr:txBody>
        <a:bodyPr vertOverflow="clip" horzOverflow="clip" wrap="non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a:ln>
              <a:noFill/>
            </a:ln>
            <a:solidFill>
              <a:prstClr val="black"/>
            </a:solidFill>
            <a:effectLst/>
            <a:uLnTx/>
            <a:uFillTx/>
            <a:latin typeface="Calibri" panose="020F0502020204030204"/>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1" i="0" u="sng" strike="noStrike" kern="0" cap="none" spc="0" normalizeH="0" baseline="0" noProof="0">
              <a:ln>
                <a:noFill/>
              </a:ln>
              <a:solidFill>
                <a:prstClr val="black"/>
              </a:solidFill>
              <a:effectLst/>
              <a:uLnTx/>
              <a:uFillTx/>
              <a:latin typeface="Calibri" panose="020F0502020204030204"/>
              <a:ea typeface="+mn-ea"/>
              <a:cs typeface="+mn-cs"/>
            </a:rPr>
            <a:t>LIC. ISMAEL NORZAGARAY MICHEL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prstClr val="black"/>
              </a:solidFill>
              <a:effectLst/>
              <a:uLnTx/>
              <a:uFillTx/>
              <a:latin typeface="Calibri" panose="020F0502020204030204"/>
              <a:ea typeface="+mn-ea"/>
              <a:cs typeface="+mn-cs"/>
            </a:rPr>
            <a:t>DIRECTOR ADMINISTRATIVO </a:t>
          </a:r>
          <a:endParaRPr kumimoji="0" lang="es-ES" sz="1000" b="0" i="0" u="none" strike="noStrike" kern="0" cap="none" spc="0" normalizeH="0" baseline="0" noProof="0">
            <a:ln>
              <a:noFill/>
            </a:ln>
            <a:solidFill>
              <a:prstClr val="black"/>
            </a:solidFill>
            <a:effectLst/>
            <a:uLnTx/>
            <a:uFillTx/>
            <a:latin typeface="Calibri" panose="020F0502020204030204"/>
            <a:ea typeface="+mn-ea"/>
            <a:cs typeface="+mn-cs"/>
          </a:endParaRPr>
        </a:p>
      </xdr:txBody>
    </xdr:sp>
    <xdr:clientData/>
  </xdr:oneCellAnchor>
</xdr:wsDr>
</file>

<file path=xl/drawings/drawing28.xml><?xml version="1.0" encoding="utf-8"?>
<xdr:wsDr xmlns:xdr="http://schemas.openxmlformats.org/drawingml/2006/spreadsheetDrawing" xmlns:a="http://schemas.openxmlformats.org/drawingml/2006/main">
  <xdr:oneCellAnchor>
    <xdr:from>
      <xdr:col>4</xdr:col>
      <xdr:colOff>844978</xdr:colOff>
      <xdr:row>0</xdr:row>
      <xdr:rowOff>0</xdr:rowOff>
    </xdr:from>
    <xdr:ext cx="184731" cy="254557"/>
    <xdr:sp macro="" textlink="">
      <xdr:nvSpPr>
        <xdr:cNvPr id="4" name="2 CuadroTexto">
          <a:extLst>
            <a:ext uri="{FF2B5EF4-FFF2-40B4-BE49-F238E27FC236}">
              <a16:creationId xmlns:a16="http://schemas.microsoft.com/office/drawing/2014/main" id="{00000000-0008-0000-1C00-000004000000}"/>
            </a:ext>
          </a:extLst>
        </xdr:cNvPr>
        <xdr:cNvSpPr txBox="1"/>
      </xdr:nvSpPr>
      <xdr:spPr>
        <a:xfrm>
          <a:off x="6140878" y="0"/>
          <a:ext cx="184731"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endParaRPr lang="es-MX" sz="1100" b="1">
            <a:latin typeface="Arial" pitchFamily="34" charset="0"/>
            <a:cs typeface="Arial" pitchFamily="34" charset="0"/>
          </a:endParaRPr>
        </a:p>
      </xdr:txBody>
    </xdr:sp>
    <xdr:clientData/>
  </xdr:oneCellAnchor>
  <xdr:oneCellAnchor>
    <xdr:from>
      <xdr:col>3</xdr:col>
      <xdr:colOff>0</xdr:colOff>
      <xdr:row>2</xdr:row>
      <xdr:rowOff>142875</xdr:rowOff>
    </xdr:from>
    <xdr:ext cx="184731" cy="264560"/>
    <xdr:sp macro="" textlink="">
      <xdr:nvSpPr>
        <xdr:cNvPr id="5" name="4 CuadroTexto">
          <a:extLst>
            <a:ext uri="{FF2B5EF4-FFF2-40B4-BE49-F238E27FC236}">
              <a16:creationId xmlns:a16="http://schemas.microsoft.com/office/drawing/2014/main" id="{00000000-0008-0000-1C00-000005000000}"/>
            </a:ext>
          </a:extLst>
        </xdr:cNvPr>
        <xdr:cNvSpPr txBox="1"/>
      </xdr:nvSpPr>
      <xdr:spPr>
        <a:xfrm>
          <a:off x="7743825" y="9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2619375</xdr:colOff>
      <xdr:row>2</xdr:row>
      <xdr:rowOff>66675</xdr:rowOff>
    </xdr:from>
    <xdr:ext cx="3524250" cy="342900"/>
    <xdr:sp macro="" textlink="">
      <xdr:nvSpPr>
        <xdr:cNvPr id="8" name="7 CuadroTexto">
          <a:extLst>
            <a:ext uri="{FF2B5EF4-FFF2-40B4-BE49-F238E27FC236}">
              <a16:creationId xmlns:a16="http://schemas.microsoft.com/office/drawing/2014/main" id="{00000000-0008-0000-1C00-000008000000}"/>
            </a:ext>
          </a:extLst>
        </xdr:cNvPr>
        <xdr:cNvSpPr txBox="1"/>
      </xdr:nvSpPr>
      <xdr:spPr>
        <a:xfrm>
          <a:off x="2905125" y="485775"/>
          <a:ext cx="3524250" cy="342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lang="es-MX" sz="1100" b="1">
              <a:latin typeface="Arial" pitchFamily="34" charset="0"/>
              <a:cs typeface="Arial" pitchFamily="34" charset="0"/>
            </a:rPr>
            <a:t>CUENTA PÚBLICA</a:t>
          </a:r>
          <a:r>
            <a:rPr lang="es-MX" sz="1100" b="1" baseline="0">
              <a:latin typeface="Arial" pitchFamily="34" charset="0"/>
              <a:cs typeface="Arial" pitchFamily="34" charset="0"/>
            </a:rPr>
            <a:t> 2023</a:t>
          </a:r>
          <a:endParaRPr lang="es-MX" sz="1100" b="1">
            <a:latin typeface="Arial" pitchFamily="34" charset="0"/>
            <a:cs typeface="Arial" pitchFamily="34" charset="0"/>
          </a:endParaRPr>
        </a:p>
      </xdr:txBody>
    </xdr:sp>
    <xdr:clientData/>
  </xdr:oneCellAnchor>
  <xdr:twoCellAnchor>
    <xdr:from>
      <xdr:col>2</xdr:col>
      <xdr:colOff>405493</xdr:colOff>
      <xdr:row>31</xdr:row>
      <xdr:rowOff>9525</xdr:rowOff>
    </xdr:from>
    <xdr:to>
      <xdr:col>4</xdr:col>
      <xdr:colOff>923925</xdr:colOff>
      <xdr:row>35</xdr:row>
      <xdr:rowOff>163286</xdr:rowOff>
    </xdr:to>
    <xdr:sp macro="" textlink="">
      <xdr:nvSpPr>
        <xdr:cNvPr id="2" name="4 CuadroTexto">
          <a:extLst>
            <a:ext uri="{FF2B5EF4-FFF2-40B4-BE49-F238E27FC236}">
              <a16:creationId xmlns:a16="http://schemas.microsoft.com/office/drawing/2014/main" id="{FC50508D-C360-42BD-B799-E11C0003C4B6}"/>
            </a:ext>
          </a:extLst>
        </xdr:cNvPr>
        <xdr:cNvSpPr txBox="1"/>
      </xdr:nvSpPr>
      <xdr:spPr>
        <a:xfrm>
          <a:off x="3472543" y="8439150"/>
          <a:ext cx="2747282" cy="991961"/>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900" b="0" i="0" u="none" strike="noStrike" kern="0" cap="none" spc="0" normalizeH="0" baseline="0" noProof="0">
              <a:ln>
                <a:noFill/>
              </a:ln>
              <a:solidFill>
                <a:sysClr val="window" lastClr="FFFFFF"/>
              </a:solidFill>
              <a:effectLst/>
              <a:uLnTx/>
              <a:uFillTx/>
              <a:latin typeface="Calibri" panose="020F0502020204030204"/>
              <a:ea typeface="+mn-ea"/>
              <a:cs typeface="+mn-cs"/>
            </a:rPr>
            <a:t>====================================================================   </a:t>
          </a: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900" b="1" i="0" u="sng" strike="noStrike" kern="0" cap="none" spc="0" normalizeH="0" baseline="0" noProof="0">
              <a:ln>
                <a:noFill/>
              </a:ln>
              <a:solidFill>
                <a:sysClr val="windowText" lastClr="000000"/>
              </a:solidFill>
              <a:effectLst/>
              <a:uLnTx/>
              <a:uFillTx/>
              <a:latin typeface="Calibri" panose="020F0502020204030204"/>
              <a:ea typeface="+mn-ea"/>
              <a:cs typeface="+mn-cs"/>
            </a:rPr>
            <a:t>C.P. REBECA I. LAGUNA FIGUEROA</a:t>
          </a: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900" b="1" i="0" u="none" strike="noStrike" kern="0" cap="none" spc="0" normalizeH="0" baseline="0" noProof="0">
              <a:ln>
                <a:noFill/>
              </a:ln>
              <a:solidFill>
                <a:sysClr val="windowText" lastClr="000000"/>
              </a:solidFill>
              <a:effectLst/>
              <a:uLnTx/>
              <a:uFillTx/>
              <a:latin typeface="Calibri" panose="020F0502020204030204"/>
              <a:ea typeface="+mn-ea"/>
              <a:cs typeface="+mn-cs"/>
            </a:rPr>
            <a:t>DIRECTORA GENERAL DE ADMINISTRACION Y FINANZAS </a:t>
          </a:r>
        </a:p>
      </xdr:txBody>
    </xdr:sp>
    <xdr:clientData/>
  </xdr:twoCellAnchor>
  <xdr:oneCellAnchor>
    <xdr:from>
      <xdr:col>0</xdr:col>
      <xdr:colOff>0</xdr:colOff>
      <xdr:row>31</xdr:row>
      <xdr:rowOff>80900</xdr:rowOff>
    </xdr:from>
    <xdr:ext cx="2823483" cy="877661"/>
    <xdr:sp macro="" textlink="">
      <xdr:nvSpPr>
        <xdr:cNvPr id="3" name="CuadroTexto 5">
          <a:extLst>
            <a:ext uri="{FF2B5EF4-FFF2-40B4-BE49-F238E27FC236}">
              <a16:creationId xmlns:a16="http://schemas.microsoft.com/office/drawing/2014/main" id="{F6FBDD4F-179C-4D93-A86F-FC49DD4602FD}"/>
            </a:ext>
          </a:extLst>
        </xdr:cNvPr>
        <xdr:cNvSpPr txBox="1"/>
      </xdr:nvSpPr>
      <xdr:spPr>
        <a:xfrm>
          <a:off x="0" y="8510525"/>
          <a:ext cx="2823483" cy="877661"/>
        </a:xfrm>
        <a:prstGeom prst="rect">
          <a:avLst/>
        </a:prstGeom>
        <a:noFill/>
        <a:ln>
          <a:noFill/>
        </a:ln>
        <a:effectLst/>
      </xdr:spPr>
      <xdr:txBody>
        <a:bodyPr vertOverflow="clip" horzOverflow="clip" wrap="non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a:ln>
              <a:noFill/>
            </a:ln>
            <a:solidFill>
              <a:prstClr val="black"/>
            </a:solidFill>
            <a:effectLst/>
            <a:uLnTx/>
            <a:uFillTx/>
            <a:latin typeface="Calibri" panose="020F0502020204030204"/>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1" i="0" u="sng" strike="noStrike" kern="0" cap="none" spc="0" normalizeH="0" baseline="0" noProof="0">
              <a:ln>
                <a:noFill/>
              </a:ln>
              <a:solidFill>
                <a:prstClr val="black"/>
              </a:solidFill>
              <a:effectLst/>
              <a:uLnTx/>
              <a:uFillTx/>
              <a:latin typeface="Calibri" panose="020F0502020204030204"/>
              <a:ea typeface="+mn-ea"/>
              <a:cs typeface="+mn-cs"/>
            </a:rPr>
            <a:t>LIC. ISMAEL NORZAGARAY MICHEL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prstClr val="black"/>
              </a:solidFill>
              <a:effectLst/>
              <a:uLnTx/>
              <a:uFillTx/>
              <a:latin typeface="Calibri" panose="020F0502020204030204"/>
              <a:ea typeface="+mn-ea"/>
              <a:cs typeface="+mn-cs"/>
            </a:rPr>
            <a:t>DIRECTOR ADMINISTRATIVO </a:t>
          </a:r>
          <a:endParaRPr kumimoji="0" lang="es-ES" sz="1000" b="0" i="0" u="none" strike="noStrike" kern="0" cap="none" spc="0" normalizeH="0" baseline="0" noProof="0">
            <a:ln>
              <a:noFill/>
            </a:ln>
            <a:solidFill>
              <a:prstClr val="black"/>
            </a:solidFill>
            <a:effectLst/>
            <a:uLnTx/>
            <a:uFillTx/>
            <a:latin typeface="Calibri" panose="020F0502020204030204"/>
            <a:ea typeface="+mn-ea"/>
            <a:cs typeface="+mn-cs"/>
          </a:endParaRPr>
        </a:p>
      </xdr:txBody>
    </xdr:sp>
    <xdr:clientData/>
  </xdr:oneCellAnchor>
</xdr:wsDr>
</file>

<file path=xl/drawings/drawing29.xml><?xml version="1.0" encoding="utf-8"?>
<xdr:wsDr xmlns:xdr="http://schemas.openxmlformats.org/drawingml/2006/spreadsheetDrawing" xmlns:a="http://schemas.openxmlformats.org/drawingml/2006/main">
  <xdr:oneCellAnchor>
    <xdr:from>
      <xdr:col>3</xdr:col>
      <xdr:colOff>1481036</xdr:colOff>
      <xdr:row>0</xdr:row>
      <xdr:rowOff>0</xdr:rowOff>
    </xdr:from>
    <xdr:ext cx="184731" cy="254557"/>
    <xdr:sp macro="" textlink="">
      <xdr:nvSpPr>
        <xdr:cNvPr id="4" name="2 CuadroTexto">
          <a:extLst>
            <a:ext uri="{FF2B5EF4-FFF2-40B4-BE49-F238E27FC236}">
              <a16:creationId xmlns:a16="http://schemas.microsoft.com/office/drawing/2014/main" id="{00000000-0008-0000-1D00-000004000000}"/>
            </a:ext>
          </a:extLst>
        </xdr:cNvPr>
        <xdr:cNvSpPr txBox="1"/>
      </xdr:nvSpPr>
      <xdr:spPr>
        <a:xfrm>
          <a:off x="6254119" y="0"/>
          <a:ext cx="184731"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endParaRPr lang="es-MX" sz="1100" b="1">
            <a:latin typeface="Arial" pitchFamily="34" charset="0"/>
            <a:cs typeface="Arial" pitchFamily="34" charset="0"/>
          </a:endParaRPr>
        </a:p>
      </xdr:txBody>
    </xdr:sp>
    <xdr:clientData/>
  </xdr:oneCellAnchor>
  <xdr:oneCellAnchor>
    <xdr:from>
      <xdr:col>3</xdr:col>
      <xdr:colOff>0</xdr:colOff>
      <xdr:row>2</xdr:row>
      <xdr:rowOff>142875</xdr:rowOff>
    </xdr:from>
    <xdr:ext cx="184731" cy="264560"/>
    <xdr:sp macro="" textlink="">
      <xdr:nvSpPr>
        <xdr:cNvPr id="5" name="4 CuadroTexto">
          <a:extLst>
            <a:ext uri="{FF2B5EF4-FFF2-40B4-BE49-F238E27FC236}">
              <a16:creationId xmlns:a16="http://schemas.microsoft.com/office/drawing/2014/main" id="{00000000-0008-0000-1D00-000005000000}"/>
            </a:ext>
          </a:extLst>
        </xdr:cNvPr>
        <xdr:cNvSpPr txBox="1"/>
      </xdr:nvSpPr>
      <xdr:spPr>
        <a:xfrm>
          <a:off x="4791075"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2642659</xdr:colOff>
      <xdr:row>2</xdr:row>
      <xdr:rowOff>137584</xdr:rowOff>
    </xdr:from>
    <xdr:ext cx="3524250" cy="342900"/>
    <xdr:sp macro="" textlink="">
      <xdr:nvSpPr>
        <xdr:cNvPr id="8" name="7 CuadroTexto">
          <a:extLst>
            <a:ext uri="{FF2B5EF4-FFF2-40B4-BE49-F238E27FC236}">
              <a16:creationId xmlns:a16="http://schemas.microsoft.com/office/drawing/2014/main" id="{00000000-0008-0000-1D00-000008000000}"/>
            </a:ext>
          </a:extLst>
        </xdr:cNvPr>
        <xdr:cNvSpPr txBox="1"/>
      </xdr:nvSpPr>
      <xdr:spPr>
        <a:xfrm>
          <a:off x="2970742" y="560917"/>
          <a:ext cx="3524250" cy="342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lang="es-MX" sz="1100" b="1">
              <a:latin typeface="Arial" pitchFamily="34" charset="0"/>
              <a:cs typeface="Arial" pitchFamily="34" charset="0"/>
            </a:rPr>
            <a:t>CUENTA PÚBLICA 2023</a:t>
          </a:r>
        </a:p>
      </xdr:txBody>
    </xdr:sp>
    <xdr:clientData/>
  </xdr:oneCellAnchor>
  <xdr:twoCellAnchor>
    <xdr:from>
      <xdr:col>2</xdr:col>
      <xdr:colOff>459469</xdr:colOff>
      <xdr:row>32</xdr:row>
      <xdr:rowOff>10584</xdr:rowOff>
    </xdr:from>
    <xdr:to>
      <xdr:col>3</xdr:col>
      <xdr:colOff>1492251</xdr:colOff>
      <xdr:row>36</xdr:row>
      <xdr:rowOff>92378</xdr:rowOff>
    </xdr:to>
    <xdr:sp macro="" textlink="">
      <xdr:nvSpPr>
        <xdr:cNvPr id="3" name="4 CuadroTexto">
          <a:extLst>
            <a:ext uri="{FF2B5EF4-FFF2-40B4-BE49-F238E27FC236}">
              <a16:creationId xmlns:a16="http://schemas.microsoft.com/office/drawing/2014/main" id="{55FEA64D-B4B8-44B0-AAEB-C753CF932069}"/>
            </a:ext>
          </a:extLst>
        </xdr:cNvPr>
        <xdr:cNvSpPr txBox="1"/>
      </xdr:nvSpPr>
      <xdr:spPr>
        <a:xfrm>
          <a:off x="3518052" y="7344834"/>
          <a:ext cx="2747282" cy="991961"/>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900" b="0" i="0" u="none" strike="noStrike" kern="0" cap="none" spc="0" normalizeH="0" baseline="0" noProof="0">
              <a:ln>
                <a:noFill/>
              </a:ln>
              <a:solidFill>
                <a:sysClr val="window" lastClr="FFFFFF"/>
              </a:solidFill>
              <a:effectLst/>
              <a:uLnTx/>
              <a:uFillTx/>
              <a:latin typeface="Calibri" panose="020F0502020204030204"/>
              <a:ea typeface="+mn-ea"/>
              <a:cs typeface="+mn-cs"/>
            </a:rPr>
            <a:t>====================================================================   </a:t>
          </a: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900" b="1" i="0" u="sng" strike="noStrike" kern="0" cap="none" spc="0" normalizeH="0" baseline="0" noProof="0">
              <a:ln>
                <a:noFill/>
              </a:ln>
              <a:solidFill>
                <a:sysClr val="windowText" lastClr="000000"/>
              </a:solidFill>
              <a:effectLst/>
              <a:uLnTx/>
              <a:uFillTx/>
              <a:latin typeface="Calibri" panose="020F0502020204030204"/>
              <a:ea typeface="+mn-ea"/>
              <a:cs typeface="+mn-cs"/>
            </a:rPr>
            <a:t>C.P. REBECA I. LAGUNA FIGUEROA</a:t>
          </a: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900" b="1" i="0" u="none" strike="noStrike" kern="0" cap="none" spc="0" normalizeH="0" baseline="0" noProof="0">
              <a:ln>
                <a:noFill/>
              </a:ln>
              <a:solidFill>
                <a:sysClr val="windowText" lastClr="000000"/>
              </a:solidFill>
              <a:effectLst/>
              <a:uLnTx/>
              <a:uFillTx/>
              <a:latin typeface="Calibri" panose="020F0502020204030204"/>
              <a:ea typeface="+mn-ea"/>
              <a:cs typeface="+mn-cs"/>
            </a:rPr>
            <a:t>DIRECTORA GENERAL DE ADMINISTRACION Y FINANZAS </a:t>
          </a:r>
        </a:p>
      </xdr:txBody>
    </xdr:sp>
    <xdr:clientData/>
  </xdr:twoCellAnchor>
  <xdr:oneCellAnchor>
    <xdr:from>
      <xdr:col>0</xdr:col>
      <xdr:colOff>0</xdr:colOff>
      <xdr:row>32</xdr:row>
      <xdr:rowOff>107359</xdr:rowOff>
    </xdr:from>
    <xdr:ext cx="2823483" cy="877661"/>
    <xdr:sp macro="" textlink="">
      <xdr:nvSpPr>
        <xdr:cNvPr id="7" name="CuadroTexto 5">
          <a:extLst>
            <a:ext uri="{FF2B5EF4-FFF2-40B4-BE49-F238E27FC236}">
              <a16:creationId xmlns:a16="http://schemas.microsoft.com/office/drawing/2014/main" id="{2224E7AE-0FAB-48CB-B980-7EF5C8C3D922}"/>
            </a:ext>
          </a:extLst>
        </xdr:cNvPr>
        <xdr:cNvSpPr txBox="1"/>
      </xdr:nvSpPr>
      <xdr:spPr>
        <a:xfrm>
          <a:off x="0" y="7441609"/>
          <a:ext cx="2823483" cy="877661"/>
        </a:xfrm>
        <a:prstGeom prst="rect">
          <a:avLst/>
        </a:prstGeom>
        <a:noFill/>
        <a:ln>
          <a:noFill/>
        </a:ln>
        <a:effectLst/>
      </xdr:spPr>
      <xdr:txBody>
        <a:bodyPr vertOverflow="clip" horzOverflow="clip" wrap="non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a:ln>
              <a:noFill/>
            </a:ln>
            <a:solidFill>
              <a:prstClr val="black"/>
            </a:solidFill>
            <a:effectLst/>
            <a:uLnTx/>
            <a:uFillTx/>
            <a:latin typeface="Calibri" panose="020F0502020204030204"/>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1" i="0" u="sng" strike="noStrike" kern="0" cap="none" spc="0" normalizeH="0" baseline="0" noProof="0">
              <a:ln>
                <a:noFill/>
              </a:ln>
              <a:solidFill>
                <a:prstClr val="black"/>
              </a:solidFill>
              <a:effectLst/>
              <a:uLnTx/>
              <a:uFillTx/>
              <a:latin typeface="Calibri" panose="020F0502020204030204"/>
              <a:ea typeface="+mn-ea"/>
              <a:cs typeface="+mn-cs"/>
            </a:rPr>
            <a:t>LIC. ISMAEL NORZAGARAY MICHEL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prstClr val="black"/>
              </a:solidFill>
              <a:effectLst/>
              <a:uLnTx/>
              <a:uFillTx/>
              <a:latin typeface="Calibri" panose="020F0502020204030204"/>
              <a:ea typeface="+mn-ea"/>
              <a:cs typeface="+mn-cs"/>
            </a:rPr>
            <a:t>DIRECTOR ADMINISTRATIVO </a:t>
          </a:r>
          <a:endParaRPr kumimoji="0" lang="es-ES" sz="1000" b="0" i="0" u="none" strike="noStrike" kern="0" cap="none" spc="0" normalizeH="0" baseline="0" noProof="0">
            <a:ln>
              <a:noFill/>
            </a:ln>
            <a:solidFill>
              <a:prstClr val="black"/>
            </a:solidFill>
            <a:effectLst/>
            <a:uLnTx/>
            <a:uFillTx/>
            <a:latin typeface="Calibri" panose="020F0502020204030204"/>
            <a:ea typeface="+mn-ea"/>
            <a:cs typeface="+mn-cs"/>
          </a:endParaRPr>
        </a:p>
      </xdr:txBody>
    </xdr:sp>
    <xdr:clientData/>
  </xdr:oneCellAnchor>
</xdr:wsDr>
</file>

<file path=xl/drawings/drawing30.xml><?xml version="1.0" encoding="utf-8"?>
<xdr:wsDr xmlns:xdr="http://schemas.openxmlformats.org/drawingml/2006/spreadsheetDrawing" xmlns:a="http://schemas.openxmlformats.org/drawingml/2006/main">
  <xdr:oneCellAnchor>
    <xdr:from>
      <xdr:col>1</xdr:col>
      <xdr:colOff>0</xdr:colOff>
      <xdr:row>2</xdr:row>
      <xdr:rowOff>142875</xdr:rowOff>
    </xdr:from>
    <xdr:ext cx="184731" cy="264560"/>
    <xdr:sp macro="" textlink="">
      <xdr:nvSpPr>
        <xdr:cNvPr id="2" name="7 CuadroTexto">
          <a:extLst>
            <a:ext uri="{FF2B5EF4-FFF2-40B4-BE49-F238E27FC236}">
              <a16:creationId xmlns:a16="http://schemas.microsoft.com/office/drawing/2014/main" id="{00000000-0008-0000-1E00-000002000000}"/>
            </a:ext>
          </a:extLst>
        </xdr:cNvPr>
        <xdr:cNvSpPr txBox="1"/>
      </xdr:nvSpPr>
      <xdr:spPr>
        <a:xfrm>
          <a:off x="3171825" y="2523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4</xdr:col>
      <xdr:colOff>476250</xdr:colOff>
      <xdr:row>0</xdr:row>
      <xdr:rowOff>93593</xdr:rowOff>
    </xdr:from>
    <xdr:ext cx="1638301" cy="287408"/>
    <xdr:sp macro="" textlink="">
      <xdr:nvSpPr>
        <xdr:cNvPr id="3" name="11 CuadroTexto">
          <a:extLst>
            <a:ext uri="{FF2B5EF4-FFF2-40B4-BE49-F238E27FC236}">
              <a16:creationId xmlns:a16="http://schemas.microsoft.com/office/drawing/2014/main" id="{00000000-0008-0000-1E00-000003000000}"/>
            </a:ext>
          </a:extLst>
        </xdr:cNvPr>
        <xdr:cNvSpPr txBox="1"/>
      </xdr:nvSpPr>
      <xdr:spPr>
        <a:xfrm>
          <a:off x="5981700" y="93593"/>
          <a:ext cx="1638301" cy="28740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endParaRPr lang="es-MX" sz="1100" b="1">
            <a:latin typeface="Arial" pitchFamily="34" charset="0"/>
            <a:cs typeface="Arial" pitchFamily="34" charset="0"/>
          </a:endParaRPr>
        </a:p>
      </xdr:txBody>
    </xdr:sp>
    <xdr:clientData/>
  </xdr:oneCellAnchor>
  <xdr:oneCellAnchor>
    <xdr:from>
      <xdr:col>1</xdr:col>
      <xdr:colOff>0</xdr:colOff>
      <xdr:row>2</xdr:row>
      <xdr:rowOff>142875</xdr:rowOff>
    </xdr:from>
    <xdr:ext cx="184731" cy="264560"/>
    <xdr:sp macro="" textlink="">
      <xdr:nvSpPr>
        <xdr:cNvPr id="4" name="5 CuadroTexto">
          <a:extLst>
            <a:ext uri="{FF2B5EF4-FFF2-40B4-BE49-F238E27FC236}">
              <a16:creationId xmlns:a16="http://schemas.microsoft.com/office/drawing/2014/main" id="{00000000-0008-0000-1E00-000004000000}"/>
            </a:ext>
          </a:extLst>
        </xdr:cNvPr>
        <xdr:cNvSpPr txBox="1"/>
      </xdr:nvSpPr>
      <xdr:spPr>
        <a:xfrm>
          <a:off x="3171825" y="2523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2</xdr:row>
      <xdr:rowOff>142875</xdr:rowOff>
    </xdr:from>
    <xdr:ext cx="184731" cy="264560"/>
    <xdr:sp macro="" textlink="">
      <xdr:nvSpPr>
        <xdr:cNvPr id="5" name="1 CuadroTexto">
          <a:extLst>
            <a:ext uri="{FF2B5EF4-FFF2-40B4-BE49-F238E27FC236}">
              <a16:creationId xmlns:a16="http://schemas.microsoft.com/office/drawing/2014/main" id="{00000000-0008-0000-1E00-000005000000}"/>
            </a:ext>
          </a:extLst>
        </xdr:cNvPr>
        <xdr:cNvSpPr txBox="1"/>
      </xdr:nvSpPr>
      <xdr:spPr>
        <a:xfrm>
          <a:off x="3171825" y="2523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2</xdr:row>
      <xdr:rowOff>142875</xdr:rowOff>
    </xdr:from>
    <xdr:ext cx="184731" cy="264560"/>
    <xdr:sp macro="" textlink="">
      <xdr:nvSpPr>
        <xdr:cNvPr id="6" name="1 CuadroTexto">
          <a:extLst>
            <a:ext uri="{FF2B5EF4-FFF2-40B4-BE49-F238E27FC236}">
              <a16:creationId xmlns:a16="http://schemas.microsoft.com/office/drawing/2014/main" id="{00000000-0008-0000-1E00-000006000000}"/>
            </a:ext>
          </a:extLst>
        </xdr:cNvPr>
        <xdr:cNvSpPr txBox="1"/>
      </xdr:nvSpPr>
      <xdr:spPr>
        <a:xfrm>
          <a:off x="3171825" y="2523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2</xdr:row>
      <xdr:rowOff>142875</xdr:rowOff>
    </xdr:from>
    <xdr:ext cx="184731" cy="264560"/>
    <xdr:sp macro="" textlink="">
      <xdr:nvSpPr>
        <xdr:cNvPr id="7" name="1 CuadroTexto">
          <a:extLst>
            <a:ext uri="{FF2B5EF4-FFF2-40B4-BE49-F238E27FC236}">
              <a16:creationId xmlns:a16="http://schemas.microsoft.com/office/drawing/2014/main" id="{00000000-0008-0000-1E00-000007000000}"/>
            </a:ext>
          </a:extLst>
        </xdr:cNvPr>
        <xdr:cNvSpPr txBox="1"/>
      </xdr:nvSpPr>
      <xdr:spPr>
        <a:xfrm>
          <a:off x="3171825" y="2523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2</xdr:row>
      <xdr:rowOff>142875</xdr:rowOff>
    </xdr:from>
    <xdr:ext cx="184731" cy="264560"/>
    <xdr:sp macro="" textlink="">
      <xdr:nvSpPr>
        <xdr:cNvPr id="8" name="1 CuadroTexto">
          <a:extLst>
            <a:ext uri="{FF2B5EF4-FFF2-40B4-BE49-F238E27FC236}">
              <a16:creationId xmlns:a16="http://schemas.microsoft.com/office/drawing/2014/main" id="{00000000-0008-0000-1E00-000008000000}"/>
            </a:ext>
          </a:extLst>
        </xdr:cNvPr>
        <xdr:cNvSpPr txBox="1"/>
      </xdr:nvSpPr>
      <xdr:spPr>
        <a:xfrm>
          <a:off x="3171825" y="2523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twoCellAnchor>
    <xdr:from>
      <xdr:col>2</xdr:col>
      <xdr:colOff>253093</xdr:colOff>
      <xdr:row>39</xdr:row>
      <xdr:rowOff>28575</xdr:rowOff>
    </xdr:from>
    <xdr:to>
      <xdr:col>5</xdr:col>
      <xdr:colOff>676275</xdr:colOff>
      <xdr:row>43</xdr:row>
      <xdr:rowOff>106136</xdr:rowOff>
    </xdr:to>
    <xdr:sp macro="" textlink="">
      <xdr:nvSpPr>
        <xdr:cNvPr id="9" name="4 CuadroTexto">
          <a:extLst>
            <a:ext uri="{FF2B5EF4-FFF2-40B4-BE49-F238E27FC236}">
              <a16:creationId xmlns:a16="http://schemas.microsoft.com/office/drawing/2014/main" id="{4C3EFDE9-C6AF-4CA2-BA40-513C1CE1FFE9}"/>
            </a:ext>
          </a:extLst>
        </xdr:cNvPr>
        <xdr:cNvSpPr txBox="1"/>
      </xdr:nvSpPr>
      <xdr:spPr>
        <a:xfrm>
          <a:off x="4186918" y="8553450"/>
          <a:ext cx="2747282" cy="991961"/>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900" b="0" i="0" u="none" strike="noStrike" kern="0" cap="none" spc="0" normalizeH="0" baseline="0" noProof="0">
              <a:ln>
                <a:noFill/>
              </a:ln>
              <a:solidFill>
                <a:sysClr val="window" lastClr="FFFFFF"/>
              </a:solidFill>
              <a:effectLst/>
              <a:uLnTx/>
              <a:uFillTx/>
              <a:latin typeface="Calibri" panose="020F0502020204030204"/>
              <a:ea typeface="+mn-ea"/>
              <a:cs typeface="+mn-cs"/>
            </a:rPr>
            <a:t>====================================================================   </a:t>
          </a: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900" b="1" i="0" u="sng" strike="noStrike" kern="0" cap="none" spc="0" normalizeH="0" baseline="0" noProof="0">
              <a:ln>
                <a:noFill/>
              </a:ln>
              <a:solidFill>
                <a:sysClr val="windowText" lastClr="000000"/>
              </a:solidFill>
              <a:effectLst/>
              <a:uLnTx/>
              <a:uFillTx/>
              <a:latin typeface="Calibri" panose="020F0502020204030204"/>
              <a:ea typeface="+mn-ea"/>
              <a:cs typeface="+mn-cs"/>
            </a:rPr>
            <a:t>C.P. REBECA I. LAGUNA FIGUEROA</a:t>
          </a: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900" b="1" i="0" u="none" strike="noStrike" kern="0" cap="none" spc="0" normalizeH="0" baseline="0" noProof="0">
              <a:ln>
                <a:noFill/>
              </a:ln>
              <a:solidFill>
                <a:sysClr val="windowText" lastClr="000000"/>
              </a:solidFill>
              <a:effectLst/>
              <a:uLnTx/>
              <a:uFillTx/>
              <a:latin typeface="Calibri" panose="020F0502020204030204"/>
              <a:ea typeface="+mn-ea"/>
              <a:cs typeface="+mn-cs"/>
            </a:rPr>
            <a:t>DIRECTORA GENERAL DE ADMINISTRACION Y FINANZAS </a:t>
          </a:r>
        </a:p>
      </xdr:txBody>
    </xdr:sp>
    <xdr:clientData/>
  </xdr:twoCellAnchor>
  <xdr:oneCellAnchor>
    <xdr:from>
      <xdr:col>0</xdr:col>
      <xdr:colOff>0</xdr:colOff>
      <xdr:row>39</xdr:row>
      <xdr:rowOff>99950</xdr:rowOff>
    </xdr:from>
    <xdr:ext cx="2823483" cy="877661"/>
    <xdr:sp macro="" textlink="">
      <xdr:nvSpPr>
        <xdr:cNvPr id="12" name="CuadroTexto 5">
          <a:extLst>
            <a:ext uri="{FF2B5EF4-FFF2-40B4-BE49-F238E27FC236}">
              <a16:creationId xmlns:a16="http://schemas.microsoft.com/office/drawing/2014/main" id="{AE51EE0D-C122-4935-A1DC-846B5D806A60}"/>
            </a:ext>
          </a:extLst>
        </xdr:cNvPr>
        <xdr:cNvSpPr txBox="1"/>
      </xdr:nvSpPr>
      <xdr:spPr>
        <a:xfrm>
          <a:off x="0" y="8624825"/>
          <a:ext cx="2823483" cy="877661"/>
        </a:xfrm>
        <a:prstGeom prst="rect">
          <a:avLst/>
        </a:prstGeom>
        <a:noFill/>
        <a:ln>
          <a:noFill/>
        </a:ln>
        <a:effectLst/>
      </xdr:spPr>
      <xdr:txBody>
        <a:bodyPr vertOverflow="clip" horzOverflow="clip" wrap="non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a:ln>
              <a:noFill/>
            </a:ln>
            <a:solidFill>
              <a:prstClr val="black"/>
            </a:solidFill>
            <a:effectLst/>
            <a:uLnTx/>
            <a:uFillTx/>
            <a:latin typeface="Calibri" panose="020F0502020204030204"/>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1" i="0" u="sng" strike="noStrike" kern="0" cap="none" spc="0" normalizeH="0" baseline="0" noProof="0">
              <a:ln>
                <a:noFill/>
              </a:ln>
              <a:solidFill>
                <a:prstClr val="black"/>
              </a:solidFill>
              <a:effectLst/>
              <a:uLnTx/>
              <a:uFillTx/>
              <a:latin typeface="Calibri" panose="020F0502020204030204"/>
              <a:ea typeface="+mn-ea"/>
              <a:cs typeface="+mn-cs"/>
            </a:rPr>
            <a:t>LIC. ISMAEL NORZAGARAY MICHEL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prstClr val="black"/>
              </a:solidFill>
              <a:effectLst/>
              <a:uLnTx/>
              <a:uFillTx/>
              <a:latin typeface="Calibri" panose="020F0502020204030204"/>
              <a:ea typeface="+mn-ea"/>
              <a:cs typeface="+mn-cs"/>
            </a:rPr>
            <a:t>DIRECTOR ADMINISTRATIVO </a:t>
          </a:r>
          <a:endParaRPr kumimoji="0" lang="es-ES" sz="1000" b="0" i="0" u="none" strike="noStrike" kern="0" cap="none" spc="0" normalizeH="0" baseline="0" noProof="0">
            <a:ln>
              <a:noFill/>
            </a:ln>
            <a:solidFill>
              <a:prstClr val="black"/>
            </a:solidFill>
            <a:effectLst/>
            <a:uLnTx/>
            <a:uFillTx/>
            <a:latin typeface="Calibri" panose="020F0502020204030204"/>
            <a:ea typeface="+mn-ea"/>
            <a:cs typeface="+mn-cs"/>
          </a:endParaRPr>
        </a:p>
      </xdr:txBody>
    </xdr:sp>
    <xdr:clientData/>
  </xdr:oneCellAnchor>
  <xdr:oneCellAnchor>
    <xdr:from>
      <xdr:col>2</xdr:col>
      <xdr:colOff>333375</xdr:colOff>
      <xdr:row>2</xdr:row>
      <xdr:rowOff>95250</xdr:rowOff>
    </xdr:from>
    <xdr:ext cx="3524250" cy="342900"/>
    <xdr:sp macro="" textlink="">
      <xdr:nvSpPr>
        <xdr:cNvPr id="10" name="7 CuadroTexto">
          <a:extLst>
            <a:ext uri="{FF2B5EF4-FFF2-40B4-BE49-F238E27FC236}">
              <a16:creationId xmlns:a16="http://schemas.microsoft.com/office/drawing/2014/main" id="{F1D31D5D-55AD-44F5-B450-98D2E82D6DDB}"/>
            </a:ext>
          </a:extLst>
        </xdr:cNvPr>
        <xdr:cNvSpPr txBox="1"/>
      </xdr:nvSpPr>
      <xdr:spPr>
        <a:xfrm>
          <a:off x="4267200" y="514350"/>
          <a:ext cx="3524250" cy="342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lang="es-MX" sz="1100" b="1">
              <a:latin typeface="Arial" pitchFamily="34" charset="0"/>
              <a:cs typeface="Arial" pitchFamily="34" charset="0"/>
            </a:rPr>
            <a:t>CUENTA PÚBLICA 2023</a:t>
          </a:r>
        </a:p>
      </xdr:txBody>
    </xdr:sp>
    <xdr:clientData/>
  </xdr:oneCellAnchor>
</xdr:wsDr>
</file>

<file path=xl/drawings/drawing31.xml><?xml version="1.0" encoding="utf-8"?>
<xdr:wsDr xmlns:xdr="http://schemas.openxmlformats.org/drawingml/2006/spreadsheetDrawing" xmlns:a="http://schemas.openxmlformats.org/drawingml/2006/main">
  <xdr:oneCellAnchor>
    <xdr:from>
      <xdr:col>4</xdr:col>
      <xdr:colOff>1028071</xdr:colOff>
      <xdr:row>0</xdr:row>
      <xdr:rowOff>21167</xdr:rowOff>
    </xdr:from>
    <xdr:ext cx="184730" cy="254557"/>
    <xdr:sp macro="" textlink="">
      <xdr:nvSpPr>
        <xdr:cNvPr id="3" name="1 CuadroTexto">
          <a:extLst>
            <a:ext uri="{FF2B5EF4-FFF2-40B4-BE49-F238E27FC236}">
              <a16:creationId xmlns:a16="http://schemas.microsoft.com/office/drawing/2014/main" id="{00000000-0008-0000-1F00-000003000000}"/>
            </a:ext>
          </a:extLst>
        </xdr:cNvPr>
        <xdr:cNvSpPr txBox="1"/>
      </xdr:nvSpPr>
      <xdr:spPr>
        <a:xfrm>
          <a:off x="6573738" y="21167"/>
          <a:ext cx="184730"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endParaRPr lang="es-MX" sz="1100" b="1">
            <a:latin typeface="Arial" pitchFamily="34" charset="0"/>
            <a:cs typeface="Arial" pitchFamily="34" charset="0"/>
          </a:endParaRPr>
        </a:p>
      </xdr:txBody>
    </xdr:sp>
    <xdr:clientData/>
  </xdr:oneCellAnchor>
  <xdr:oneCellAnchor>
    <xdr:from>
      <xdr:col>2</xdr:col>
      <xdr:colOff>889000</xdr:colOff>
      <xdr:row>2</xdr:row>
      <xdr:rowOff>116417</xdr:rowOff>
    </xdr:from>
    <xdr:ext cx="3524250" cy="342900"/>
    <xdr:sp macro="" textlink="">
      <xdr:nvSpPr>
        <xdr:cNvPr id="7" name="6 CuadroTexto">
          <a:extLst>
            <a:ext uri="{FF2B5EF4-FFF2-40B4-BE49-F238E27FC236}">
              <a16:creationId xmlns:a16="http://schemas.microsoft.com/office/drawing/2014/main" id="{00000000-0008-0000-1F00-000007000000}"/>
            </a:ext>
          </a:extLst>
        </xdr:cNvPr>
        <xdr:cNvSpPr txBox="1"/>
      </xdr:nvSpPr>
      <xdr:spPr>
        <a:xfrm>
          <a:off x="3333750" y="539750"/>
          <a:ext cx="3524250" cy="342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lang="es-MX" sz="1100" b="1">
              <a:latin typeface="Arial" pitchFamily="34" charset="0"/>
              <a:cs typeface="Arial" pitchFamily="34" charset="0"/>
            </a:rPr>
            <a:t>CUENTA PÚBLICA 2023</a:t>
          </a:r>
        </a:p>
      </xdr:txBody>
    </xdr:sp>
    <xdr:clientData/>
  </xdr:oneCellAnchor>
  <xdr:twoCellAnchor>
    <xdr:from>
      <xdr:col>2</xdr:col>
      <xdr:colOff>1263801</xdr:colOff>
      <xdr:row>149</xdr:row>
      <xdr:rowOff>63500</xdr:rowOff>
    </xdr:from>
    <xdr:to>
      <xdr:col>4</xdr:col>
      <xdr:colOff>910166</xdr:colOff>
      <xdr:row>154</xdr:row>
      <xdr:rowOff>71211</xdr:rowOff>
    </xdr:to>
    <xdr:sp macro="" textlink="">
      <xdr:nvSpPr>
        <xdr:cNvPr id="2" name="4 CuadroTexto">
          <a:extLst>
            <a:ext uri="{FF2B5EF4-FFF2-40B4-BE49-F238E27FC236}">
              <a16:creationId xmlns:a16="http://schemas.microsoft.com/office/drawing/2014/main" id="{3B532141-7689-4021-B84F-AAF9928217C5}"/>
            </a:ext>
          </a:extLst>
        </xdr:cNvPr>
        <xdr:cNvSpPr txBox="1"/>
      </xdr:nvSpPr>
      <xdr:spPr>
        <a:xfrm>
          <a:off x="3708551" y="109050667"/>
          <a:ext cx="2747282" cy="991961"/>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900" b="0" i="0" u="none" strike="noStrike" kern="0" cap="none" spc="0" normalizeH="0" baseline="0" noProof="0">
              <a:ln>
                <a:noFill/>
              </a:ln>
              <a:solidFill>
                <a:sysClr val="window" lastClr="FFFFFF"/>
              </a:solidFill>
              <a:effectLst/>
              <a:uLnTx/>
              <a:uFillTx/>
              <a:latin typeface="Calibri" panose="020F0502020204030204"/>
              <a:ea typeface="+mn-ea"/>
              <a:cs typeface="+mn-cs"/>
            </a:rPr>
            <a:t>====================================================================   </a:t>
          </a: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900" b="1" i="0" u="sng" strike="noStrike" kern="0" cap="none" spc="0" normalizeH="0" baseline="0" noProof="0">
              <a:ln>
                <a:noFill/>
              </a:ln>
              <a:solidFill>
                <a:sysClr val="windowText" lastClr="000000"/>
              </a:solidFill>
              <a:effectLst/>
              <a:uLnTx/>
              <a:uFillTx/>
              <a:latin typeface="Calibri" panose="020F0502020204030204"/>
              <a:ea typeface="+mn-ea"/>
              <a:cs typeface="+mn-cs"/>
            </a:rPr>
            <a:t>C.P. REBECA I. LAGUNA FIGUEROA</a:t>
          </a: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900" b="1" i="0" u="none" strike="noStrike" kern="0" cap="none" spc="0" normalizeH="0" baseline="0" noProof="0">
              <a:ln>
                <a:noFill/>
              </a:ln>
              <a:solidFill>
                <a:sysClr val="windowText" lastClr="000000"/>
              </a:solidFill>
              <a:effectLst/>
              <a:uLnTx/>
              <a:uFillTx/>
              <a:latin typeface="Calibri" panose="020F0502020204030204"/>
              <a:ea typeface="+mn-ea"/>
              <a:cs typeface="+mn-cs"/>
            </a:rPr>
            <a:t>DIRECTORA GENERAL DE ADMINISTRACION Y FINANZAS </a:t>
          </a:r>
        </a:p>
      </xdr:txBody>
    </xdr:sp>
    <xdr:clientData/>
  </xdr:twoCellAnchor>
  <xdr:oneCellAnchor>
    <xdr:from>
      <xdr:col>0</xdr:col>
      <xdr:colOff>0</xdr:colOff>
      <xdr:row>150</xdr:row>
      <xdr:rowOff>54442</xdr:rowOff>
    </xdr:from>
    <xdr:ext cx="2823483" cy="877661"/>
    <xdr:sp macro="" textlink="">
      <xdr:nvSpPr>
        <xdr:cNvPr id="6" name="CuadroTexto 5">
          <a:extLst>
            <a:ext uri="{FF2B5EF4-FFF2-40B4-BE49-F238E27FC236}">
              <a16:creationId xmlns:a16="http://schemas.microsoft.com/office/drawing/2014/main" id="{ED18CC6F-1535-4352-BC70-39E7137AAF70}"/>
            </a:ext>
          </a:extLst>
        </xdr:cNvPr>
        <xdr:cNvSpPr txBox="1"/>
      </xdr:nvSpPr>
      <xdr:spPr>
        <a:xfrm>
          <a:off x="0" y="109179192"/>
          <a:ext cx="2823483" cy="877661"/>
        </a:xfrm>
        <a:prstGeom prst="rect">
          <a:avLst/>
        </a:prstGeom>
        <a:noFill/>
        <a:ln>
          <a:noFill/>
        </a:ln>
        <a:effectLst/>
      </xdr:spPr>
      <xdr:txBody>
        <a:bodyPr vertOverflow="clip" horzOverflow="clip" wrap="non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a:ln>
              <a:noFill/>
            </a:ln>
            <a:solidFill>
              <a:prstClr val="black"/>
            </a:solidFill>
            <a:effectLst/>
            <a:uLnTx/>
            <a:uFillTx/>
            <a:latin typeface="Calibri" panose="020F0502020204030204"/>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1" i="0" u="sng" strike="noStrike" kern="0" cap="none" spc="0" normalizeH="0" baseline="0" noProof="0">
              <a:ln>
                <a:noFill/>
              </a:ln>
              <a:solidFill>
                <a:prstClr val="black"/>
              </a:solidFill>
              <a:effectLst/>
              <a:uLnTx/>
              <a:uFillTx/>
              <a:latin typeface="Calibri" panose="020F0502020204030204"/>
              <a:ea typeface="+mn-ea"/>
              <a:cs typeface="+mn-cs"/>
            </a:rPr>
            <a:t>LIC. ISMAEL NORZAGARAY MICHEL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prstClr val="black"/>
              </a:solidFill>
              <a:effectLst/>
              <a:uLnTx/>
              <a:uFillTx/>
              <a:latin typeface="Calibri" panose="020F0502020204030204"/>
              <a:ea typeface="+mn-ea"/>
              <a:cs typeface="+mn-cs"/>
            </a:rPr>
            <a:t>DIRECTOR ADMINISTRATIVO </a:t>
          </a:r>
          <a:endParaRPr kumimoji="0" lang="es-ES" sz="1000" b="0" i="0" u="none" strike="noStrike" kern="0" cap="none" spc="0" normalizeH="0" baseline="0" noProof="0">
            <a:ln>
              <a:noFill/>
            </a:ln>
            <a:solidFill>
              <a:prstClr val="black"/>
            </a:solidFill>
            <a:effectLst/>
            <a:uLnTx/>
            <a:uFillTx/>
            <a:latin typeface="Calibri" panose="020F0502020204030204"/>
            <a:ea typeface="+mn-ea"/>
            <a:cs typeface="+mn-cs"/>
          </a:endParaRPr>
        </a:p>
      </xdr:txBody>
    </xdr:sp>
    <xdr:clientData/>
  </xdr:oneCellAnchor>
</xdr:wsDr>
</file>

<file path=xl/drawings/drawing32.xml><?xml version="1.0" encoding="utf-8"?>
<xdr:wsDr xmlns:xdr="http://schemas.openxmlformats.org/drawingml/2006/spreadsheetDrawing" xmlns:a="http://schemas.openxmlformats.org/drawingml/2006/main">
  <xdr:oneCellAnchor>
    <xdr:from>
      <xdr:col>2</xdr:col>
      <xdr:colOff>1368136</xdr:colOff>
      <xdr:row>0</xdr:row>
      <xdr:rowOff>0</xdr:rowOff>
    </xdr:from>
    <xdr:ext cx="1073727" cy="257175"/>
    <xdr:sp macro="" textlink="">
      <xdr:nvSpPr>
        <xdr:cNvPr id="2" name="3 CuadroTexto">
          <a:extLst>
            <a:ext uri="{FF2B5EF4-FFF2-40B4-BE49-F238E27FC236}">
              <a16:creationId xmlns:a16="http://schemas.microsoft.com/office/drawing/2014/main" id="{00000000-0008-0000-2500-000002000000}"/>
            </a:ext>
          </a:extLst>
        </xdr:cNvPr>
        <xdr:cNvSpPr txBox="1"/>
      </xdr:nvSpPr>
      <xdr:spPr>
        <a:xfrm>
          <a:off x="6121977" y="0"/>
          <a:ext cx="1073727" cy="25717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noAutofit/>
        </a:bodyPr>
        <a:lstStyle/>
        <a:p>
          <a:pPr algn="r"/>
          <a:endParaRPr lang="es-MX" sz="1100" b="1">
            <a:latin typeface="Arial" pitchFamily="34" charset="0"/>
            <a:cs typeface="Arial" pitchFamily="34" charset="0"/>
          </a:endParaRPr>
        </a:p>
      </xdr:txBody>
    </xdr:sp>
    <xdr:clientData/>
  </xdr:oneCellAnchor>
  <xdr:oneCellAnchor>
    <xdr:from>
      <xdr:col>1</xdr:col>
      <xdr:colOff>2658340</xdr:colOff>
      <xdr:row>1</xdr:row>
      <xdr:rowOff>190500</xdr:rowOff>
    </xdr:from>
    <xdr:ext cx="3524250" cy="342900"/>
    <xdr:sp macro="" textlink="">
      <xdr:nvSpPr>
        <xdr:cNvPr id="4" name="3 CuadroTexto">
          <a:extLst>
            <a:ext uri="{FF2B5EF4-FFF2-40B4-BE49-F238E27FC236}">
              <a16:creationId xmlns:a16="http://schemas.microsoft.com/office/drawing/2014/main" id="{00000000-0008-0000-2500-000004000000}"/>
            </a:ext>
          </a:extLst>
        </xdr:cNvPr>
        <xdr:cNvSpPr txBox="1"/>
      </xdr:nvSpPr>
      <xdr:spPr>
        <a:xfrm>
          <a:off x="3766704" y="389659"/>
          <a:ext cx="3524250" cy="342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lang="es-MX" sz="1000" b="1">
              <a:latin typeface="Arial" pitchFamily="34" charset="0"/>
              <a:cs typeface="Arial" pitchFamily="34" charset="0"/>
            </a:rPr>
            <a:t>CUENTA</a:t>
          </a:r>
          <a:r>
            <a:rPr lang="es-MX" sz="1000" b="1" baseline="0">
              <a:latin typeface="Arial" pitchFamily="34" charset="0"/>
              <a:cs typeface="Arial" pitchFamily="34" charset="0"/>
            </a:rPr>
            <a:t> PÚBLICA 2023</a:t>
          </a:r>
          <a:endParaRPr lang="es-MX" sz="1000" b="1">
            <a:latin typeface="Arial" pitchFamily="34" charset="0"/>
            <a:cs typeface="Arial" pitchFamily="34" charset="0"/>
          </a:endParaRPr>
        </a:p>
      </xdr:txBody>
    </xdr:sp>
    <xdr:clientData/>
  </xdr:oneCellAnchor>
  <xdr:twoCellAnchor>
    <xdr:from>
      <xdr:col>1</xdr:col>
      <xdr:colOff>3521899</xdr:colOff>
      <xdr:row>508</xdr:row>
      <xdr:rowOff>25978</xdr:rowOff>
    </xdr:from>
    <xdr:to>
      <xdr:col>2</xdr:col>
      <xdr:colOff>1974272</xdr:colOff>
      <xdr:row>513</xdr:row>
      <xdr:rowOff>65439</xdr:rowOff>
    </xdr:to>
    <xdr:sp macro="" textlink="">
      <xdr:nvSpPr>
        <xdr:cNvPr id="3" name="4 CuadroTexto">
          <a:extLst>
            <a:ext uri="{FF2B5EF4-FFF2-40B4-BE49-F238E27FC236}">
              <a16:creationId xmlns:a16="http://schemas.microsoft.com/office/drawing/2014/main" id="{37424C57-A8BE-4755-AFAB-28F9B13BD14A}"/>
            </a:ext>
          </a:extLst>
        </xdr:cNvPr>
        <xdr:cNvSpPr txBox="1"/>
      </xdr:nvSpPr>
      <xdr:spPr>
        <a:xfrm>
          <a:off x="4630263" y="99406364"/>
          <a:ext cx="2747282" cy="991961"/>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900" b="0" i="0" u="none" strike="noStrike" kern="0" cap="none" spc="0" normalizeH="0" baseline="0" noProof="0">
              <a:ln>
                <a:noFill/>
              </a:ln>
              <a:solidFill>
                <a:sysClr val="window" lastClr="FFFFFF"/>
              </a:solidFill>
              <a:effectLst/>
              <a:uLnTx/>
              <a:uFillTx/>
              <a:latin typeface="Calibri" panose="020F0502020204030204"/>
              <a:ea typeface="+mn-ea"/>
              <a:cs typeface="+mn-cs"/>
            </a:rPr>
            <a:t>====================================================================   </a:t>
          </a: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900" b="1" i="0" u="sng" strike="noStrike" kern="0" cap="none" spc="0" normalizeH="0" baseline="0" noProof="0">
              <a:ln>
                <a:noFill/>
              </a:ln>
              <a:solidFill>
                <a:sysClr val="windowText" lastClr="000000"/>
              </a:solidFill>
              <a:effectLst/>
              <a:uLnTx/>
              <a:uFillTx/>
              <a:latin typeface="Calibri" panose="020F0502020204030204"/>
              <a:ea typeface="+mn-ea"/>
              <a:cs typeface="+mn-cs"/>
            </a:rPr>
            <a:t>C.P. REBECA I. LAGUNA FIGUEROA</a:t>
          </a: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900" b="1" i="0" u="none" strike="noStrike" kern="0" cap="none" spc="0" normalizeH="0" baseline="0" noProof="0">
              <a:ln>
                <a:noFill/>
              </a:ln>
              <a:solidFill>
                <a:sysClr val="windowText" lastClr="000000"/>
              </a:solidFill>
              <a:effectLst/>
              <a:uLnTx/>
              <a:uFillTx/>
              <a:latin typeface="Calibri" panose="020F0502020204030204"/>
              <a:ea typeface="+mn-ea"/>
              <a:cs typeface="+mn-cs"/>
            </a:rPr>
            <a:t>DIRECTORA GENERAL DE ADMINISTRACION Y FINANZAS </a:t>
          </a:r>
        </a:p>
      </xdr:txBody>
    </xdr:sp>
    <xdr:clientData/>
  </xdr:twoCellAnchor>
  <xdr:oneCellAnchor>
    <xdr:from>
      <xdr:col>1</xdr:col>
      <xdr:colOff>0</xdr:colOff>
      <xdr:row>508</xdr:row>
      <xdr:rowOff>128525</xdr:rowOff>
    </xdr:from>
    <xdr:ext cx="2823483" cy="877661"/>
    <xdr:sp macro="" textlink="">
      <xdr:nvSpPr>
        <xdr:cNvPr id="5" name="CuadroTexto 5">
          <a:extLst>
            <a:ext uri="{FF2B5EF4-FFF2-40B4-BE49-F238E27FC236}">
              <a16:creationId xmlns:a16="http://schemas.microsoft.com/office/drawing/2014/main" id="{7F50F754-C027-4D23-B0A1-FF93E6EA9E30}"/>
            </a:ext>
          </a:extLst>
        </xdr:cNvPr>
        <xdr:cNvSpPr txBox="1"/>
      </xdr:nvSpPr>
      <xdr:spPr>
        <a:xfrm>
          <a:off x="1108364" y="99508911"/>
          <a:ext cx="2823483" cy="877661"/>
        </a:xfrm>
        <a:prstGeom prst="rect">
          <a:avLst/>
        </a:prstGeom>
        <a:noFill/>
        <a:ln>
          <a:noFill/>
        </a:ln>
        <a:effectLst/>
      </xdr:spPr>
      <xdr:txBody>
        <a:bodyPr vertOverflow="clip" horzOverflow="clip" wrap="non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a:ln>
              <a:noFill/>
            </a:ln>
            <a:solidFill>
              <a:prstClr val="black"/>
            </a:solidFill>
            <a:effectLst/>
            <a:uLnTx/>
            <a:uFillTx/>
            <a:latin typeface="Calibri" panose="020F0502020204030204"/>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1" i="0" u="sng" strike="noStrike" kern="0" cap="none" spc="0" normalizeH="0" baseline="0" noProof="0">
              <a:ln>
                <a:noFill/>
              </a:ln>
              <a:solidFill>
                <a:prstClr val="black"/>
              </a:solidFill>
              <a:effectLst/>
              <a:uLnTx/>
              <a:uFillTx/>
              <a:latin typeface="Calibri" panose="020F0502020204030204"/>
              <a:ea typeface="+mn-ea"/>
              <a:cs typeface="+mn-cs"/>
            </a:rPr>
            <a:t>LIC. ISMAEL NORZAGARAY MICHEL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prstClr val="black"/>
              </a:solidFill>
              <a:effectLst/>
              <a:uLnTx/>
              <a:uFillTx/>
              <a:latin typeface="Calibri" panose="020F0502020204030204"/>
              <a:ea typeface="+mn-ea"/>
              <a:cs typeface="+mn-cs"/>
            </a:rPr>
            <a:t>DIRECTOR ADMINISTRATIVO </a:t>
          </a:r>
          <a:endParaRPr kumimoji="0" lang="es-ES" sz="1000" b="0" i="0" u="none" strike="noStrike" kern="0" cap="none" spc="0" normalizeH="0" baseline="0" noProof="0">
            <a:ln>
              <a:noFill/>
            </a:ln>
            <a:solidFill>
              <a:prstClr val="black"/>
            </a:solidFill>
            <a:effectLst/>
            <a:uLnTx/>
            <a:uFillTx/>
            <a:latin typeface="Calibri" panose="020F0502020204030204"/>
            <a:ea typeface="+mn-ea"/>
            <a:cs typeface="+mn-cs"/>
          </a:endParaRPr>
        </a:p>
      </xdr:txBody>
    </xdr:sp>
    <xdr:clientData/>
  </xdr:oneCellAnchor>
</xdr:wsDr>
</file>

<file path=xl/drawings/drawing33.xml><?xml version="1.0" encoding="utf-8"?>
<xdr:wsDr xmlns:xdr="http://schemas.openxmlformats.org/drawingml/2006/spreadsheetDrawing" xmlns:a="http://schemas.openxmlformats.org/drawingml/2006/main">
  <xdr:oneCellAnchor>
    <xdr:from>
      <xdr:col>4</xdr:col>
      <xdr:colOff>873553</xdr:colOff>
      <xdr:row>0</xdr:row>
      <xdr:rowOff>0</xdr:rowOff>
    </xdr:from>
    <xdr:ext cx="184731" cy="254557"/>
    <xdr:sp macro="" textlink="">
      <xdr:nvSpPr>
        <xdr:cNvPr id="4" name="2 CuadroTexto">
          <a:extLst>
            <a:ext uri="{FF2B5EF4-FFF2-40B4-BE49-F238E27FC236}">
              <a16:creationId xmlns:a16="http://schemas.microsoft.com/office/drawing/2014/main" id="{00000000-0008-0000-2000-000004000000}"/>
            </a:ext>
          </a:extLst>
        </xdr:cNvPr>
        <xdr:cNvSpPr txBox="1"/>
      </xdr:nvSpPr>
      <xdr:spPr>
        <a:xfrm>
          <a:off x="5988478" y="0"/>
          <a:ext cx="184731"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endParaRPr lang="es-MX" sz="1100" b="1">
            <a:latin typeface="Arial" pitchFamily="34" charset="0"/>
            <a:cs typeface="Arial" pitchFamily="34" charset="0"/>
          </a:endParaRPr>
        </a:p>
      </xdr:txBody>
    </xdr:sp>
    <xdr:clientData/>
  </xdr:oneCellAnchor>
  <xdr:oneCellAnchor>
    <xdr:from>
      <xdr:col>3</xdr:col>
      <xdr:colOff>0</xdr:colOff>
      <xdr:row>2</xdr:row>
      <xdr:rowOff>142875</xdr:rowOff>
    </xdr:from>
    <xdr:ext cx="184731" cy="264560"/>
    <xdr:sp macro="" textlink="">
      <xdr:nvSpPr>
        <xdr:cNvPr id="5" name="4 CuadroTexto">
          <a:extLst>
            <a:ext uri="{FF2B5EF4-FFF2-40B4-BE49-F238E27FC236}">
              <a16:creationId xmlns:a16="http://schemas.microsoft.com/office/drawing/2014/main" id="{00000000-0008-0000-2000-000005000000}"/>
            </a:ext>
          </a:extLst>
        </xdr:cNvPr>
        <xdr:cNvSpPr txBox="1"/>
      </xdr:nvSpPr>
      <xdr:spPr>
        <a:xfrm>
          <a:off x="4171950" y="77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2</xdr:col>
      <xdr:colOff>180975</xdr:colOff>
      <xdr:row>2</xdr:row>
      <xdr:rowOff>28574</xdr:rowOff>
    </xdr:from>
    <xdr:ext cx="2886075" cy="409575"/>
    <xdr:sp macro="" textlink="">
      <xdr:nvSpPr>
        <xdr:cNvPr id="9" name="8 CuadroTexto">
          <a:extLst>
            <a:ext uri="{FF2B5EF4-FFF2-40B4-BE49-F238E27FC236}">
              <a16:creationId xmlns:a16="http://schemas.microsoft.com/office/drawing/2014/main" id="{00000000-0008-0000-2000-000009000000}"/>
            </a:ext>
          </a:extLst>
        </xdr:cNvPr>
        <xdr:cNvSpPr txBox="1"/>
      </xdr:nvSpPr>
      <xdr:spPr>
        <a:xfrm>
          <a:off x="3200400" y="447674"/>
          <a:ext cx="2886075" cy="40957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lang="es-MX" sz="1100" b="1">
              <a:latin typeface="Arial" pitchFamily="34" charset="0"/>
              <a:cs typeface="Arial" pitchFamily="34" charset="0"/>
            </a:rPr>
            <a:t>CUENTA PÚBLICA 2023</a:t>
          </a:r>
        </a:p>
      </xdr:txBody>
    </xdr:sp>
    <xdr:clientData/>
  </xdr:oneCellAnchor>
  <xdr:twoCellAnchor>
    <xdr:from>
      <xdr:col>2</xdr:col>
      <xdr:colOff>367393</xdr:colOff>
      <xdr:row>26</xdr:row>
      <xdr:rowOff>133350</xdr:rowOff>
    </xdr:from>
    <xdr:to>
      <xdr:col>4</xdr:col>
      <xdr:colOff>1019175</xdr:colOff>
      <xdr:row>30</xdr:row>
      <xdr:rowOff>182336</xdr:rowOff>
    </xdr:to>
    <xdr:sp macro="" textlink="">
      <xdr:nvSpPr>
        <xdr:cNvPr id="2" name="4 CuadroTexto">
          <a:extLst>
            <a:ext uri="{FF2B5EF4-FFF2-40B4-BE49-F238E27FC236}">
              <a16:creationId xmlns:a16="http://schemas.microsoft.com/office/drawing/2014/main" id="{F0A044D3-4B3A-4C20-BC02-DCE5CB607C3D}"/>
            </a:ext>
          </a:extLst>
        </xdr:cNvPr>
        <xdr:cNvSpPr txBox="1"/>
      </xdr:nvSpPr>
      <xdr:spPr>
        <a:xfrm>
          <a:off x="3386818" y="6076950"/>
          <a:ext cx="2747282" cy="991961"/>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900" b="0" i="0" u="none" strike="noStrike" kern="0" cap="none" spc="0" normalizeH="0" baseline="0" noProof="0">
              <a:ln>
                <a:noFill/>
              </a:ln>
              <a:solidFill>
                <a:sysClr val="window" lastClr="FFFFFF"/>
              </a:solidFill>
              <a:effectLst/>
              <a:uLnTx/>
              <a:uFillTx/>
              <a:latin typeface="Calibri" panose="020F0502020204030204"/>
              <a:ea typeface="+mn-ea"/>
              <a:cs typeface="+mn-cs"/>
            </a:rPr>
            <a:t>====================================================================   </a:t>
          </a: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900" b="1" i="0" u="sng" strike="noStrike" kern="0" cap="none" spc="0" normalizeH="0" baseline="0" noProof="0">
              <a:ln>
                <a:noFill/>
              </a:ln>
              <a:solidFill>
                <a:sysClr val="windowText" lastClr="000000"/>
              </a:solidFill>
              <a:effectLst/>
              <a:uLnTx/>
              <a:uFillTx/>
              <a:latin typeface="Calibri" panose="020F0502020204030204"/>
              <a:ea typeface="+mn-ea"/>
              <a:cs typeface="+mn-cs"/>
            </a:rPr>
            <a:t>C.P. REBECA I. LAGUNA FIGUEROA</a:t>
          </a: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900" b="1" i="0" u="none" strike="noStrike" kern="0" cap="none" spc="0" normalizeH="0" baseline="0" noProof="0">
              <a:ln>
                <a:noFill/>
              </a:ln>
              <a:solidFill>
                <a:sysClr val="windowText" lastClr="000000"/>
              </a:solidFill>
              <a:effectLst/>
              <a:uLnTx/>
              <a:uFillTx/>
              <a:latin typeface="Calibri" panose="020F0502020204030204"/>
              <a:ea typeface="+mn-ea"/>
              <a:cs typeface="+mn-cs"/>
            </a:rPr>
            <a:t>DIRECTORA GENERAL DE ADMINISTRACION Y FINANZAS </a:t>
          </a:r>
        </a:p>
      </xdr:txBody>
    </xdr:sp>
    <xdr:clientData/>
  </xdr:twoCellAnchor>
  <xdr:oneCellAnchor>
    <xdr:from>
      <xdr:col>0</xdr:col>
      <xdr:colOff>0</xdr:colOff>
      <xdr:row>26</xdr:row>
      <xdr:rowOff>223775</xdr:rowOff>
    </xdr:from>
    <xdr:ext cx="2823483" cy="877661"/>
    <xdr:sp macro="" textlink="">
      <xdr:nvSpPr>
        <xdr:cNvPr id="3" name="CuadroTexto 5">
          <a:extLst>
            <a:ext uri="{FF2B5EF4-FFF2-40B4-BE49-F238E27FC236}">
              <a16:creationId xmlns:a16="http://schemas.microsoft.com/office/drawing/2014/main" id="{720AB885-0EB6-4C64-A8A7-89ABB07EBC95}"/>
            </a:ext>
          </a:extLst>
        </xdr:cNvPr>
        <xdr:cNvSpPr txBox="1"/>
      </xdr:nvSpPr>
      <xdr:spPr>
        <a:xfrm>
          <a:off x="0" y="6167375"/>
          <a:ext cx="2823483" cy="877661"/>
        </a:xfrm>
        <a:prstGeom prst="rect">
          <a:avLst/>
        </a:prstGeom>
        <a:noFill/>
        <a:ln>
          <a:noFill/>
        </a:ln>
        <a:effectLst/>
      </xdr:spPr>
      <xdr:txBody>
        <a:bodyPr vertOverflow="clip" horzOverflow="clip" wrap="non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a:ln>
              <a:noFill/>
            </a:ln>
            <a:solidFill>
              <a:prstClr val="black"/>
            </a:solidFill>
            <a:effectLst/>
            <a:uLnTx/>
            <a:uFillTx/>
            <a:latin typeface="Calibri" panose="020F0502020204030204"/>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1" i="0" u="sng" strike="noStrike" kern="0" cap="none" spc="0" normalizeH="0" baseline="0" noProof="0">
              <a:ln>
                <a:noFill/>
              </a:ln>
              <a:solidFill>
                <a:prstClr val="black"/>
              </a:solidFill>
              <a:effectLst/>
              <a:uLnTx/>
              <a:uFillTx/>
              <a:latin typeface="Calibri" panose="020F0502020204030204"/>
              <a:ea typeface="+mn-ea"/>
              <a:cs typeface="+mn-cs"/>
            </a:rPr>
            <a:t>LIC. ISMAEL NORZAGARAY MICHEL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prstClr val="black"/>
              </a:solidFill>
              <a:effectLst/>
              <a:uLnTx/>
              <a:uFillTx/>
              <a:latin typeface="Calibri" panose="020F0502020204030204"/>
              <a:ea typeface="+mn-ea"/>
              <a:cs typeface="+mn-cs"/>
            </a:rPr>
            <a:t>DIRECTOR ADMINISTRATIVO </a:t>
          </a:r>
          <a:endParaRPr kumimoji="0" lang="es-ES" sz="1000" b="0" i="0" u="none" strike="noStrike" kern="0" cap="none" spc="0" normalizeH="0" baseline="0" noProof="0">
            <a:ln>
              <a:noFill/>
            </a:ln>
            <a:solidFill>
              <a:prstClr val="black"/>
            </a:solidFill>
            <a:effectLst/>
            <a:uLnTx/>
            <a:uFillTx/>
            <a:latin typeface="Calibri" panose="020F0502020204030204"/>
            <a:ea typeface="+mn-ea"/>
            <a:cs typeface="+mn-cs"/>
          </a:endParaRPr>
        </a:p>
      </xdr:txBody>
    </xdr:sp>
    <xdr:clientData/>
  </xdr:oneCellAnchor>
</xdr:wsDr>
</file>

<file path=xl/drawings/drawing34.xml><?xml version="1.0" encoding="utf-8"?>
<xdr:wsDr xmlns:xdr="http://schemas.openxmlformats.org/drawingml/2006/spreadsheetDrawing" xmlns:a="http://schemas.openxmlformats.org/drawingml/2006/main">
  <xdr:oneCellAnchor>
    <xdr:from>
      <xdr:col>3</xdr:col>
      <xdr:colOff>304800</xdr:colOff>
      <xdr:row>0</xdr:row>
      <xdr:rowOff>0</xdr:rowOff>
    </xdr:from>
    <xdr:ext cx="1477951" cy="254557"/>
    <xdr:sp macro="" textlink="">
      <xdr:nvSpPr>
        <xdr:cNvPr id="2" name="3 CuadroTexto">
          <a:extLst>
            <a:ext uri="{FF2B5EF4-FFF2-40B4-BE49-F238E27FC236}">
              <a16:creationId xmlns:a16="http://schemas.microsoft.com/office/drawing/2014/main" id="{00000000-0008-0000-2100-000002000000}"/>
            </a:ext>
          </a:extLst>
        </xdr:cNvPr>
        <xdr:cNvSpPr txBox="1"/>
      </xdr:nvSpPr>
      <xdr:spPr>
        <a:xfrm>
          <a:off x="5286375" y="0"/>
          <a:ext cx="1477951"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endParaRPr lang="es-MX" sz="1100" b="1">
            <a:latin typeface="Arial" pitchFamily="34" charset="0"/>
            <a:cs typeface="Arial" pitchFamily="34" charset="0"/>
          </a:endParaRPr>
        </a:p>
      </xdr:txBody>
    </xdr:sp>
    <xdr:clientData/>
  </xdr:oneCellAnchor>
  <xdr:oneCellAnchor>
    <xdr:from>
      <xdr:col>1</xdr:col>
      <xdr:colOff>3276600</xdr:colOff>
      <xdr:row>2</xdr:row>
      <xdr:rowOff>152400</xdr:rowOff>
    </xdr:from>
    <xdr:ext cx="3267075" cy="342900"/>
    <xdr:sp macro="" textlink="">
      <xdr:nvSpPr>
        <xdr:cNvPr id="8" name="7 CuadroTexto">
          <a:extLst>
            <a:ext uri="{FF2B5EF4-FFF2-40B4-BE49-F238E27FC236}">
              <a16:creationId xmlns:a16="http://schemas.microsoft.com/office/drawing/2014/main" id="{00000000-0008-0000-2100-000008000000}"/>
            </a:ext>
          </a:extLst>
        </xdr:cNvPr>
        <xdr:cNvSpPr txBox="1"/>
      </xdr:nvSpPr>
      <xdr:spPr>
        <a:xfrm>
          <a:off x="3362325" y="552450"/>
          <a:ext cx="3267075" cy="342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lang="es-MX" sz="1100" b="1">
              <a:latin typeface="Arial" pitchFamily="34" charset="0"/>
              <a:cs typeface="Arial" pitchFamily="34" charset="0"/>
            </a:rPr>
            <a:t>CUENTA PÚBLICA 2023</a:t>
          </a:r>
        </a:p>
      </xdr:txBody>
    </xdr:sp>
    <xdr:clientData/>
  </xdr:oneCellAnchor>
  <xdr:twoCellAnchor>
    <xdr:from>
      <xdr:col>1</xdr:col>
      <xdr:colOff>3653518</xdr:colOff>
      <xdr:row>87</xdr:row>
      <xdr:rowOff>47625</xdr:rowOff>
    </xdr:from>
    <xdr:to>
      <xdr:col>4</xdr:col>
      <xdr:colOff>552450</xdr:colOff>
      <xdr:row>92</xdr:row>
      <xdr:rowOff>77561</xdr:rowOff>
    </xdr:to>
    <xdr:sp macro="" textlink="">
      <xdr:nvSpPr>
        <xdr:cNvPr id="3" name="4 CuadroTexto">
          <a:extLst>
            <a:ext uri="{FF2B5EF4-FFF2-40B4-BE49-F238E27FC236}">
              <a16:creationId xmlns:a16="http://schemas.microsoft.com/office/drawing/2014/main" id="{CF5B3193-9CD1-409D-886B-16CF2A679E14}"/>
            </a:ext>
          </a:extLst>
        </xdr:cNvPr>
        <xdr:cNvSpPr txBox="1"/>
      </xdr:nvSpPr>
      <xdr:spPr>
        <a:xfrm>
          <a:off x="3739243" y="15935325"/>
          <a:ext cx="2747282" cy="991961"/>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900" b="0" i="0" u="none" strike="noStrike" kern="0" cap="none" spc="0" normalizeH="0" baseline="0" noProof="0">
              <a:ln>
                <a:noFill/>
              </a:ln>
              <a:solidFill>
                <a:sysClr val="window" lastClr="FFFFFF"/>
              </a:solidFill>
              <a:effectLst/>
              <a:uLnTx/>
              <a:uFillTx/>
              <a:latin typeface="Calibri" panose="020F0502020204030204"/>
              <a:ea typeface="+mn-ea"/>
              <a:cs typeface="+mn-cs"/>
            </a:rPr>
            <a:t>====================================================================   </a:t>
          </a: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900" b="1" i="0" u="sng" strike="noStrike" kern="0" cap="none" spc="0" normalizeH="0" baseline="0" noProof="0">
              <a:ln>
                <a:noFill/>
              </a:ln>
              <a:solidFill>
                <a:sysClr val="windowText" lastClr="000000"/>
              </a:solidFill>
              <a:effectLst/>
              <a:uLnTx/>
              <a:uFillTx/>
              <a:latin typeface="Calibri" panose="020F0502020204030204"/>
              <a:ea typeface="+mn-ea"/>
              <a:cs typeface="+mn-cs"/>
            </a:rPr>
            <a:t>C.P. REBECA I. LAGUNA FIGUEROA</a:t>
          </a: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900" b="1" i="0" u="none" strike="noStrike" kern="0" cap="none" spc="0" normalizeH="0" baseline="0" noProof="0">
              <a:ln>
                <a:noFill/>
              </a:ln>
              <a:solidFill>
                <a:sysClr val="windowText" lastClr="000000"/>
              </a:solidFill>
              <a:effectLst/>
              <a:uLnTx/>
              <a:uFillTx/>
              <a:latin typeface="Calibri" panose="020F0502020204030204"/>
              <a:ea typeface="+mn-ea"/>
              <a:cs typeface="+mn-cs"/>
            </a:rPr>
            <a:t>DIRECTORA GENERAL DE ADMINISTRACION Y FINANZAS </a:t>
          </a:r>
        </a:p>
      </xdr:txBody>
    </xdr:sp>
    <xdr:clientData/>
  </xdr:twoCellAnchor>
  <xdr:oneCellAnchor>
    <xdr:from>
      <xdr:col>0</xdr:col>
      <xdr:colOff>0</xdr:colOff>
      <xdr:row>87</xdr:row>
      <xdr:rowOff>119000</xdr:rowOff>
    </xdr:from>
    <xdr:ext cx="2823483" cy="877661"/>
    <xdr:sp macro="" textlink="">
      <xdr:nvSpPr>
        <xdr:cNvPr id="4" name="CuadroTexto 5">
          <a:extLst>
            <a:ext uri="{FF2B5EF4-FFF2-40B4-BE49-F238E27FC236}">
              <a16:creationId xmlns:a16="http://schemas.microsoft.com/office/drawing/2014/main" id="{EEA6C1D6-9E31-40A7-96CD-41CF4852E3F2}"/>
            </a:ext>
          </a:extLst>
        </xdr:cNvPr>
        <xdr:cNvSpPr txBox="1"/>
      </xdr:nvSpPr>
      <xdr:spPr>
        <a:xfrm>
          <a:off x="0" y="16006700"/>
          <a:ext cx="2823483" cy="877661"/>
        </a:xfrm>
        <a:prstGeom prst="rect">
          <a:avLst/>
        </a:prstGeom>
        <a:noFill/>
        <a:ln>
          <a:noFill/>
        </a:ln>
        <a:effectLst/>
      </xdr:spPr>
      <xdr:txBody>
        <a:bodyPr vertOverflow="clip" horzOverflow="clip" wrap="non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a:ln>
              <a:noFill/>
            </a:ln>
            <a:solidFill>
              <a:prstClr val="black"/>
            </a:solidFill>
            <a:effectLst/>
            <a:uLnTx/>
            <a:uFillTx/>
            <a:latin typeface="Calibri" panose="020F0502020204030204"/>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1" i="0" u="sng" strike="noStrike" kern="0" cap="none" spc="0" normalizeH="0" baseline="0" noProof="0">
              <a:ln>
                <a:noFill/>
              </a:ln>
              <a:solidFill>
                <a:prstClr val="black"/>
              </a:solidFill>
              <a:effectLst/>
              <a:uLnTx/>
              <a:uFillTx/>
              <a:latin typeface="Calibri" panose="020F0502020204030204"/>
              <a:ea typeface="+mn-ea"/>
              <a:cs typeface="+mn-cs"/>
            </a:rPr>
            <a:t>LIC. ISMAEL NORZAGARAY MICHEL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prstClr val="black"/>
              </a:solidFill>
              <a:effectLst/>
              <a:uLnTx/>
              <a:uFillTx/>
              <a:latin typeface="Calibri" panose="020F0502020204030204"/>
              <a:ea typeface="+mn-ea"/>
              <a:cs typeface="+mn-cs"/>
            </a:rPr>
            <a:t>DIRECTOR ADMINISTRATIVO </a:t>
          </a:r>
          <a:endParaRPr kumimoji="0" lang="es-ES" sz="1000" b="0" i="0" u="none" strike="noStrike" kern="0" cap="none" spc="0" normalizeH="0" baseline="0" noProof="0">
            <a:ln>
              <a:noFill/>
            </a:ln>
            <a:solidFill>
              <a:prstClr val="black"/>
            </a:solidFill>
            <a:effectLst/>
            <a:uLnTx/>
            <a:uFillTx/>
            <a:latin typeface="Calibri" panose="020F0502020204030204"/>
            <a:ea typeface="+mn-ea"/>
            <a:cs typeface="+mn-cs"/>
          </a:endParaRPr>
        </a:p>
      </xdr:txBody>
    </xdr:sp>
    <xdr:clientData/>
  </xdr:oneCellAnchor>
</xdr:wsDr>
</file>

<file path=xl/drawings/drawing35.xml><?xml version="1.0" encoding="utf-8"?>
<xdr:wsDr xmlns:xdr="http://schemas.openxmlformats.org/drawingml/2006/spreadsheetDrawing" xmlns:a="http://schemas.openxmlformats.org/drawingml/2006/main">
  <xdr:oneCellAnchor>
    <xdr:from>
      <xdr:col>3</xdr:col>
      <xdr:colOff>219075</xdr:colOff>
      <xdr:row>0</xdr:row>
      <xdr:rowOff>0</xdr:rowOff>
    </xdr:from>
    <xdr:ext cx="1222708" cy="257174"/>
    <xdr:sp macro="" textlink="">
      <xdr:nvSpPr>
        <xdr:cNvPr id="3" name="2 CuadroTexto">
          <a:extLst>
            <a:ext uri="{FF2B5EF4-FFF2-40B4-BE49-F238E27FC236}">
              <a16:creationId xmlns:a16="http://schemas.microsoft.com/office/drawing/2014/main" id="{00000000-0008-0000-2200-000003000000}"/>
            </a:ext>
          </a:extLst>
        </xdr:cNvPr>
        <xdr:cNvSpPr txBox="1"/>
      </xdr:nvSpPr>
      <xdr:spPr>
        <a:xfrm>
          <a:off x="5200650" y="0"/>
          <a:ext cx="1222708" cy="25717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endParaRPr lang="es-MX" sz="1100" b="1">
            <a:latin typeface="Arial" pitchFamily="34" charset="0"/>
            <a:cs typeface="Arial" pitchFamily="34" charset="0"/>
          </a:endParaRPr>
        </a:p>
      </xdr:txBody>
    </xdr:sp>
    <xdr:clientData/>
  </xdr:oneCellAnchor>
  <xdr:oneCellAnchor>
    <xdr:from>
      <xdr:col>3</xdr:col>
      <xdr:colOff>0</xdr:colOff>
      <xdr:row>2</xdr:row>
      <xdr:rowOff>142875</xdr:rowOff>
    </xdr:from>
    <xdr:ext cx="184731" cy="264560"/>
    <xdr:sp macro="" textlink="">
      <xdr:nvSpPr>
        <xdr:cNvPr id="4" name="4 CuadroTexto">
          <a:extLst>
            <a:ext uri="{FF2B5EF4-FFF2-40B4-BE49-F238E27FC236}">
              <a16:creationId xmlns:a16="http://schemas.microsoft.com/office/drawing/2014/main" id="{00000000-0008-0000-2200-000004000000}"/>
            </a:ext>
          </a:extLst>
        </xdr:cNvPr>
        <xdr:cNvSpPr txBox="1"/>
      </xdr:nvSpPr>
      <xdr:spPr>
        <a:xfrm>
          <a:off x="4772025" y="77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2</xdr:col>
      <xdr:colOff>84667</xdr:colOff>
      <xdr:row>2</xdr:row>
      <xdr:rowOff>116417</xdr:rowOff>
    </xdr:from>
    <xdr:ext cx="3524250" cy="342900"/>
    <xdr:sp macro="" textlink="">
      <xdr:nvSpPr>
        <xdr:cNvPr id="9" name="8 CuadroTexto">
          <a:extLst>
            <a:ext uri="{FF2B5EF4-FFF2-40B4-BE49-F238E27FC236}">
              <a16:creationId xmlns:a16="http://schemas.microsoft.com/office/drawing/2014/main" id="{00000000-0008-0000-2200-000009000000}"/>
            </a:ext>
          </a:extLst>
        </xdr:cNvPr>
        <xdr:cNvSpPr txBox="1"/>
      </xdr:nvSpPr>
      <xdr:spPr>
        <a:xfrm>
          <a:off x="2963334" y="539750"/>
          <a:ext cx="3524250" cy="342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lang="es-MX" sz="1100" b="1">
              <a:latin typeface="Arial" pitchFamily="34" charset="0"/>
              <a:cs typeface="Arial" pitchFamily="34" charset="0"/>
            </a:rPr>
            <a:t>CUENTA PÚBLICA 2023</a:t>
          </a:r>
        </a:p>
      </xdr:txBody>
    </xdr:sp>
    <xdr:clientData/>
  </xdr:oneCellAnchor>
  <xdr:twoCellAnchor>
    <xdr:from>
      <xdr:col>2</xdr:col>
      <xdr:colOff>671133</xdr:colOff>
      <xdr:row>23</xdr:row>
      <xdr:rowOff>381000</xdr:rowOff>
    </xdr:from>
    <xdr:to>
      <xdr:col>3</xdr:col>
      <xdr:colOff>1301749</xdr:colOff>
      <xdr:row>28</xdr:row>
      <xdr:rowOff>124128</xdr:rowOff>
    </xdr:to>
    <xdr:sp macro="" textlink="">
      <xdr:nvSpPr>
        <xdr:cNvPr id="2" name="4 CuadroTexto">
          <a:extLst>
            <a:ext uri="{FF2B5EF4-FFF2-40B4-BE49-F238E27FC236}">
              <a16:creationId xmlns:a16="http://schemas.microsoft.com/office/drawing/2014/main" id="{0267732B-FC68-4C14-B489-6EA34E090933}"/>
            </a:ext>
          </a:extLst>
        </xdr:cNvPr>
        <xdr:cNvSpPr txBox="1"/>
      </xdr:nvSpPr>
      <xdr:spPr>
        <a:xfrm>
          <a:off x="3549800" y="8540750"/>
          <a:ext cx="2747282" cy="991961"/>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900" b="0" i="0" u="none" strike="noStrike" kern="0" cap="none" spc="0" normalizeH="0" baseline="0" noProof="0">
              <a:ln>
                <a:noFill/>
              </a:ln>
              <a:solidFill>
                <a:sysClr val="window" lastClr="FFFFFF"/>
              </a:solidFill>
              <a:effectLst/>
              <a:uLnTx/>
              <a:uFillTx/>
              <a:latin typeface="Calibri" panose="020F0502020204030204"/>
              <a:ea typeface="+mn-ea"/>
              <a:cs typeface="+mn-cs"/>
            </a:rPr>
            <a:t>====================================================================   </a:t>
          </a: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900" b="1" i="0" u="sng" strike="noStrike" kern="0" cap="none" spc="0" normalizeH="0" baseline="0" noProof="0">
              <a:ln>
                <a:noFill/>
              </a:ln>
              <a:solidFill>
                <a:sysClr val="windowText" lastClr="000000"/>
              </a:solidFill>
              <a:effectLst/>
              <a:uLnTx/>
              <a:uFillTx/>
              <a:latin typeface="Calibri" panose="020F0502020204030204"/>
              <a:ea typeface="+mn-ea"/>
              <a:cs typeface="+mn-cs"/>
            </a:rPr>
            <a:t>C.P. REBECA I. LAGUNA FIGUEROA</a:t>
          </a: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900" b="1" i="0" u="none" strike="noStrike" kern="0" cap="none" spc="0" normalizeH="0" baseline="0" noProof="0">
              <a:ln>
                <a:noFill/>
              </a:ln>
              <a:solidFill>
                <a:sysClr val="windowText" lastClr="000000"/>
              </a:solidFill>
              <a:effectLst/>
              <a:uLnTx/>
              <a:uFillTx/>
              <a:latin typeface="Calibri" panose="020F0502020204030204"/>
              <a:ea typeface="+mn-ea"/>
              <a:cs typeface="+mn-cs"/>
            </a:rPr>
            <a:t>DIRECTORA GENERAL DE ADMINISTRACION Y FINANZAS </a:t>
          </a:r>
        </a:p>
      </xdr:txBody>
    </xdr:sp>
    <xdr:clientData/>
  </xdr:twoCellAnchor>
  <xdr:oneCellAnchor>
    <xdr:from>
      <xdr:col>0</xdr:col>
      <xdr:colOff>0</xdr:colOff>
      <xdr:row>24</xdr:row>
      <xdr:rowOff>75608</xdr:rowOff>
    </xdr:from>
    <xdr:ext cx="2823483" cy="877661"/>
    <xdr:sp macro="" textlink="">
      <xdr:nvSpPr>
        <xdr:cNvPr id="6" name="CuadroTexto 5">
          <a:extLst>
            <a:ext uri="{FF2B5EF4-FFF2-40B4-BE49-F238E27FC236}">
              <a16:creationId xmlns:a16="http://schemas.microsoft.com/office/drawing/2014/main" id="{788966A8-11F9-4CEB-A24D-45E6F886D150}"/>
            </a:ext>
          </a:extLst>
        </xdr:cNvPr>
        <xdr:cNvSpPr txBox="1"/>
      </xdr:nvSpPr>
      <xdr:spPr>
        <a:xfrm>
          <a:off x="0" y="8637525"/>
          <a:ext cx="2823483" cy="877661"/>
        </a:xfrm>
        <a:prstGeom prst="rect">
          <a:avLst/>
        </a:prstGeom>
        <a:noFill/>
        <a:ln>
          <a:noFill/>
        </a:ln>
        <a:effectLst/>
      </xdr:spPr>
      <xdr:txBody>
        <a:bodyPr vertOverflow="clip" horzOverflow="clip" wrap="non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a:ln>
              <a:noFill/>
            </a:ln>
            <a:solidFill>
              <a:prstClr val="black"/>
            </a:solidFill>
            <a:effectLst/>
            <a:uLnTx/>
            <a:uFillTx/>
            <a:latin typeface="Calibri" panose="020F0502020204030204"/>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1" i="0" u="sng" strike="noStrike" kern="0" cap="none" spc="0" normalizeH="0" baseline="0" noProof="0">
              <a:ln>
                <a:noFill/>
              </a:ln>
              <a:solidFill>
                <a:prstClr val="black"/>
              </a:solidFill>
              <a:effectLst/>
              <a:uLnTx/>
              <a:uFillTx/>
              <a:latin typeface="Calibri" panose="020F0502020204030204"/>
              <a:ea typeface="+mn-ea"/>
              <a:cs typeface="+mn-cs"/>
            </a:rPr>
            <a:t>LIC. ISMAEL NORZAGARAY MICHEL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prstClr val="black"/>
              </a:solidFill>
              <a:effectLst/>
              <a:uLnTx/>
              <a:uFillTx/>
              <a:latin typeface="Calibri" panose="020F0502020204030204"/>
              <a:ea typeface="+mn-ea"/>
              <a:cs typeface="+mn-cs"/>
            </a:rPr>
            <a:t>DIRECTOR ADMINISTRATIVO </a:t>
          </a:r>
          <a:endParaRPr kumimoji="0" lang="es-ES" sz="1000" b="0" i="0" u="none" strike="noStrike" kern="0" cap="none" spc="0" normalizeH="0" baseline="0" noProof="0">
            <a:ln>
              <a:noFill/>
            </a:ln>
            <a:solidFill>
              <a:prstClr val="black"/>
            </a:solidFill>
            <a:effectLst/>
            <a:uLnTx/>
            <a:uFillTx/>
            <a:latin typeface="Calibri" panose="020F0502020204030204"/>
            <a:ea typeface="+mn-ea"/>
            <a:cs typeface="+mn-cs"/>
          </a:endParaRPr>
        </a:p>
      </xdr:txBody>
    </xdr:sp>
    <xdr:clientData/>
  </xdr:oneCellAnchor>
</xdr:wsDr>
</file>

<file path=xl/drawings/drawing36.xml><?xml version="1.0" encoding="utf-8"?>
<xdr:wsDr xmlns:xdr="http://schemas.openxmlformats.org/drawingml/2006/spreadsheetDrawing" xmlns:a="http://schemas.openxmlformats.org/drawingml/2006/main">
  <xdr:twoCellAnchor>
    <xdr:from>
      <xdr:col>1</xdr:col>
      <xdr:colOff>0</xdr:colOff>
      <xdr:row>1943</xdr:row>
      <xdr:rowOff>0</xdr:rowOff>
    </xdr:from>
    <xdr:to>
      <xdr:col>2</xdr:col>
      <xdr:colOff>180975</xdr:colOff>
      <xdr:row>1943</xdr:row>
      <xdr:rowOff>0</xdr:rowOff>
    </xdr:to>
    <xdr:pic>
      <xdr:nvPicPr>
        <xdr:cNvPr id="2" name="Picture 3" descr="Logo CEA hoja membretada">
          <a:extLst>
            <a:ext uri="{FF2B5EF4-FFF2-40B4-BE49-F238E27FC236}">
              <a16:creationId xmlns:a16="http://schemas.microsoft.com/office/drawing/2014/main" id="{BD08336B-D100-4A8B-BA07-3EC49633CA2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42900" y="685038000"/>
          <a:ext cx="2647950" cy="0"/>
        </a:xfrm>
        <a:prstGeom prst="rect">
          <a:avLst/>
        </a:prstGeom>
        <a:noFill/>
        <a:ln w="9525">
          <a:noFill/>
          <a:miter lim="800000"/>
          <a:headEnd/>
          <a:tailEnd/>
        </a:ln>
      </xdr:spPr>
    </xdr:pic>
    <xdr:clientData/>
  </xdr:twoCellAnchor>
  <xdr:twoCellAnchor>
    <xdr:from>
      <xdr:col>1</xdr:col>
      <xdr:colOff>0</xdr:colOff>
      <xdr:row>1943</xdr:row>
      <xdr:rowOff>0</xdr:rowOff>
    </xdr:from>
    <xdr:to>
      <xdr:col>2</xdr:col>
      <xdr:colOff>180975</xdr:colOff>
      <xdr:row>1943</xdr:row>
      <xdr:rowOff>0</xdr:rowOff>
    </xdr:to>
    <xdr:pic>
      <xdr:nvPicPr>
        <xdr:cNvPr id="3" name="Picture 5" descr="Logo CEA hoja membretada">
          <a:extLst>
            <a:ext uri="{FF2B5EF4-FFF2-40B4-BE49-F238E27FC236}">
              <a16:creationId xmlns:a16="http://schemas.microsoft.com/office/drawing/2014/main" id="{62E0C6EF-5B28-41E8-AF3A-00A1F7DE79A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42900" y="685038000"/>
          <a:ext cx="2647950" cy="0"/>
        </a:xfrm>
        <a:prstGeom prst="rect">
          <a:avLst/>
        </a:prstGeom>
        <a:noFill/>
        <a:ln w="9525">
          <a:noFill/>
          <a:miter lim="800000"/>
          <a:headEnd/>
          <a:tailEnd/>
        </a:ln>
      </xdr:spPr>
    </xdr:pic>
    <xdr:clientData/>
  </xdr:twoCellAnchor>
  <xdr:twoCellAnchor>
    <xdr:from>
      <xdr:col>1</xdr:col>
      <xdr:colOff>0</xdr:colOff>
      <xdr:row>1943</xdr:row>
      <xdr:rowOff>0</xdr:rowOff>
    </xdr:from>
    <xdr:to>
      <xdr:col>2</xdr:col>
      <xdr:colOff>180975</xdr:colOff>
      <xdr:row>1943</xdr:row>
      <xdr:rowOff>0</xdr:rowOff>
    </xdr:to>
    <xdr:pic>
      <xdr:nvPicPr>
        <xdr:cNvPr id="4" name="Picture 7" descr="Logo CEA hoja membretada">
          <a:extLst>
            <a:ext uri="{FF2B5EF4-FFF2-40B4-BE49-F238E27FC236}">
              <a16:creationId xmlns:a16="http://schemas.microsoft.com/office/drawing/2014/main" id="{F6B8062C-065D-4FB2-BA07-BA89E1A2BB4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42900" y="685038000"/>
          <a:ext cx="2647950" cy="0"/>
        </a:xfrm>
        <a:prstGeom prst="rect">
          <a:avLst/>
        </a:prstGeom>
        <a:noFill/>
        <a:ln w="9525">
          <a:noFill/>
          <a:miter lim="800000"/>
          <a:headEnd/>
          <a:tailEnd/>
        </a:ln>
      </xdr:spPr>
    </xdr:pic>
    <xdr:clientData/>
  </xdr:twoCellAnchor>
  <xdr:twoCellAnchor>
    <xdr:from>
      <xdr:col>1</xdr:col>
      <xdr:colOff>0</xdr:colOff>
      <xdr:row>1943</xdr:row>
      <xdr:rowOff>0</xdr:rowOff>
    </xdr:from>
    <xdr:to>
      <xdr:col>2</xdr:col>
      <xdr:colOff>180975</xdr:colOff>
      <xdr:row>1943</xdr:row>
      <xdr:rowOff>0</xdr:rowOff>
    </xdr:to>
    <xdr:pic>
      <xdr:nvPicPr>
        <xdr:cNvPr id="5" name="Picture 9" descr="Logo CEA hoja membretada">
          <a:extLst>
            <a:ext uri="{FF2B5EF4-FFF2-40B4-BE49-F238E27FC236}">
              <a16:creationId xmlns:a16="http://schemas.microsoft.com/office/drawing/2014/main" id="{025C543B-C11B-4276-8C45-6F768DA7521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42900" y="685038000"/>
          <a:ext cx="2647950" cy="0"/>
        </a:xfrm>
        <a:prstGeom prst="rect">
          <a:avLst/>
        </a:prstGeom>
        <a:noFill/>
        <a:ln w="9525">
          <a:noFill/>
          <a:miter lim="800000"/>
          <a:headEnd/>
          <a:tailEnd/>
        </a:ln>
      </xdr:spPr>
    </xdr:pic>
    <xdr:clientData/>
  </xdr:twoCellAnchor>
  <xdr:twoCellAnchor>
    <xdr:from>
      <xdr:col>1</xdr:col>
      <xdr:colOff>0</xdr:colOff>
      <xdr:row>1943</xdr:row>
      <xdr:rowOff>0</xdr:rowOff>
    </xdr:from>
    <xdr:to>
      <xdr:col>2</xdr:col>
      <xdr:colOff>180975</xdr:colOff>
      <xdr:row>1943</xdr:row>
      <xdr:rowOff>0</xdr:rowOff>
    </xdr:to>
    <xdr:pic>
      <xdr:nvPicPr>
        <xdr:cNvPr id="6" name="Picture 11" descr="Logo CEA hoja membretada">
          <a:extLst>
            <a:ext uri="{FF2B5EF4-FFF2-40B4-BE49-F238E27FC236}">
              <a16:creationId xmlns:a16="http://schemas.microsoft.com/office/drawing/2014/main" id="{320635C0-8B83-4D7A-BDDC-0362025859B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42900" y="685038000"/>
          <a:ext cx="2647950" cy="0"/>
        </a:xfrm>
        <a:prstGeom prst="rect">
          <a:avLst/>
        </a:prstGeom>
        <a:noFill/>
        <a:ln w="9525">
          <a:noFill/>
          <a:miter lim="800000"/>
          <a:headEnd/>
          <a:tailEnd/>
        </a:ln>
      </xdr:spPr>
    </xdr:pic>
    <xdr:clientData/>
  </xdr:twoCellAnchor>
  <xdr:twoCellAnchor>
    <xdr:from>
      <xdr:col>1</xdr:col>
      <xdr:colOff>0</xdr:colOff>
      <xdr:row>1943</xdr:row>
      <xdr:rowOff>0</xdr:rowOff>
    </xdr:from>
    <xdr:to>
      <xdr:col>2</xdr:col>
      <xdr:colOff>180975</xdr:colOff>
      <xdr:row>1943</xdr:row>
      <xdr:rowOff>0</xdr:rowOff>
    </xdr:to>
    <xdr:pic>
      <xdr:nvPicPr>
        <xdr:cNvPr id="7" name="Picture 13" descr="Logo CEA hoja membretada">
          <a:extLst>
            <a:ext uri="{FF2B5EF4-FFF2-40B4-BE49-F238E27FC236}">
              <a16:creationId xmlns:a16="http://schemas.microsoft.com/office/drawing/2014/main" id="{EBB9A883-0FBA-40DB-80CD-1BC59876A36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42900" y="685038000"/>
          <a:ext cx="2647950" cy="0"/>
        </a:xfrm>
        <a:prstGeom prst="rect">
          <a:avLst/>
        </a:prstGeom>
        <a:noFill/>
        <a:ln w="9525">
          <a:noFill/>
          <a:miter lim="800000"/>
          <a:headEnd/>
          <a:tailEnd/>
        </a:ln>
      </xdr:spPr>
    </xdr:pic>
    <xdr:clientData/>
  </xdr:twoCellAnchor>
  <xdr:twoCellAnchor>
    <xdr:from>
      <xdr:col>1</xdr:col>
      <xdr:colOff>0</xdr:colOff>
      <xdr:row>2007</xdr:row>
      <xdr:rowOff>0</xdr:rowOff>
    </xdr:from>
    <xdr:to>
      <xdr:col>2</xdr:col>
      <xdr:colOff>180975</xdr:colOff>
      <xdr:row>2007</xdr:row>
      <xdr:rowOff>0</xdr:rowOff>
    </xdr:to>
    <xdr:pic>
      <xdr:nvPicPr>
        <xdr:cNvPr id="8" name="Picture 3" descr="Logo CEA hoja membretada">
          <a:extLst>
            <a:ext uri="{FF2B5EF4-FFF2-40B4-BE49-F238E27FC236}">
              <a16:creationId xmlns:a16="http://schemas.microsoft.com/office/drawing/2014/main" id="{772B5F89-E361-44A9-8715-5D63FB73F2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 y="709479150"/>
          <a:ext cx="26479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2007</xdr:row>
      <xdr:rowOff>0</xdr:rowOff>
    </xdr:from>
    <xdr:to>
      <xdr:col>2</xdr:col>
      <xdr:colOff>180975</xdr:colOff>
      <xdr:row>2007</xdr:row>
      <xdr:rowOff>0</xdr:rowOff>
    </xdr:to>
    <xdr:pic>
      <xdr:nvPicPr>
        <xdr:cNvPr id="9" name="Picture 5" descr="Logo CEA hoja membretada">
          <a:extLst>
            <a:ext uri="{FF2B5EF4-FFF2-40B4-BE49-F238E27FC236}">
              <a16:creationId xmlns:a16="http://schemas.microsoft.com/office/drawing/2014/main" id="{D05B07BE-5D0D-44C5-A801-AC4E79F951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 y="709479150"/>
          <a:ext cx="26479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2007</xdr:row>
      <xdr:rowOff>0</xdr:rowOff>
    </xdr:from>
    <xdr:to>
      <xdr:col>2</xdr:col>
      <xdr:colOff>180975</xdr:colOff>
      <xdr:row>2007</xdr:row>
      <xdr:rowOff>0</xdr:rowOff>
    </xdr:to>
    <xdr:pic>
      <xdr:nvPicPr>
        <xdr:cNvPr id="10" name="Picture 7" descr="Logo CEA hoja membretada">
          <a:extLst>
            <a:ext uri="{FF2B5EF4-FFF2-40B4-BE49-F238E27FC236}">
              <a16:creationId xmlns:a16="http://schemas.microsoft.com/office/drawing/2014/main" id="{1722F151-FD67-4364-973B-F601909475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 y="709479150"/>
          <a:ext cx="26479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2007</xdr:row>
      <xdr:rowOff>0</xdr:rowOff>
    </xdr:from>
    <xdr:to>
      <xdr:col>2</xdr:col>
      <xdr:colOff>180975</xdr:colOff>
      <xdr:row>2007</xdr:row>
      <xdr:rowOff>0</xdr:rowOff>
    </xdr:to>
    <xdr:pic>
      <xdr:nvPicPr>
        <xdr:cNvPr id="11" name="Picture 9" descr="Logo CEA hoja membretada">
          <a:extLst>
            <a:ext uri="{FF2B5EF4-FFF2-40B4-BE49-F238E27FC236}">
              <a16:creationId xmlns:a16="http://schemas.microsoft.com/office/drawing/2014/main" id="{1835AADE-485E-49B1-9C4D-0C544F78E2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 y="709479150"/>
          <a:ext cx="26479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2007</xdr:row>
      <xdr:rowOff>0</xdr:rowOff>
    </xdr:from>
    <xdr:to>
      <xdr:col>2</xdr:col>
      <xdr:colOff>180975</xdr:colOff>
      <xdr:row>2007</xdr:row>
      <xdr:rowOff>0</xdr:rowOff>
    </xdr:to>
    <xdr:pic>
      <xdr:nvPicPr>
        <xdr:cNvPr id="12" name="Picture 11" descr="Logo CEA hoja membretada">
          <a:extLst>
            <a:ext uri="{FF2B5EF4-FFF2-40B4-BE49-F238E27FC236}">
              <a16:creationId xmlns:a16="http://schemas.microsoft.com/office/drawing/2014/main" id="{5A814FF5-6BEB-4A85-9851-6167CBB9F3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 y="709479150"/>
          <a:ext cx="26479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2007</xdr:row>
      <xdr:rowOff>0</xdr:rowOff>
    </xdr:from>
    <xdr:to>
      <xdr:col>2</xdr:col>
      <xdr:colOff>180975</xdr:colOff>
      <xdr:row>2007</xdr:row>
      <xdr:rowOff>0</xdr:rowOff>
    </xdr:to>
    <xdr:pic>
      <xdr:nvPicPr>
        <xdr:cNvPr id="13" name="Picture 13" descr="Logo CEA hoja membretada">
          <a:extLst>
            <a:ext uri="{FF2B5EF4-FFF2-40B4-BE49-F238E27FC236}">
              <a16:creationId xmlns:a16="http://schemas.microsoft.com/office/drawing/2014/main" id="{38345B5C-A045-430F-A0B6-C86A9C46F6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 y="709479150"/>
          <a:ext cx="26479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190500</xdr:colOff>
      <xdr:row>0</xdr:row>
      <xdr:rowOff>0</xdr:rowOff>
    </xdr:from>
    <xdr:ext cx="1222708" cy="257174"/>
    <xdr:sp macro="" textlink="">
      <xdr:nvSpPr>
        <xdr:cNvPr id="14" name="2 CuadroTexto">
          <a:extLst>
            <a:ext uri="{FF2B5EF4-FFF2-40B4-BE49-F238E27FC236}">
              <a16:creationId xmlns:a16="http://schemas.microsoft.com/office/drawing/2014/main" id="{457B1B41-C208-4365-AF9E-34415322B8CC}"/>
            </a:ext>
          </a:extLst>
        </xdr:cNvPr>
        <xdr:cNvSpPr txBox="1"/>
      </xdr:nvSpPr>
      <xdr:spPr>
        <a:xfrm>
          <a:off x="5419725" y="0"/>
          <a:ext cx="1222708" cy="25717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lang="es-MX" sz="1100" b="1">
              <a:latin typeface="Arial" pitchFamily="34" charset="0"/>
              <a:cs typeface="Arial" pitchFamily="34" charset="0"/>
            </a:rPr>
            <a:t>CPCA-IV-04</a:t>
          </a:r>
        </a:p>
      </xdr:txBody>
    </xdr:sp>
    <xdr:clientData/>
  </xdr:oneCellAnchor>
  <xdr:oneCellAnchor>
    <xdr:from>
      <xdr:col>2</xdr:col>
      <xdr:colOff>1828801</xdr:colOff>
      <xdr:row>2</xdr:row>
      <xdr:rowOff>180975</xdr:rowOff>
    </xdr:from>
    <xdr:ext cx="1981200" cy="295276"/>
    <xdr:sp macro="" textlink="">
      <xdr:nvSpPr>
        <xdr:cNvPr id="15" name="6 CuadroTexto">
          <a:extLst>
            <a:ext uri="{FF2B5EF4-FFF2-40B4-BE49-F238E27FC236}">
              <a16:creationId xmlns:a16="http://schemas.microsoft.com/office/drawing/2014/main" id="{4D63B5DF-70A3-4225-9CCC-95B5E0FA131C}"/>
            </a:ext>
          </a:extLst>
        </xdr:cNvPr>
        <xdr:cNvSpPr txBox="1"/>
      </xdr:nvSpPr>
      <xdr:spPr>
        <a:xfrm>
          <a:off x="4638676" y="581025"/>
          <a:ext cx="1981200" cy="295276"/>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lang="es-MX" sz="1100" b="1">
              <a:latin typeface="Arial" pitchFamily="34" charset="0"/>
              <a:cs typeface="Arial" pitchFamily="34" charset="0"/>
            </a:rPr>
            <a:t>CUENTA</a:t>
          </a:r>
          <a:r>
            <a:rPr lang="es-MX" sz="1100" b="1" baseline="0">
              <a:latin typeface="Arial" pitchFamily="34" charset="0"/>
              <a:cs typeface="Arial" pitchFamily="34" charset="0"/>
            </a:rPr>
            <a:t> PÚBLICA: 2023 </a:t>
          </a:r>
        </a:p>
        <a:p>
          <a:pPr algn="r"/>
          <a:endParaRPr lang="es-MX" sz="1100" b="1">
            <a:latin typeface="Arial" pitchFamily="34" charset="0"/>
            <a:cs typeface="Arial" pitchFamily="34" charset="0"/>
          </a:endParaRPr>
        </a:p>
      </xdr:txBody>
    </xdr:sp>
    <xdr:clientData/>
  </xdr:oneCellAnchor>
  <xdr:twoCellAnchor>
    <xdr:from>
      <xdr:col>1</xdr:col>
      <xdr:colOff>0</xdr:colOff>
      <xdr:row>1937</xdr:row>
      <xdr:rowOff>0</xdr:rowOff>
    </xdr:from>
    <xdr:to>
      <xdr:col>2</xdr:col>
      <xdr:colOff>180975</xdr:colOff>
      <xdr:row>1937</xdr:row>
      <xdr:rowOff>0</xdr:rowOff>
    </xdr:to>
    <xdr:pic>
      <xdr:nvPicPr>
        <xdr:cNvPr id="16" name="Picture 3" descr="Logo CEA hoja membretada">
          <a:extLst>
            <a:ext uri="{FF2B5EF4-FFF2-40B4-BE49-F238E27FC236}">
              <a16:creationId xmlns:a16="http://schemas.microsoft.com/office/drawing/2014/main" id="{622892F0-8D1C-4644-AF5D-9FF1385378B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42900" y="683418750"/>
          <a:ext cx="2647950" cy="0"/>
        </a:xfrm>
        <a:prstGeom prst="rect">
          <a:avLst/>
        </a:prstGeom>
        <a:noFill/>
        <a:ln w="9525">
          <a:noFill/>
          <a:miter lim="800000"/>
          <a:headEnd/>
          <a:tailEnd/>
        </a:ln>
      </xdr:spPr>
    </xdr:pic>
    <xdr:clientData/>
  </xdr:twoCellAnchor>
  <xdr:twoCellAnchor>
    <xdr:from>
      <xdr:col>1</xdr:col>
      <xdr:colOff>0</xdr:colOff>
      <xdr:row>1937</xdr:row>
      <xdr:rowOff>0</xdr:rowOff>
    </xdr:from>
    <xdr:to>
      <xdr:col>2</xdr:col>
      <xdr:colOff>180975</xdr:colOff>
      <xdr:row>1937</xdr:row>
      <xdr:rowOff>0</xdr:rowOff>
    </xdr:to>
    <xdr:pic>
      <xdr:nvPicPr>
        <xdr:cNvPr id="17" name="Picture 5" descr="Logo CEA hoja membretada">
          <a:extLst>
            <a:ext uri="{FF2B5EF4-FFF2-40B4-BE49-F238E27FC236}">
              <a16:creationId xmlns:a16="http://schemas.microsoft.com/office/drawing/2014/main" id="{8D8CEB10-F03B-42FE-BEF9-9AD775AC1ED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42900" y="683418750"/>
          <a:ext cx="2647950" cy="0"/>
        </a:xfrm>
        <a:prstGeom prst="rect">
          <a:avLst/>
        </a:prstGeom>
        <a:noFill/>
        <a:ln w="9525">
          <a:noFill/>
          <a:miter lim="800000"/>
          <a:headEnd/>
          <a:tailEnd/>
        </a:ln>
      </xdr:spPr>
    </xdr:pic>
    <xdr:clientData/>
  </xdr:twoCellAnchor>
  <xdr:twoCellAnchor>
    <xdr:from>
      <xdr:col>1</xdr:col>
      <xdr:colOff>0</xdr:colOff>
      <xdr:row>1937</xdr:row>
      <xdr:rowOff>0</xdr:rowOff>
    </xdr:from>
    <xdr:to>
      <xdr:col>2</xdr:col>
      <xdr:colOff>180975</xdr:colOff>
      <xdr:row>1937</xdr:row>
      <xdr:rowOff>0</xdr:rowOff>
    </xdr:to>
    <xdr:pic>
      <xdr:nvPicPr>
        <xdr:cNvPr id="18" name="Picture 7" descr="Logo CEA hoja membretada">
          <a:extLst>
            <a:ext uri="{FF2B5EF4-FFF2-40B4-BE49-F238E27FC236}">
              <a16:creationId xmlns:a16="http://schemas.microsoft.com/office/drawing/2014/main" id="{3D93D4F3-FEBC-48BE-BF62-8C7EBAC0B34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42900" y="683418750"/>
          <a:ext cx="2647950" cy="0"/>
        </a:xfrm>
        <a:prstGeom prst="rect">
          <a:avLst/>
        </a:prstGeom>
        <a:noFill/>
        <a:ln w="9525">
          <a:noFill/>
          <a:miter lim="800000"/>
          <a:headEnd/>
          <a:tailEnd/>
        </a:ln>
      </xdr:spPr>
    </xdr:pic>
    <xdr:clientData/>
  </xdr:twoCellAnchor>
  <xdr:twoCellAnchor>
    <xdr:from>
      <xdr:col>1</xdr:col>
      <xdr:colOff>0</xdr:colOff>
      <xdr:row>1937</xdr:row>
      <xdr:rowOff>0</xdr:rowOff>
    </xdr:from>
    <xdr:to>
      <xdr:col>2</xdr:col>
      <xdr:colOff>180975</xdr:colOff>
      <xdr:row>1937</xdr:row>
      <xdr:rowOff>0</xdr:rowOff>
    </xdr:to>
    <xdr:pic>
      <xdr:nvPicPr>
        <xdr:cNvPr id="19" name="Picture 9" descr="Logo CEA hoja membretada">
          <a:extLst>
            <a:ext uri="{FF2B5EF4-FFF2-40B4-BE49-F238E27FC236}">
              <a16:creationId xmlns:a16="http://schemas.microsoft.com/office/drawing/2014/main" id="{AFDC5B64-ADB7-4CBD-89F9-E3BDD96A81A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42900" y="683418750"/>
          <a:ext cx="2647950" cy="0"/>
        </a:xfrm>
        <a:prstGeom prst="rect">
          <a:avLst/>
        </a:prstGeom>
        <a:noFill/>
        <a:ln w="9525">
          <a:noFill/>
          <a:miter lim="800000"/>
          <a:headEnd/>
          <a:tailEnd/>
        </a:ln>
      </xdr:spPr>
    </xdr:pic>
    <xdr:clientData/>
  </xdr:twoCellAnchor>
  <xdr:twoCellAnchor>
    <xdr:from>
      <xdr:col>1</xdr:col>
      <xdr:colOff>0</xdr:colOff>
      <xdr:row>1937</xdr:row>
      <xdr:rowOff>0</xdr:rowOff>
    </xdr:from>
    <xdr:to>
      <xdr:col>2</xdr:col>
      <xdr:colOff>180975</xdr:colOff>
      <xdr:row>1937</xdr:row>
      <xdr:rowOff>0</xdr:rowOff>
    </xdr:to>
    <xdr:pic>
      <xdr:nvPicPr>
        <xdr:cNvPr id="20" name="Picture 11" descr="Logo CEA hoja membretada">
          <a:extLst>
            <a:ext uri="{FF2B5EF4-FFF2-40B4-BE49-F238E27FC236}">
              <a16:creationId xmlns:a16="http://schemas.microsoft.com/office/drawing/2014/main" id="{274E6890-8C46-498A-914D-193B87AB930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42900" y="683418750"/>
          <a:ext cx="2647950" cy="0"/>
        </a:xfrm>
        <a:prstGeom prst="rect">
          <a:avLst/>
        </a:prstGeom>
        <a:noFill/>
        <a:ln w="9525">
          <a:noFill/>
          <a:miter lim="800000"/>
          <a:headEnd/>
          <a:tailEnd/>
        </a:ln>
      </xdr:spPr>
    </xdr:pic>
    <xdr:clientData/>
  </xdr:twoCellAnchor>
  <xdr:twoCellAnchor>
    <xdr:from>
      <xdr:col>1</xdr:col>
      <xdr:colOff>0</xdr:colOff>
      <xdr:row>1937</xdr:row>
      <xdr:rowOff>0</xdr:rowOff>
    </xdr:from>
    <xdr:to>
      <xdr:col>2</xdr:col>
      <xdr:colOff>180975</xdr:colOff>
      <xdr:row>1937</xdr:row>
      <xdr:rowOff>0</xdr:rowOff>
    </xdr:to>
    <xdr:pic>
      <xdr:nvPicPr>
        <xdr:cNvPr id="21" name="Picture 13" descr="Logo CEA hoja membretada">
          <a:extLst>
            <a:ext uri="{FF2B5EF4-FFF2-40B4-BE49-F238E27FC236}">
              <a16:creationId xmlns:a16="http://schemas.microsoft.com/office/drawing/2014/main" id="{A06C6D23-53ED-41E0-A84D-5F9265D29ED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42900" y="683418750"/>
          <a:ext cx="2647950" cy="0"/>
        </a:xfrm>
        <a:prstGeom prst="rect">
          <a:avLst/>
        </a:prstGeom>
        <a:noFill/>
        <a:ln w="9525">
          <a:noFill/>
          <a:miter lim="800000"/>
          <a:headEnd/>
          <a:tailEnd/>
        </a:ln>
      </xdr:spPr>
    </xdr:pic>
    <xdr:clientData/>
  </xdr:twoCellAnchor>
  <xdr:twoCellAnchor>
    <xdr:from>
      <xdr:col>1</xdr:col>
      <xdr:colOff>0</xdr:colOff>
      <xdr:row>2003</xdr:row>
      <xdr:rowOff>0</xdr:rowOff>
    </xdr:from>
    <xdr:to>
      <xdr:col>2</xdr:col>
      <xdr:colOff>180975</xdr:colOff>
      <xdr:row>2003</xdr:row>
      <xdr:rowOff>0</xdr:rowOff>
    </xdr:to>
    <xdr:pic>
      <xdr:nvPicPr>
        <xdr:cNvPr id="22" name="Picture 3" descr="Logo CEA hoja membretada">
          <a:extLst>
            <a:ext uri="{FF2B5EF4-FFF2-40B4-BE49-F238E27FC236}">
              <a16:creationId xmlns:a16="http://schemas.microsoft.com/office/drawing/2014/main" id="{A7A45F5A-A139-4F24-BE13-076862D42D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 y="707374125"/>
          <a:ext cx="26479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2003</xdr:row>
      <xdr:rowOff>0</xdr:rowOff>
    </xdr:from>
    <xdr:to>
      <xdr:col>2</xdr:col>
      <xdr:colOff>180975</xdr:colOff>
      <xdr:row>2003</xdr:row>
      <xdr:rowOff>0</xdr:rowOff>
    </xdr:to>
    <xdr:pic>
      <xdr:nvPicPr>
        <xdr:cNvPr id="23" name="Picture 5" descr="Logo CEA hoja membretada">
          <a:extLst>
            <a:ext uri="{FF2B5EF4-FFF2-40B4-BE49-F238E27FC236}">
              <a16:creationId xmlns:a16="http://schemas.microsoft.com/office/drawing/2014/main" id="{BD470E51-ED66-4C75-BB3D-DBF8AE5AA0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 y="707374125"/>
          <a:ext cx="26479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2003</xdr:row>
      <xdr:rowOff>0</xdr:rowOff>
    </xdr:from>
    <xdr:to>
      <xdr:col>2</xdr:col>
      <xdr:colOff>180975</xdr:colOff>
      <xdr:row>2003</xdr:row>
      <xdr:rowOff>0</xdr:rowOff>
    </xdr:to>
    <xdr:pic>
      <xdr:nvPicPr>
        <xdr:cNvPr id="24" name="Picture 7" descr="Logo CEA hoja membretada">
          <a:extLst>
            <a:ext uri="{FF2B5EF4-FFF2-40B4-BE49-F238E27FC236}">
              <a16:creationId xmlns:a16="http://schemas.microsoft.com/office/drawing/2014/main" id="{A0F16690-ADCB-49B3-AC44-BDB892F63A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 y="707374125"/>
          <a:ext cx="26479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2003</xdr:row>
      <xdr:rowOff>0</xdr:rowOff>
    </xdr:from>
    <xdr:to>
      <xdr:col>2</xdr:col>
      <xdr:colOff>180975</xdr:colOff>
      <xdr:row>2003</xdr:row>
      <xdr:rowOff>0</xdr:rowOff>
    </xdr:to>
    <xdr:pic>
      <xdr:nvPicPr>
        <xdr:cNvPr id="25" name="Picture 9" descr="Logo CEA hoja membretada">
          <a:extLst>
            <a:ext uri="{FF2B5EF4-FFF2-40B4-BE49-F238E27FC236}">
              <a16:creationId xmlns:a16="http://schemas.microsoft.com/office/drawing/2014/main" id="{6BBBA362-292C-44CE-9E95-887DA49B0E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 y="707374125"/>
          <a:ext cx="26479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2003</xdr:row>
      <xdr:rowOff>0</xdr:rowOff>
    </xdr:from>
    <xdr:to>
      <xdr:col>2</xdr:col>
      <xdr:colOff>180975</xdr:colOff>
      <xdr:row>2003</xdr:row>
      <xdr:rowOff>0</xdr:rowOff>
    </xdr:to>
    <xdr:pic>
      <xdr:nvPicPr>
        <xdr:cNvPr id="26" name="Picture 11" descr="Logo CEA hoja membretada">
          <a:extLst>
            <a:ext uri="{FF2B5EF4-FFF2-40B4-BE49-F238E27FC236}">
              <a16:creationId xmlns:a16="http://schemas.microsoft.com/office/drawing/2014/main" id="{206DA3F0-3B07-4669-A032-ECACDA548F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 y="707374125"/>
          <a:ext cx="26479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312420</xdr:colOff>
      <xdr:row>2003</xdr:row>
      <xdr:rowOff>0</xdr:rowOff>
    </xdr:from>
    <xdr:to>
      <xdr:col>2</xdr:col>
      <xdr:colOff>142875</xdr:colOff>
      <xdr:row>2003</xdr:row>
      <xdr:rowOff>0</xdr:rowOff>
    </xdr:to>
    <xdr:pic>
      <xdr:nvPicPr>
        <xdr:cNvPr id="27" name="Picture 13" descr="Logo CEA hoja membretada">
          <a:extLst>
            <a:ext uri="{FF2B5EF4-FFF2-40B4-BE49-F238E27FC236}">
              <a16:creationId xmlns:a16="http://schemas.microsoft.com/office/drawing/2014/main" id="{A872A2EA-D171-44B7-9424-628FC56560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2420" y="707374125"/>
          <a:ext cx="264033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161925</xdr:colOff>
      <xdr:row>0</xdr:row>
      <xdr:rowOff>0</xdr:rowOff>
    </xdr:from>
    <xdr:ext cx="1222708" cy="257174"/>
    <xdr:sp macro="" textlink="">
      <xdr:nvSpPr>
        <xdr:cNvPr id="28" name="2 CuadroTexto">
          <a:extLst>
            <a:ext uri="{FF2B5EF4-FFF2-40B4-BE49-F238E27FC236}">
              <a16:creationId xmlns:a16="http://schemas.microsoft.com/office/drawing/2014/main" id="{E591C359-3B74-4BE2-B2EE-3E44D1E1614D}"/>
            </a:ext>
          </a:extLst>
        </xdr:cNvPr>
        <xdr:cNvSpPr txBox="1"/>
      </xdr:nvSpPr>
      <xdr:spPr>
        <a:xfrm>
          <a:off x="5391150" y="0"/>
          <a:ext cx="1222708" cy="25717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endParaRPr lang="es-MX" sz="1100" b="1">
            <a:latin typeface="Arial" pitchFamily="34" charset="0"/>
            <a:cs typeface="Arial" pitchFamily="34" charset="0"/>
          </a:endParaRPr>
        </a:p>
      </xdr:txBody>
    </xdr:sp>
    <xdr:clientData/>
  </xdr:oneCellAnchor>
  <xdr:twoCellAnchor>
    <xdr:from>
      <xdr:col>2</xdr:col>
      <xdr:colOff>1062718</xdr:colOff>
      <xdr:row>2353</xdr:row>
      <xdr:rowOff>123825</xdr:rowOff>
    </xdr:from>
    <xdr:to>
      <xdr:col>3</xdr:col>
      <xdr:colOff>1390650</xdr:colOff>
      <xdr:row>2358</xdr:row>
      <xdr:rowOff>68036</xdr:rowOff>
    </xdr:to>
    <xdr:sp macro="" textlink="">
      <xdr:nvSpPr>
        <xdr:cNvPr id="31" name="4 CuadroTexto">
          <a:extLst>
            <a:ext uri="{FF2B5EF4-FFF2-40B4-BE49-F238E27FC236}">
              <a16:creationId xmlns:a16="http://schemas.microsoft.com/office/drawing/2014/main" id="{BAFA10E5-4196-4312-B3FF-1F1EE3FE4F42}"/>
            </a:ext>
          </a:extLst>
        </xdr:cNvPr>
        <xdr:cNvSpPr txBox="1"/>
      </xdr:nvSpPr>
      <xdr:spPr>
        <a:xfrm>
          <a:off x="3882118" y="862707825"/>
          <a:ext cx="2747282" cy="991961"/>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900" b="0" i="0" u="none" strike="noStrike" kern="0" cap="none" spc="0" normalizeH="0" baseline="0" noProof="0">
              <a:ln>
                <a:noFill/>
              </a:ln>
              <a:solidFill>
                <a:sysClr val="window" lastClr="FFFFFF"/>
              </a:solidFill>
              <a:effectLst/>
              <a:uLnTx/>
              <a:uFillTx/>
              <a:latin typeface="Calibri" panose="020F0502020204030204"/>
              <a:ea typeface="+mn-ea"/>
              <a:cs typeface="+mn-cs"/>
            </a:rPr>
            <a:t>====================================================================   </a:t>
          </a: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900" b="1" i="0" u="sng" strike="noStrike" kern="0" cap="none" spc="0" normalizeH="0" baseline="0" noProof="0">
              <a:ln>
                <a:noFill/>
              </a:ln>
              <a:solidFill>
                <a:sysClr val="windowText" lastClr="000000"/>
              </a:solidFill>
              <a:effectLst/>
              <a:uLnTx/>
              <a:uFillTx/>
              <a:latin typeface="Calibri" panose="020F0502020204030204"/>
              <a:ea typeface="+mn-ea"/>
              <a:cs typeface="+mn-cs"/>
            </a:rPr>
            <a:t>C.P. REBECA I. LAGUNA FIGUEROA</a:t>
          </a: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900" b="1" i="0" u="none" strike="noStrike" kern="0" cap="none" spc="0" normalizeH="0" baseline="0" noProof="0">
              <a:ln>
                <a:noFill/>
              </a:ln>
              <a:solidFill>
                <a:sysClr val="windowText" lastClr="000000"/>
              </a:solidFill>
              <a:effectLst/>
              <a:uLnTx/>
              <a:uFillTx/>
              <a:latin typeface="Calibri" panose="020F0502020204030204"/>
              <a:ea typeface="+mn-ea"/>
              <a:cs typeface="+mn-cs"/>
            </a:rPr>
            <a:t>DIRECTORA GENERAL DE ADMINISTRACION Y FINANZAS </a:t>
          </a:r>
        </a:p>
      </xdr:txBody>
    </xdr:sp>
    <xdr:clientData/>
  </xdr:twoCellAnchor>
  <xdr:oneCellAnchor>
    <xdr:from>
      <xdr:col>0</xdr:col>
      <xdr:colOff>0</xdr:colOff>
      <xdr:row>2353</xdr:row>
      <xdr:rowOff>195200</xdr:rowOff>
    </xdr:from>
    <xdr:ext cx="2823483" cy="877661"/>
    <xdr:sp macro="" textlink="">
      <xdr:nvSpPr>
        <xdr:cNvPr id="32" name="CuadroTexto 5">
          <a:extLst>
            <a:ext uri="{FF2B5EF4-FFF2-40B4-BE49-F238E27FC236}">
              <a16:creationId xmlns:a16="http://schemas.microsoft.com/office/drawing/2014/main" id="{D515D809-A6BD-4C8F-9BEB-C48E61D8A18A}"/>
            </a:ext>
          </a:extLst>
        </xdr:cNvPr>
        <xdr:cNvSpPr txBox="1"/>
      </xdr:nvSpPr>
      <xdr:spPr>
        <a:xfrm>
          <a:off x="0" y="862779200"/>
          <a:ext cx="2823483" cy="877661"/>
        </a:xfrm>
        <a:prstGeom prst="rect">
          <a:avLst/>
        </a:prstGeom>
        <a:noFill/>
        <a:ln>
          <a:noFill/>
        </a:ln>
        <a:effectLst/>
      </xdr:spPr>
      <xdr:txBody>
        <a:bodyPr vertOverflow="clip" horzOverflow="clip" wrap="non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a:ln>
              <a:noFill/>
            </a:ln>
            <a:solidFill>
              <a:prstClr val="black"/>
            </a:solidFill>
            <a:effectLst/>
            <a:uLnTx/>
            <a:uFillTx/>
            <a:latin typeface="Calibri" panose="020F0502020204030204"/>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1" i="0" u="sng" strike="noStrike" kern="0" cap="none" spc="0" normalizeH="0" baseline="0" noProof="0">
              <a:ln>
                <a:noFill/>
              </a:ln>
              <a:solidFill>
                <a:prstClr val="black"/>
              </a:solidFill>
              <a:effectLst/>
              <a:uLnTx/>
              <a:uFillTx/>
              <a:latin typeface="Calibri" panose="020F0502020204030204"/>
              <a:ea typeface="+mn-ea"/>
              <a:cs typeface="+mn-cs"/>
            </a:rPr>
            <a:t>LIC. ISMAEL NORZAGARAY MICHEL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prstClr val="black"/>
              </a:solidFill>
              <a:effectLst/>
              <a:uLnTx/>
              <a:uFillTx/>
              <a:latin typeface="Calibri" panose="020F0502020204030204"/>
              <a:ea typeface="+mn-ea"/>
              <a:cs typeface="+mn-cs"/>
            </a:rPr>
            <a:t>DIRECTOR ADMINISTRATIVO </a:t>
          </a:r>
          <a:endParaRPr kumimoji="0" lang="es-ES" sz="1000" b="0" i="0" u="none" strike="noStrike" kern="0" cap="none" spc="0" normalizeH="0" baseline="0" noProof="0">
            <a:ln>
              <a:noFill/>
            </a:ln>
            <a:solidFill>
              <a:prstClr val="black"/>
            </a:solidFill>
            <a:effectLst/>
            <a:uLnTx/>
            <a:uFillTx/>
            <a:latin typeface="Calibri" panose="020F0502020204030204"/>
            <a:ea typeface="+mn-ea"/>
            <a:cs typeface="+mn-cs"/>
          </a:endParaRPr>
        </a:p>
      </xdr:txBody>
    </xdr:sp>
    <xdr:clientData/>
  </xdr:oneCellAnchor>
</xdr:wsDr>
</file>

<file path=xl/drawings/drawing37.xml><?xml version="1.0" encoding="utf-8"?>
<xdr:wsDr xmlns:xdr="http://schemas.openxmlformats.org/drawingml/2006/spreadsheetDrawing" xmlns:a="http://schemas.openxmlformats.org/drawingml/2006/main">
  <xdr:oneCellAnchor>
    <xdr:from>
      <xdr:col>3</xdr:col>
      <xdr:colOff>885825</xdr:colOff>
      <xdr:row>0</xdr:row>
      <xdr:rowOff>0</xdr:rowOff>
    </xdr:from>
    <xdr:ext cx="1222708" cy="295276"/>
    <xdr:sp macro="" textlink="">
      <xdr:nvSpPr>
        <xdr:cNvPr id="2" name="1 CuadroTexto">
          <a:extLst>
            <a:ext uri="{FF2B5EF4-FFF2-40B4-BE49-F238E27FC236}">
              <a16:creationId xmlns:a16="http://schemas.microsoft.com/office/drawing/2014/main" id="{00000000-0008-0000-2400-000002000000}"/>
            </a:ext>
          </a:extLst>
        </xdr:cNvPr>
        <xdr:cNvSpPr txBox="1"/>
      </xdr:nvSpPr>
      <xdr:spPr>
        <a:xfrm>
          <a:off x="5295900" y="0"/>
          <a:ext cx="1222708" cy="295276"/>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endParaRPr lang="es-MX" sz="1100" b="1">
            <a:latin typeface="Arial" pitchFamily="34" charset="0"/>
            <a:cs typeface="Arial" pitchFamily="34" charset="0"/>
          </a:endParaRPr>
        </a:p>
      </xdr:txBody>
    </xdr:sp>
    <xdr:clientData/>
  </xdr:oneCellAnchor>
  <xdr:oneCellAnchor>
    <xdr:from>
      <xdr:col>3</xdr:col>
      <xdr:colOff>0</xdr:colOff>
      <xdr:row>2</xdr:row>
      <xdr:rowOff>142875</xdr:rowOff>
    </xdr:from>
    <xdr:ext cx="184731" cy="264560"/>
    <xdr:sp macro="" textlink="">
      <xdr:nvSpPr>
        <xdr:cNvPr id="3" name="4 CuadroTexto">
          <a:extLst>
            <a:ext uri="{FF2B5EF4-FFF2-40B4-BE49-F238E27FC236}">
              <a16:creationId xmlns:a16="http://schemas.microsoft.com/office/drawing/2014/main" id="{00000000-0008-0000-2400-000003000000}"/>
            </a:ext>
          </a:extLst>
        </xdr:cNvPr>
        <xdr:cNvSpPr txBox="1"/>
      </xdr:nvSpPr>
      <xdr:spPr>
        <a:xfrm>
          <a:off x="4410075" y="56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2</xdr:col>
      <xdr:colOff>1047750</xdr:colOff>
      <xdr:row>2</xdr:row>
      <xdr:rowOff>37801</xdr:rowOff>
    </xdr:from>
    <xdr:ext cx="2790824" cy="416781"/>
    <xdr:sp macro="" textlink="">
      <xdr:nvSpPr>
        <xdr:cNvPr id="6" name="5 CuadroTexto">
          <a:extLst>
            <a:ext uri="{FF2B5EF4-FFF2-40B4-BE49-F238E27FC236}">
              <a16:creationId xmlns:a16="http://schemas.microsoft.com/office/drawing/2014/main" id="{00000000-0008-0000-2400-000006000000}"/>
            </a:ext>
          </a:extLst>
        </xdr:cNvPr>
        <xdr:cNvSpPr txBox="1"/>
      </xdr:nvSpPr>
      <xdr:spPr>
        <a:xfrm>
          <a:off x="3676650" y="456901"/>
          <a:ext cx="2790824" cy="416781"/>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CUENTA</a:t>
          </a:r>
          <a:r>
            <a:rPr lang="es-MX" sz="1100" b="1" baseline="0">
              <a:latin typeface="Arial" pitchFamily="34" charset="0"/>
              <a:cs typeface="Arial" pitchFamily="34" charset="0"/>
            </a:rPr>
            <a:t> PÚBLICA 2023</a:t>
          </a:r>
        </a:p>
        <a:p>
          <a:pPr algn="r"/>
          <a:endParaRPr lang="es-MX" sz="1100" b="1">
            <a:latin typeface="Arial" pitchFamily="34" charset="0"/>
            <a:cs typeface="Arial" pitchFamily="34" charset="0"/>
          </a:endParaRPr>
        </a:p>
      </xdr:txBody>
    </xdr:sp>
    <xdr:clientData/>
  </xdr:oneCellAnchor>
  <xdr:twoCellAnchor>
    <xdr:from>
      <xdr:col>1</xdr:col>
      <xdr:colOff>0</xdr:colOff>
      <xdr:row>11</xdr:row>
      <xdr:rowOff>0</xdr:rowOff>
    </xdr:from>
    <xdr:to>
      <xdr:col>4</xdr:col>
      <xdr:colOff>976934</xdr:colOff>
      <xdr:row>13</xdr:row>
      <xdr:rowOff>173107</xdr:rowOff>
    </xdr:to>
    <xdr:sp macro="" textlink="">
      <xdr:nvSpPr>
        <xdr:cNvPr id="7" name="CuadroTexto 6">
          <a:extLst>
            <a:ext uri="{FF2B5EF4-FFF2-40B4-BE49-F238E27FC236}">
              <a16:creationId xmlns:a16="http://schemas.microsoft.com/office/drawing/2014/main" id="{100D11AB-3AAC-473A-A8F1-5563E7241DB4}"/>
            </a:ext>
          </a:extLst>
        </xdr:cNvPr>
        <xdr:cNvSpPr txBox="1"/>
      </xdr:nvSpPr>
      <xdr:spPr>
        <a:xfrm>
          <a:off x="247650" y="2619375"/>
          <a:ext cx="6187109" cy="6874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200" b="1"/>
            <a:t>NADA</a:t>
          </a:r>
          <a:r>
            <a:rPr lang="es-MX" sz="1200" b="1" baseline="0"/>
            <a:t> QUE INFORMAR EN ESTE APARTADO </a:t>
          </a:r>
          <a:endParaRPr lang="es-MX" sz="1200" b="1"/>
        </a:p>
      </xdr:txBody>
    </xdr:sp>
    <xdr:clientData/>
  </xdr:twoCellAnchor>
  <xdr:twoCellAnchor>
    <xdr:from>
      <xdr:col>2</xdr:col>
      <xdr:colOff>843643</xdr:colOff>
      <xdr:row>32</xdr:row>
      <xdr:rowOff>190500</xdr:rowOff>
    </xdr:from>
    <xdr:to>
      <xdr:col>4</xdr:col>
      <xdr:colOff>762000</xdr:colOff>
      <xdr:row>35</xdr:row>
      <xdr:rowOff>10886</xdr:rowOff>
    </xdr:to>
    <xdr:sp macro="" textlink="">
      <xdr:nvSpPr>
        <xdr:cNvPr id="8" name="4 CuadroTexto">
          <a:extLst>
            <a:ext uri="{FF2B5EF4-FFF2-40B4-BE49-F238E27FC236}">
              <a16:creationId xmlns:a16="http://schemas.microsoft.com/office/drawing/2014/main" id="{1C0909AD-659A-4D7C-8EA0-411BBB65A7BF}"/>
            </a:ext>
          </a:extLst>
        </xdr:cNvPr>
        <xdr:cNvSpPr txBox="1"/>
      </xdr:nvSpPr>
      <xdr:spPr>
        <a:xfrm>
          <a:off x="3472543" y="8382000"/>
          <a:ext cx="2747282" cy="991961"/>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900" b="0" i="0" u="none" strike="noStrike" kern="0" cap="none" spc="0" normalizeH="0" baseline="0" noProof="0">
              <a:ln>
                <a:noFill/>
              </a:ln>
              <a:solidFill>
                <a:sysClr val="window" lastClr="FFFFFF"/>
              </a:solidFill>
              <a:effectLst/>
              <a:uLnTx/>
              <a:uFillTx/>
              <a:latin typeface="Calibri" panose="020F0502020204030204"/>
              <a:ea typeface="+mn-ea"/>
              <a:cs typeface="+mn-cs"/>
            </a:rPr>
            <a:t>====================================================================   </a:t>
          </a: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900" b="1" i="0" u="sng" strike="noStrike" kern="0" cap="none" spc="0" normalizeH="0" baseline="0" noProof="0">
              <a:ln>
                <a:noFill/>
              </a:ln>
              <a:solidFill>
                <a:sysClr val="windowText" lastClr="000000"/>
              </a:solidFill>
              <a:effectLst/>
              <a:uLnTx/>
              <a:uFillTx/>
              <a:latin typeface="Calibri" panose="020F0502020204030204"/>
              <a:ea typeface="+mn-ea"/>
              <a:cs typeface="+mn-cs"/>
            </a:rPr>
            <a:t>C.P. REBECA I. LAGUNA FIGUEROA</a:t>
          </a: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900" b="1" i="0" u="none" strike="noStrike" kern="0" cap="none" spc="0" normalizeH="0" baseline="0" noProof="0">
              <a:ln>
                <a:noFill/>
              </a:ln>
              <a:solidFill>
                <a:sysClr val="windowText" lastClr="000000"/>
              </a:solidFill>
              <a:effectLst/>
              <a:uLnTx/>
              <a:uFillTx/>
              <a:latin typeface="Calibri" panose="020F0502020204030204"/>
              <a:ea typeface="+mn-ea"/>
              <a:cs typeface="+mn-cs"/>
            </a:rPr>
            <a:t>DIRECTORA GENERAL DE ADMINISTRACION Y FINANZAS </a:t>
          </a:r>
        </a:p>
      </xdr:txBody>
    </xdr:sp>
    <xdr:clientData/>
  </xdr:twoCellAnchor>
  <xdr:oneCellAnchor>
    <xdr:from>
      <xdr:col>0</xdr:col>
      <xdr:colOff>0</xdr:colOff>
      <xdr:row>32</xdr:row>
      <xdr:rowOff>309500</xdr:rowOff>
    </xdr:from>
    <xdr:ext cx="2823483" cy="877661"/>
    <xdr:sp macro="" textlink="">
      <xdr:nvSpPr>
        <xdr:cNvPr id="9" name="CuadroTexto 5">
          <a:extLst>
            <a:ext uri="{FF2B5EF4-FFF2-40B4-BE49-F238E27FC236}">
              <a16:creationId xmlns:a16="http://schemas.microsoft.com/office/drawing/2014/main" id="{2CFEDCCA-87D0-4931-91D9-A5CFBFD0B811}"/>
            </a:ext>
          </a:extLst>
        </xdr:cNvPr>
        <xdr:cNvSpPr txBox="1"/>
      </xdr:nvSpPr>
      <xdr:spPr>
        <a:xfrm>
          <a:off x="0" y="8501000"/>
          <a:ext cx="2823483" cy="877661"/>
        </a:xfrm>
        <a:prstGeom prst="rect">
          <a:avLst/>
        </a:prstGeom>
        <a:noFill/>
        <a:ln>
          <a:noFill/>
        </a:ln>
        <a:effectLst/>
      </xdr:spPr>
      <xdr:txBody>
        <a:bodyPr vertOverflow="clip" horzOverflow="clip" wrap="non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a:ln>
              <a:noFill/>
            </a:ln>
            <a:solidFill>
              <a:prstClr val="black"/>
            </a:solidFill>
            <a:effectLst/>
            <a:uLnTx/>
            <a:uFillTx/>
            <a:latin typeface="Calibri" panose="020F0502020204030204"/>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1" i="0" u="sng" strike="noStrike" kern="0" cap="none" spc="0" normalizeH="0" baseline="0" noProof="0">
              <a:ln>
                <a:noFill/>
              </a:ln>
              <a:solidFill>
                <a:prstClr val="black"/>
              </a:solidFill>
              <a:effectLst/>
              <a:uLnTx/>
              <a:uFillTx/>
              <a:latin typeface="Calibri" panose="020F0502020204030204"/>
              <a:ea typeface="+mn-ea"/>
              <a:cs typeface="+mn-cs"/>
            </a:rPr>
            <a:t>LIC. ISMAEL NORZAGARAY MICHEL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prstClr val="black"/>
              </a:solidFill>
              <a:effectLst/>
              <a:uLnTx/>
              <a:uFillTx/>
              <a:latin typeface="Calibri" panose="020F0502020204030204"/>
              <a:ea typeface="+mn-ea"/>
              <a:cs typeface="+mn-cs"/>
            </a:rPr>
            <a:t>DIRECTOR ADMINISTRATIVO </a:t>
          </a:r>
          <a:endParaRPr kumimoji="0" lang="es-ES" sz="1000" b="0" i="0" u="none" strike="noStrike" kern="0" cap="none" spc="0" normalizeH="0" baseline="0" noProof="0">
            <a:ln>
              <a:noFill/>
            </a:ln>
            <a:solidFill>
              <a:prstClr val="black"/>
            </a:solidFill>
            <a:effectLst/>
            <a:uLnTx/>
            <a:uFillTx/>
            <a:latin typeface="Calibri" panose="020F0502020204030204"/>
            <a:ea typeface="+mn-ea"/>
            <a:cs typeface="+mn-cs"/>
          </a:endParaRPr>
        </a:p>
      </xdr:txBody>
    </xdr:sp>
    <xdr:clientData/>
  </xdr:oneCellAnchor>
</xdr:wsDr>
</file>

<file path=xl/drawings/drawing38.xml><?xml version="1.0" encoding="utf-8"?>
<xdr:wsDr xmlns:xdr="http://schemas.openxmlformats.org/drawingml/2006/spreadsheetDrawing" xmlns:a="http://schemas.openxmlformats.org/drawingml/2006/main">
  <xdr:twoCellAnchor editAs="oneCell">
    <xdr:from>
      <xdr:col>0</xdr:col>
      <xdr:colOff>590552</xdr:colOff>
      <xdr:row>1</xdr:row>
      <xdr:rowOff>69259</xdr:rowOff>
    </xdr:from>
    <xdr:to>
      <xdr:col>5</xdr:col>
      <xdr:colOff>41169</xdr:colOff>
      <xdr:row>26</xdr:row>
      <xdr:rowOff>86592</xdr:rowOff>
    </xdr:to>
    <xdr:pic>
      <xdr:nvPicPr>
        <xdr:cNvPr id="6" name="5 Imagen">
          <a:extLst>
            <a:ext uri="{FF2B5EF4-FFF2-40B4-BE49-F238E27FC236}">
              <a16:creationId xmlns:a16="http://schemas.microsoft.com/office/drawing/2014/main" id="{00000000-0008-0000-26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0552" y="260996"/>
          <a:ext cx="3254432" cy="4810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9.xml><?xml version="1.0" encoding="utf-8"?>
<xdr:wsDr xmlns:xdr="http://schemas.openxmlformats.org/drawingml/2006/spreadsheetDrawing" xmlns:a="http://schemas.openxmlformats.org/drawingml/2006/main">
  <xdr:twoCellAnchor>
    <xdr:from>
      <xdr:col>7</xdr:col>
      <xdr:colOff>245949</xdr:colOff>
      <xdr:row>595</xdr:row>
      <xdr:rowOff>178594</xdr:rowOff>
    </xdr:from>
    <xdr:to>
      <xdr:col>12</xdr:col>
      <xdr:colOff>445293</xdr:colOff>
      <xdr:row>601</xdr:row>
      <xdr:rowOff>27555</xdr:rowOff>
    </xdr:to>
    <xdr:sp macro="" textlink="">
      <xdr:nvSpPr>
        <xdr:cNvPr id="2" name="4 CuadroTexto">
          <a:extLst>
            <a:ext uri="{FF2B5EF4-FFF2-40B4-BE49-F238E27FC236}">
              <a16:creationId xmlns:a16="http://schemas.microsoft.com/office/drawing/2014/main" id="{8F799279-6BBC-4616-8675-EAC525B824DF}"/>
            </a:ext>
          </a:extLst>
        </xdr:cNvPr>
        <xdr:cNvSpPr txBox="1"/>
      </xdr:nvSpPr>
      <xdr:spPr>
        <a:xfrm>
          <a:off x="4532199" y="115407282"/>
          <a:ext cx="2747282" cy="991961"/>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900" b="0" i="0" u="none" strike="noStrike" kern="0" cap="none" spc="0" normalizeH="0" baseline="0" noProof="0">
              <a:ln>
                <a:noFill/>
              </a:ln>
              <a:solidFill>
                <a:sysClr val="window" lastClr="FFFFFF"/>
              </a:solidFill>
              <a:effectLst/>
              <a:uLnTx/>
              <a:uFillTx/>
              <a:latin typeface="Calibri" panose="020F0502020204030204"/>
              <a:ea typeface="+mn-ea"/>
              <a:cs typeface="+mn-cs"/>
            </a:rPr>
            <a:t>====================================================================   </a:t>
          </a: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900" b="1" i="0" u="sng" strike="noStrike" kern="0" cap="none" spc="0" normalizeH="0" baseline="0" noProof="0">
              <a:ln>
                <a:noFill/>
              </a:ln>
              <a:solidFill>
                <a:sysClr val="windowText" lastClr="000000"/>
              </a:solidFill>
              <a:effectLst/>
              <a:uLnTx/>
              <a:uFillTx/>
              <a:latin typeface="Calibri" panose="020F0502020204030204"/>
              <a:ea typeface="+mn-ea"/>
              <a:cs typeface="+mn-cs"/>
            </a:rPr>
            <a:t>C.P. REBECA I. LAGUNA FIGUEROA</a:t>
          </a: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900" b="1" i="0" u="none" strike="noStrike" kern="0" cap="none" spc="0" normalizeH="0" baseline="0" noProof="0">
              <a:ln>
                <a:noFill/>
              </a:ln>
              <a:solidFill>
                <a:sysClr val="windowText" lastClr="000000"/>
              </a:solidFill>
              <a:effectLst/>
              <a:uLnTx/>
              <a:uFillTx/>
              <a:latin typeface="Calibri" panose="020F0502020204030204"/>
              <a:ea typeface="+mn-ea"/>
              <a:cs typeface="+mn-cs"/>
            </a:rPr>
            <a:t>DIRECTORA GENERAL DE ADMINISTRACION Y FINANZAS </a:t>
          </a:r>
        </a:p>
      </xdr:txBody>
    </xdr:sp>
    <xdr:clientData/>
  </xdr:twoCellAnchor>
  <xdr:oneCellAnchor>
    <xdr:from>
      <xdr:col>0</xdr:col>
      <xdr:colOff>916781</xdr:colOff>
      <xdr:row>596</xdr:row>
      <xdr:rowOff>97569</xdr:rowOff>
    </xdr:from>
    <xdr:ext cx="2823483" cy="877661"/>
    <xdr:sp macro="" textlink="">
      <xdr:nvSpPr>
        <xdr:cNvPr id="3" name="CuadroTexto 5">
          <a:extLst>
            <a:ext uri="{FF2B5EF4-FFF2-40B4-BE49-F238E27FC236}">
              <a16:creationId xmlns:a16="http://schemas.microsoft.com/office/drawing/2014/main" id="{05A0DCF5-1CD6-4843-A1E6-DD6A311D2E76}"/>
            </a:ext>
          </a:extLst>
        </xdr:cNvPr>
        <xdr:cNvSpPr txBox="1"/>
      </xdr:nvSpPr>
      <xdr:spPr>
        <a:xfrm>
          <a:off x="916781" y="115516757"/>
          <a:ext cx="2823483" cy="877661"/>
        </a:xfrm>
        <a:prstGeom prst="rect">
          <a:avLst/>
        </a:prstGeom>
        <a:noFill/>
        <a:ln>
          <a:noFill/>
        </a:ln>
        <a:effectLst/>
      </xdr:spPr>
      <xdr:txBody>
        <a:bodyPr vertOverflow="clip" horzOverflow="clip" wrap="non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a:ln>
              <a:noFill/>
            </a:ln>
            <a:solidFill>
              <a:prstClr val="black"/>
            </a:solidFill>
            <a:effectLst/>
            <a:uLnTx/>
            <a:uFillTx/>
            <a:latin typeface="Calibri" panose="020F0502020204030204"/>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1" i="0" u="sng" strike="noStrike" kern="0" cap="none" spc="0" normalizeH="0" baseline="0" noProof="0">
              <a:ln>
                <a:noFill/>
              </a:ln>
              <a:solidFill>
                <a:prstClr val="black"/>
              </a:solidFill>
              <a:effectLst/>
              <a:uLnTx/>
              <a:uFillTx/>
              <a:latin typeface="Calibri" panose="020F0502020204030204"/>
              <a:ea typeface="+mn-ea"/>
              <a:cs typeface="+mn-cs"/>
            </a:rPr>
            <a:t>LIC. ISMAEL NORZAGARAY MICHEL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prstClr val="black"/>
              </a:solidFill>
              <a:effectLst/>
              <a:uLnTx/>
              <a:uFillTx/>
              <a:latin typeface="Calibri" panose="020F0502020204030204"/>
              <a:ea typeface="+mn-ea"/>
              <a:cs typeface="+mn-cs"/>
            </a:rPr>
            <a:t>DIRECTOR ADMINISTRATIVO </a:t>
          </a:r>
          <a:endParaRPr kumimoji="0" lang="es-ES" sz="1000" b="0" i="0" u="none" strike="noStrike" kern="0" cap="none" spc="0" normalizeH="0" baseline="0" noProof="0">
            <a:ln>
              <a:noFill/>
            </a:ln>
            <a:solidFill>
              <a:prstClr val="black"/>
            </a:solidFill>
            <a:effectLst/>
            <a:uLnTx/>
            <a:uFillTx/>
            <a:latin typeface="Calibri" panose="020F0502020204030204"/>
            <a:ea typeface="+mn-ea"/>
            <a:cs typeface="+mn-cs"/>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merica%20Encinas/AppData/Roaming/Microsoft/Excel/PT%20Gastos%20x%20partida%20ppt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America%20Encinas\AppData\Roaming\Microsoft\Excel\PT%20Gastos%20x%20partida%20pptal.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ISMAEL%20NORZAGARAY\ESCRITORIO\02)%20PRESUPUESTO%202023\02)%20CUENTA%20PUBLICA\CEA\ANUAL\823.xls" TargetMode="External"/><Relationship Id="rId1" Type="http://schemas.openxmlformats.org/officeDocument/2006/relationships/externalLinkPath" Target="/ISMAEL%20NORZAGARAY/ESCRITORIO/02)%20PRESUPUESTO%202023/02)%20CUENTA%20PUBLICA/CEA/ANUAL/823.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ISMAEL%20NORZAGARAY\ESCRITORIO\02)%20PRESUPUESTO%202023\02)%20CUENTA%20PUBLICA\CEA\ANUAL\1.-%20CEA%20-%20CUENTA%20PUBLICA%20MENSUAL%20dic%202023.xlsx" TargetMode="External"/><Relationship Id="rId1" Type="http://schemas.openxmlformats.org/officeDocument/2006/relationships/externalLinkPath" Target="/ISMAEL%20NORZAGARAY/ESCRITORIO/02)%20PRESUPUESTO%202023/02)%20CUENTA%20PUBLICA/CEA/ANUAL/1.-%20CEA%20-%20CUENTA%20PUBLICA%20MENSUAL%20dic%20202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ETCA%20IV%2006%20CEPC%204TO%20TRIM%2020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MarciaL/Downloads/formatos-cpca-2020-y-guia-de-cumplimiento.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C:\ISMAEL%20NORZAGARAY\ESCRITORIO\01)%20PRESUPUESTO%202023\02)%20CUENTA%20PUBLICA\CEA\MENSUAL\08%20ago%2023\ANEXO%20C\Movimientos%20Auxiliares%20por%20Segmento%20de%20Negocio%20823%20ago.xls" TargetMode="External"/><Relationship Id="rId1" Type="http://schemas.openxmlformats.org/officeDocument/2006/relationships/externalLinkPath" Target="/ISMAEL%20NORZAGARAY/ESCRITORIO/01)%20PRESUPUESTO%202023/02)%20CUENTA%20PUBLICA/CEA/MENSUAL/08%20ago%2023/ANEXO%20C/Movimientos%20Auxiliares%20por%20Segmento%20de%20Negocio%20823%20ago.xls"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C:\ISMAEL%20NORZAGARAY\ESCRITORIO\02)%20PRESUPUESTO%202023\02)%20CUENTA%20PUBLICA\CEA\TRIMESTRAL\4TO%20TRIMESTRE%202023\Anexo%20C\Movimientos%20Auxiliares%20por%20Segmento%20de%20Negocio%20823%20todos%20dic.xls" TargetMode="External"/><Relationship Id="rId1" Type="http://schemas.openxmlformats.org/officeDocument/2006/relationships/externalLinkPath" Target="/ISMAEL%20NORZAGARAY/ESCRITORIO/02)%20PRESUPUESTO%202023/02)%20CUENTA%20PUBLICA/CEA/TRIMESTRAL/4TO%20TRIMESTRE%202023/Anexo%20C/Movimientos%20Auxiliares%20por%20Segmento%20de%20Negocio%20823%20todos%20dic.xls"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C:\ISMAEL%20NORZAGARAY\ESCRITORIO\02)%20PRESUPUESTO%202023\02)%20CUENTA%20PUBLICA\CEA\TRIMESTRAL\4TO%20TRIMESTRE%202023\Anexo%20C\827%20dic.xls" TargetMode="External"/><Relationship Id="rId1" Type="http://schemas.openxmlformats.org/officeDocument/2006/relationships/externalLinkPath" Target="/ISMAEL%20NORZAGARAY/ESCRITORIO/02)%20PRESUPUESTO%202023/02)%20CUENTA%20PUBLICA/CEA/TRIMESTRAL/4TO%20TRIMESTRE%202023/Anexo%20C/827%20dic.xls" TargetMode="External"/></Relationships>
</file>

<file path=xl/externalLinks/_rels/externalLink10.xml.rels><?xml version="1.0" encoding="UTF-8" standalone="yes"?>
<Relationships xmlns="http://schemas.openxmlformats.org/package/2006/relationships"><Relationship Id="rId2" Type="http://schemas.openxmlformats.org/officeDocument/2006/relationships/externalLinkPath" Target="file:///C:\ISMAEL%20NORZAGARAY\ESCRITORIO\01)%20PRESUPUESTO%202023\02)%20CUENTA%20PUBLICA\CEA\MENSUAL\07%20jul%2023\823%20jun%20jul.xls" TargetMode="External"/><Relationship Id="rId1" Type="http://schemas.openxmlformats.org/officeDocument/2006/relationships/externalLinkPath" Target="/ISMAEL%20NORZAGARAY/ESCRITORIO/01)%20PRESUPUESTO%202023/02)%20CUENTA%20PUBLICA/CEA/MENSUAL/07%20jul%2023/823%20jun%20jul.xls" TargetMode="External"/></Relationships>
</file>

<file path=xl/externalLinks/_rels/externalLink11.xml.rels><?xml version="1.0" encoding="UTF-8" standalone="yes"?>
<Relationships xmlns="http://schemas.openxmlformats.org/package/2006/relationships"><Relationship Id="rId2" Type="http://schemas.openxmlformats.org/officeDocument/2006/relationships/externalLinkPath" Target="file:///C:\ISMAEL%20NORZAGARAY\ESCRITORIO\01)%20PRESUPUESTO%202023\02)%20CUENTA%20PUBLICA\CEA\MENSUAL\10%20oct%2023\ANEXO%20C\825%20OCT.xls" TargetMode="External"/><Relationship Id="rId1" Type="http://schemas.openxmlformats.org/officeDocument/2006/relationships/externalLinkPath" Target="/ISMAEL%20NORZAGARAY/ESCRITORIO/01)%20PRESUPUESTO%202023/02)%20CUENTA%20PUBLICA/CEA/MENSUAL/10%20oct%2023/ANEXO%20C/825%20OCT.xls" TargetMode="External"/></Relationships>
</file>

<file path=xl/externalLinks/_rels/externalLink12.xml.rels><?xml version="1.0" encoding="UTF-8" standalone="yes"?>
<Relationships xmlns="http://schemas.openxmlformats.org/package/2006/relationships"><Relationship Id="rId2" Type="http://schemas.openxmlformats.org/officeDocument/2006/relationships/externalLinkPath" Target="file:///C:\ISMAEL%20NORZAGARAY\ESCRITORIO\01)%20PRESUPUESTO%202023\02)%20CUENTA%20PUBLICA\CEA\MENSUAL\10%20oct%2023\ANEXO%20C\827%20OCT.xls" TargetMode="External"/><Relationship Id="rId1" Type="http://schemas.openxmlformats.org/officeDocument/2006/relationships/externalLinkPath" Target="/ISMAEL%20NORZAGARAY/ESCRITORIO/01)%20PRESUPUESTO%202023/02)%20CUENTA%20PUBLICA/CEA/MENSUAL/10%20oct%2023/ANEXO%20C/827%20OC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Astolfo8a/Desktop/formatos-cpca-2022-1%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 val="Hoja3"/>
    </sheetNames>
    <sheetDataSet>
      <sheetData sheetId="0"/>
      <sheetData sheetId="1">
        <row r="3">
          <cell r="B3" t="str">
            <v xml:space="preserve"> PARTIDA PRESUPUESTAL</v>
          </cell>
          <cell r="C3" t="str">
            <v>DESCRIPCION</v>
          </cell>
          <cell r="D3" t="str">
            <v>PRESUPUESTO AUTORIZADO</v>
          </cell>
          <cell r="E3">
            <v>0</v>
          </cell>
          <cell r="F3">
            <v>0</v>
          </cell>
          <cell r="G3">
            <v>0</v>
          </cell>
          <cell r="H3" t="str">
            <v>COMPROMETIDO</v>
          </cell>
          <cell r="I3" t="str">
            <v>DEVENGADO</v>
          </cell>
          <cell r="J3" t="str">
            <v>EJERCIDO</v>
          </cell>
          <cell r="K3" t="str">
            <v>PAGADO</v>
          </cell>
          <cell r="L3" t="str">
            <v>DISPONIBLE P Comprometer</v>
          </cell>
          <cell r="M3" t="str">
            <v>CREDITO DISPONIBLE</v>
          </cell>
        </row>
        <row r="4">
          <cell r="B4">
            <v>0</v>
          </cell>
          <cell r="C4">
            <v>0</v>
          </cell>
          <cell r="D4" t="str">
            <v>APROBADO</v>
          </cell>
          <cell r="E4" t="str">
            <v>AMPLIACIONES</v>
          </cell>
          <cell r="F4" t="str">
            <v>DEDUCCIONES</v>
          </cell>
          <cell r="G4" t="str">
            <v>MODIFICADO</v>
          </cell>
          <cell r="H4">
            <v>0</v>
          </cell>
          <cell r="I4">
            <v>0</v>
          </cell>
          <cell r="J4">
            <v>0</v>
          </cell>
          <cell r="K4">
            <v>0</v>
          </cell>
          <cell r="L4">
            <v>0</v>
          </cell>
          <cell r="M4">
            <v>0</v>
          </cell>
        </row>
        <row r="5">
          <cell r="B5">
            <v>1000</v>
          </cell>
          <cell r="C5" t="str">
            <v>SERVICIOS PERSONALES</v>
          </cell>
          <cell r="D5">
            <v>21474408.129999995</v>
          </cell>
          <cell r="E5">
            <v>0</v>
          </cell>
          <cell r="F5">
            <v>0</v>
          </cell>
          <cell r="G5">
            <v>21474408.129999995</v>
          </cell>
          <cell r="H5">
            <v>20532256.680000003</v>
          </cell>
          <cell r="I5">
            <v>20532256.680000003</v>
          </cell>
          <cell r="J5">
            <v>20532256.680000003</v>
          </cell>
          <cell r="K5">
            <v>20532256.680000003</v>
          </cell>
          <cell r="L5">
            <v>942151.45000000019</v>
          </cell>
          <cell r="M5">
            <v>942151.45000000019</v>
          </cell>
        </row>
        <row r="6">
          <cell r="B6" t="str">
            <v>11301</v>
          </cell>
          <cell r="C6" t="str">
            <v>Sueldos</v>
          </cell>
          <cell r="D6">
            <v>5444965.6600000001</v>
          </cell>
          <cell r="E6">
            <v>0</v>
          </cell>
          <cell r="F6">
            <v>0</v>
          </cell>
          <cell r="G6">
            <v>5444965.6600000001</v>
          </cell>
          <cell r="H6">
            <v>5349218.26</v>
          </cell>
          <cell r="I6">
            <v>5349218.26</v>
          </cell>
          <cell r="J6">
            <v>5349218.26</v>
          </cell>
          <cell r="K6">
            <v>5349218.26</v>
          </cell>
          <cell r="L6">
            <v>95747.400000000373</v>
          </cell>
          <cell r="M6">
            <v>95747.400000000373</v>
          </cell>
        </row>
        <row r="7">
          <cell r="B7" t="str">
            <v>11303</v>
          </cell>
          <cell r="C7" t="str">
            <v>Remuneraciones Diversas</v>
          </cell>
          <cell r="D7">
            <v>1804239.54</v>
          </cell>
          <cell r="E7">
            <v>0</v>
          </cell>
          <cell r="F7">
            <v>0</v>
          </cell>
          <cell r="G7">
            <v>1804239.54</v>
          </cell>
          <cell r="H7">
            <v>1718192.7000000007</v>
          </cell>
          <cell r="I7">
            <v>1718192.7000000007</v>
          </cell>
          <cell r="J7">
            <v>1718192.7000000007</v>
          </cell>
          <cell r="K7">
            <v>1718192.7000000007</v>
          </cell>
          <cell r="L7">
            <v>86046.839999999385</v>
          </cell>
          <cell r="M7">
            <v>86046.839999999385</v>
          </cell>
        </row>
        <row r="8">
          <cell r="B8" t="str">
            <v>11305</v>
          </cell>
          <cell r="C8" t="str">
            <v>Compensaciones por Riesgos Profesionales</v>
          </cell>
          <cell r="D8">
            <v>0</v>
          </cell>
          <cell r="E8">
            <v>0</v>
          </cell>
          <cell r="F8">
            <v>0</v>
          </cell>
          <cell r="G8">
            <v>0</v>
          </cell>
          <cell r="H8">
            <v>0</v>
          </cell>
          <cell r="I8">
            <v>0</v>
          </cell>
          <cell r="J8">
            <v>0</v>
          </cell>
          <cell r="K8">
            <v>0</v>
          </cell>
          <cell r="L8">
            <v>0</v>
          </cell>
          <cell r="M8">
            <v>0</v>
          </cell>
        </row>
        <row r="9">
          <cell r="B9" t="str">
            <v>11306</v>
          </cell>
          <cell r="C9" t="str">
            <v>Riesgo Laboral</v>
          </cell>
          <cell r="D9">
            <v>4423021.57</v>
          </cell>
          <cell r="E9">
            <v>0</v>
          </cell>
          <cell r="F9">
            <v>0</v>
          </cell>
          <cell r="G9">
            <v>4423021.57</v>
          </cell>
          <cell r="H9">
            <v>5656271.3399999999</v>
          </cell>
          <cell r="I9">
            <v>5656271.3399999999</v>
          </cell>
          <cell r="J9">
            <v>5656271.3399999999</v>
          </cell>
          <cell r="K9">
            <v>5656271.3399999999</v>
          </cell>
          <cell r="L9">
            <v>-1233249.7699999996</v>
          </cell>
          <cell r="M9">
            <v>-1233249.7699999996</v>
          </cell>
        </row>
        <row r="10">
          <cell r="B10" t="str">
            <v>11307</v>
          </cell>
          <cell r="C10" t="str">
            <v>Ayuda Para Habitación</v>
          </cell>
          <cell r="D10">
            <v>1125296.6499999999</v>
          </cell>
          <cell r="E10">
            <v>0</v>
          </cell>
          <cell r="F10">
            <v>0</v>
          </cell>
          <cell r="G10">
            <v>1125296.6499999999</v>
          </cell>
          <cell r="H10">
            <v>1013033.58</v>
          </cell>
          <cell r="I10">
            <v>1013033.58</v>
          </cell>
          <cell r="J10">
            <v>1013033.58</v>
          </cell>
          <cell r="K10">
            <v>1013033.58</v>
          </cell>
          <cell r="L10">
            <v>112263.06999999995</v>
          </cell>
          <cell r="M10">
            <v>112263.06999999995</v>
          </cell>
        </row>
        <row r="11">
          <cell r="B11" t="str">
            <v>11310</v>
          </cell>
          <cell r="C11" t="str">
            <v>Ayuda Energía Electrica</v>
          </cell>
          <cell r="D11">
            <v>750198.79</v>
          </cell>
          <cell r="E11">
            <v>0</v>
          </cell>
          <cell r="F11">
            <v>0</v>
          </cell>
          <cell r="G11">
            <v>750198.79</v>
          </cell>
          <cell r="H11">
            <v>675356.80999999994</v>
          </cell>
          <cell r="I11">
            <v>675356.80999999994</v>
          </cell>
          <cell r="J11">
            <v>675356.80999999994</v>
          </cell>
          <cell r="K11">
            <v>675356.80999999994</v>
          </cell>
          <cell r="L11">
            <v>74841.980000000098</v>
          </cell>
          <cell r="M11">
            <v>74841.980000000098</v>
          </cell>
        </row>
        <row r="12">
          <cell r="B12" t="str">
            <v>13101</v>
          </cell>
          <cell r="C12" t="str">
            <v>Primas y Acred por Años de Servicio Eftvo Prestado</v>
          </cell>
          <cell r="D12">
            <v>175274.27</v>
          </cell>
          <cell r="E12">
            <v>0</v>
          </cell>
          <cell r="F12">
            <v>0</v>
          </cell>
          <cell r="G12">
            <v>175274.27</v>
          </cell>
          <cell r="H12">
            <v>55039.150000000009</v>
          </cell>
          <cell r="I12">
            <v>55039.150000000009</v>
          </cell>
          <cell r="J12">
            <v>55039.150000000009</v>
          </cell>
          <cell r="K12">
            <v>55039.150000000009</v>
          </cell>
          <cell r="L12">
            <v>120235.11999999998</v>
          </cell>
          <cell r="M12">
            <v>120235.11999999998</v>
          </cell>
        </row>
        <row r="13">
          <cell r="B13" t="str">
            <v>13201</v>
          </cell>
          <cell r="C13" t="str">
            <v>Prima Vacacional</v>
          </cell>
          <cell r="D13">
            <v>589735.42000000004</v>
          </cell>
          <cell r="E13">
            <v>0</v>
          </cell>
          <cell r="F13">
            <v>0</v>
          </cell>
          <cell r="G13">
            <v>589735.42000000004</v>
          </cell>
          <cell r="H13">
            <v>95431.53</v>
          </cell>
          <cell r="I13">
            <v>95431.53</v>
          </cell>
          <cell r="J13">
            <v>95431.53</v>
          </cell>
          <cell r="K13">
            <v>95431.53</v>
          </cell>
          <cell r="L13">
            <v>494303.89</v>
          </cell>
          <cell r="M13">
            <v>494303.89</v>
          </cell>
        </row>
        <row r="14">
          <cell r="B14" t="str">
            <v>13202</v>
          </cell>
          <cell r="C14" t="str">
            <v>Gratificaciones por Fin de Año</v>
          </cell>
          <cell r="D14">
            <v>1360110.87</v>
          </cell>
          <cell r="E14">
            <v>0</v>
          </cell>
          <cell r="F14">
            <v>0</v>
          </cell>
          <cell r="G14">
            <v>1360110.87</v>
          </cell>
          <cell r="H14">
            <v>200040.58000000002</v>
          </cell>
          <cell r="I14">
            <v>200040.58000000002</v>
          </cell>
          <cell r="J14">
            <v>200040.58000000002</v>
          </cell>
          <cell r="K14">
            <v>200040.58000000002</v>
          </cell>
          <cell r="L14">
            <v>1160070.29</v>
          </cell>
          <cell r="M14">
            <v>1160070.29</v>
          </cell>
        </row>
        <row r="15">
          <cell r="B15" t="str">
            <v>13203</v>
          </cell>
          <cell r="C15" t="str">
            <v>Compensaciones por Ajuste de Calendario</v>
          </cell>
          <cell r="D15">
            <v>0</v>
          </cell>
          <cell r="E15">
            <v>0</v>
          </cell>
          <cell r="F15">
            <v>0</v>
          </cell>
          <cell r="G15">
            <v>0</v>
          </cell>
          <cell r="H15">
            <v>0</v>
          </cell>
          <cell r="I15">
            <v>0</v>
          </cell>
          <cell r="J15">
            <v>0</v>
          </cell>
          <cell r="K15">
            <v>0</v>
          </cell>
          <cell r="L15">
            <v>0</v>
          </cell>
          <cell r="M15">
            <v>0</v>
          </cell>
        </row>
        <row r="16">
          <cell r="B16" t="str">
            <v>13204</v>
          </cell>
          <cell r="C16" t="str">
            <v>Compensacion por Bono Navideño</v>
          </cell>
          <cell r="D16">
            <v>0</v>
          </cell>
          <cell r="E16">
            <v>0</v>
          </cell>
          <cell r="F16">
            <v>0</v>
          </cell>
          <cell r="G16">
            <v>0</v>
          </cell>
          <cell r="H16">
            <v>0</v>
          </cell>
          <cell r="I16">
            <v>0</v>
          </cell>
          <cell r="J16">
            <v>0</v>
          </cell>
          <cell r="K16">
            <v>0</v>
          </cell>
          <cell r="L16">
            <v>0</v>
          </cell>
          <cell r="M16">
            <v>0</v>
          </cell>
        </row>
        <row r="17">
          <cell r="B17" t="str">
            <v>13403</v>
          </cell>
          <cell r="C17" t="str">
            <v>Estimulos al Personal de Confianza</v>
          </cell>
          <cell r="D17">
            <v>0</v>
          </cell>
          <cell r="E17">
            <v>0</v>
          </cell>
          <cell r="F17">
            <v>0</v>
          </cell>
          <cell r="G17">
            <v>0</v>
          </cell>
          <cell r="H17">
            <v>0</v>
          </cell>
          <cell r="I17">
            <v>0</v>
          </cell>
          <cell r="J17">
            <v>0</v>
          </cell>
          <cell r="K17">
            <v>0</v>
          </cell>
          <cell r="L17">
            <v>0</v>
          </cell>
          <cell r="M17">
            <v>0</v>
          </cell>
        </row>
        <row r="18">
          <cell r="B18" t="str">
            <v>14101</v>
          </cell>
          <cell r="C18" t="str">
            <v>Cuotas por Servicio Medico del Isssteson</v>
          </cell>
          <cell r="D18">
            <v>902295.22</v>
          </cell>
          <cell r="E18">
            <v>0</v>
          </cell>
          <cell r="F18">
            <v>0</v>
          </cell>
          <cell r="G18">
            <v>902295.22</v>
          </cell>
          <cell r="H18">
            <v>962407.8</v>
          </cell>
          <cell r="I18">
            <v>962407.8</v>
          </cell>
          <cell r="J18">
            <v>962407.8</v>
          </cell>
          <cell r="K18">
            <v>962407.8</v>
          </cell>
          <cell r="L18">
            <v>-60112.580000000075</v>
          </cell>
          <cell r="M18">
            <v>-60112.580000000075</v>
          </cell>
        </row>
        <row r="19">
          <cell r="B19" t="str">
            <v>14102</v>
          </cell>
          <cell r="C19" t="str">
            <v>Cuotas por Seguro de Vida Isssteson</v>
          </cell>
          <cell r="D19">
            <v>95.76</v>
          </cell>
          <cell r="E19">
            <v>0</v>
          </cell>
          <cell r="F19">
            <v>0</v>
          </cell>
          <cell r="G19">
            <v>95.76</v>
          </cell>
          <cell r="H19">
            <v>93.499999999999986</v>
          </cell>
          <cell r="I19">
            <v>93.499999999999986</v>
          </cell>
          <cell r="J19">
            <v>93.499999999999986</v>
          </cell>
          <cell r="K19">
            <v>93.499999999999986</v>
          </cell>
          <cell r="L19">
            <v>2.2600000000000193</v>
          </cell>
          <cell r="M19">
            <v>2.2600000000000193</v>
          </cell>
        </row>
        <row r="20">
          <cell r="B20" t="str">
            <v>14103</v>
          </cell>
          <cell r="C20" t="str">
            <v>Cuotas por Seguro de Retiro al Isssteson</v>
          </cell>
          <cell r="D20">
            <v>1486.84</v>
          </cell>
          <cell r="E20">
            <v>0</v>
          </cell>
          <cell r="F20">
            <v>0</v>
          </cell>
          <cell r="G20">
            <v>1486.84</v>
          </cell>
          <cell r="H20">
            <v>1436.96</v>
          </cell>
          <cell r="I20">
            <v>1436.96</v>
          </cell>
          <cell r="J20">
            <v>1436.96</v>
          </cell>
          <cell r="K20">
            <v>1436.96</v>
          </cell>
          <cell r="L20">
            <v>49.879999999999882</v>
          </cell>
          <cell r="M20">
            <v>49.879999999999882</v>
          </cell>
        </row>
        <row r="21">
          <cell r="B21" t="str">
            <v>14104</v>
          </cell>
          <cell r="C21" t="str">
            <v>Asignaciones para Prestamos a Corto Plazo</v>
          </cell>
          <cell r="D21">
            <v>53076.19</v>
          </cell>
          <cell r="E21">
            <v>0</v>
          </cell>
          <cell r="F21">
            <v>0</v>
          </cell>
          <cell r="G21">
            <v>53076.19</v>
          </cell>
          <cell r="H21">
            <v>49175.920000000006</v>
          </cell>
          <cell r="I21">
            <v>49175.920000000006</v>
          </cell>
          <cell r="J21">
            <v>49175.920000000006</v>
          </cell>
          <cell r="K21">
            <v>49175.920000000006</v>
          </cell>
          <cell r="L21">
            <v>3900.2699999999968</v>
          </cell>
          <cell r="M21">
            <v>3900.2699999999968</v>
          </cell>
        </row>
        <row r="22">
          <cell r="B22" t="str">
            <v>14105</v>
          </cell>
          <cell r="C22" t="str">
            <v>Asignaciones para Prestamos Prendarios</v>
          </cell>
          <cell r="D22">
            <v>53076.19</v>
          </cell>
          <cell r="E22">
            <v>0</v>
          </cell>
          <cell r="F22">
            <v>0</v>
          </cell>
          <cell r="G22">
            <v>53076.19</v>
          </cell>
          <cell r="H22">
            <v>49175.920000000006</v>
          </cell>
          <cell r="I22">
            <v>49175.920000000006</v>
          </cell>
          <cell r="J22">
            <v>49175.920000000006</v>
          </cell>
          <cell r="K22">
            <v>49175.920000000006</v>
          </cell>
          <cell r="L22">
            <v>3900.2699999999968</v>
          </cell>
          <cell r="M22">
            <v>3900.2699999999968</v>
          </cell>
        </row>
        <row r="23">
          <cell r="B23" t="str">
            <v>14106</v>
          </cell>
          <cell r="C23" t="str">
            <v>Otras prestaciones de Seguridad Social</v>
          </cell>
          <cell r="D23">
            <v>318457.13</v>
          </cell>
          <cell r="E23">
            <v>0</v>
          </cell>
          <cell r="F23">
            <v>0</v>
          </cell>
          <cell r="G23">
            <v>318457.13</v>
          </cell>
          <cell r="H23">
            <v>245894.48</v>
          </cell>
          <cell r="I23">
            <v>245894.48</v>
          </cell>
          <cell r="J23">
            <v>245894.48</v>
          </cell>
          <cell r="K23">
            <v>245894.48</v>
          </cell>
          <cell r="L23">
            <v>72562.649999999994</v>
          </cell>
          <cell r="M23">
            <v>72562.649999999994</v>
          </cell>
        </row>
        <row r="24">
          <cell r="B24" t="str">
            <v>14107</v>
          </cell>
          <cell r="C24" t="str">
            <v>Cuotas p/Infraestructura,Equipamiento y Mantto Hos</v>
          </cell>
          <cell r="D24">
            <v>106152.39</v>
          </cell>
          <cell r="E24">
            <v>0</v>
          </cell>
          <cell r="F24">
            <v>0</v>
          </cell>
          <cell r="G24">
            <v>106152.39</v>
          </cell>
          <cell r="H24">
            <v>98354.08</v>
          </cell>
          <cell r="I24">
            <v>98354.08</v>
          </cell>
          <cell r="J24">
            <v>98354.08</v>
          </cell>
          <cell r="K24">
            <v>98354.08</v>
          </cell>
          <cell r="L24">
            <v>7798.3099999999977</v>
          </cell>
          <cell r="M24">
            <v>7798.3099999999977</v>
          </cell>
        </row>
        <row r="25">
          <cell r="B25" t="str">
            <v>14201</v>
          </cell>
          <cell r="C25" t="str">
            <v>Cuotas al Fovisssteson</v>
          </cell>
          <cell r="D25">
            <v>424609.5</v>
          </cell>
          <cell r="E25">
            <v>0</v>
          </cell>
          <cell r="F25">
            <v>0</v>
          </cell>
          <cell r="G25">
            <v>424609.5</v>
          </cell>
          <cell r="H25">
            <v>393432.23</v>
          </cell>
          <cell r="I25">
            <v>393432.23</v>
          </cell>
          <cell r="J25">
            <v>393432.23</v>
          </cell>
          <cell r="K25">
            <v>393432.23</v>
          </cell>
          <cell r="L25">
            <v>31177.270000000019</v>
          </cell>
          <cell r="M25">
            <v>31177.270000000019</v>
          </cell>
        </row>
        <row r="26">
          <cell r="B26" t="str">
            <v>14301</v>
          </cell>
          <cell r="C26" t="str">
            <v>Pagas de Defuncion,Pensiones y Jubilaciones</v>
          </cell>
          <cell r="D26">
            <v>1804590.42</v>
          </cell>
          <cell r="E26">
            <v>0</v>
          </cell>
          <cell r="F26">
            <v>0</v>
          </cell>
          <cell r="G26">
            <v>1804590.42</v>
          </cell>
          <cell r="H26">
            <v>1721269.73</v>
          </cell>
          <cell r="I26">
            <v>1721269.73</v>
          </cell>
          <cell r="J26">
            <v>1721269.73</v>
          </cell>
          <cell r="K26">
            <v>1721269.73</v>
          </cell>
          <cell r="L26">
            <v>83320.689999999944</v>
          </cell>
          <cell r="M26">
            <v>83320.689999999944</v>
          </cell>
        </row>
        <row r="27">
          <cell r="B27" t="str">
            <v>17102</v>
          </cell>
          <cell r="C27" t="str">
            <v>Estimulos al Personal</v>
          </cell>
          <cell r="D27">
            <v>2137725.7200000002</v>
          </cell>
          <cell r="E27">
            <v>0</v>
          </cell>
          <cell r="F27">
            <v>0</v>
          </cell>
          <cell r="G27">
            <v>2137725.7200000002</v>
          </cell>
          <cell r="H27">
            <v>2248432.1100000003</v>
          </cell>
          <cell r="I27">
            <v>2248432.1100000003</v>
          </cell>
          <cell r="J27">
            <v>2248432.1100000003</v>
          </cell>
          <cell r="K27">
            <v>2248432.1100000003</v>
          </cell>
          <cell r="L27">
            <v>-110706.39000000013</v>
          </cell>
          <cell r="M27">
            <v>-110706.39000000013</v>
          </cell>
        </row>
        <row r="28">
          <cell r="B28">
            <v>2000</v>
          </cell>
          <cell r="C28" t="str">
            <v>MATERIALES Y SUMINISTROS</v>
          </cell>
          <cell r="D28">
            <v>1586500.06</v>
          </cell>
          <cell r="E28">
            <v>110000</v>
          </cell>
          <cell r="F28">
            <v>110000</v>
          </cell>
          <cell r="G28">
            <v>1586500.06</v>
          </cell>
          <cell r="H28">
            <v>880286.3</v>
          </cell>
          <cell r="I28">
            <v>880286.3</v>
          </cell>
          <cell r="J28">
            <v>880286.3</v>
          </cell>
          <cell r="K28">
            <v>880286.3</v>
          </cell>
          <cell r="L28">
            <v>706213.76</v>
          </cell>
          <cell r="M28">
            <v>706213.76</v>
          </cell>
        </row>
        <row r="29">
          <cell r="B29" t="str">
            <v>21101</v>
          </cell>
          <cell r="C29" t="str">
            <v>Materiales, utiles y equipos menores de oficina</v>
          </cell>
          <cell r="D29">
            <v>400000</v>
          </cell>
          <cell r="E29">
            <v>0</v>
          </cell>
          <cell r="F29">
            <v>100000</v>
          </cell>
          <cell r="G29">
            <v>300000</v>
          </cell>
          <cell r="H29">
            <v>92333.53</v>
          </cell>
          <cell r="I29">
            <v>92333.53</v>
          </cell>
          <cell r="J29">
            <v>92333.53</v>
          </cell>
          <cell r="K29">
            <v>92333.53</v>
          </cell>
          <cell r="L29">
            <v>207666.47</v>
          </cell>
          <cell r="M29">
            <v>207666.47</v>
          </cell>
        </row>
        <row r="30">
          <cell r="B30" t="str">
            <v>21201</v>
          </cell>
          <cell r="C30" t="str">
            <v>Materiales y Utiles de Impresión y Reprodución</v>
          </cell>
          <cell r="D30">
            <v>150000.01</v>
          </cell>
          <cell r="E30">
            <v>0</v>
          </cell>
          <cell r="F30">
            <v>0</v>
          </cell>
          <cell r="G30">
            <v>150000.01</v>
          </cell>
          <cell r="H30">
            <v>127274.48999999999</v>
          </cell>
          <cell r="I30">
            <v>127274.48999999999</v>
          </cell>
          <cell r="J30">
            <v>127274.48999999999</v>
          </cell>
          <cell r="K30">
            <v>127274.48999999999</v>
          </cell>
          <cell r="L30">
            <v>22725.520000000019</v>
          </cell>
          <cell r="M30">
            <v>22725.520000000019</v>
          </cell>
        </row>
        <row r="31">
          <cell r="B31" t="str">
            <v>21501</v>
          </cell>
          <cell r="C31" t="str">
            <v>Material para Información</v>
          </cell>
          <cell r="D31">
            <v>300000</v>
          </cell>
          <cell r="E31">
            <v>100000</v>
          </cell>
          <cell r="F31">
            <v>0</v>
          </cell>
          <cell r="G31">
            <v>400000</v>
          </cell>
          <cell r="H31">
            <v>145976.28</v>
          </cell>
          <cell r="I31">
            <v>145976.28</v>
          </cell>
          <cell r="J31">
            <v>145976.28</v>
          </cell>
          <cell r="K31">
            <v>145976.28</v>
          </cell>
          <cell r="L31">
            <v>254023.72</v>
          </cell>
          <cell r="M31">
            <v>254023.72</v>
          </cell>
        </row>
        <row r="32">
          <cell r="B32" t="str">
            <v>21601</v>
          </cell>
          <cell r="C32" t="str">
            <v>Material de Limpieza</v>
          </cell>
          <cell r="D32">
            <v>10000.01</v>
          </cell>
          <cell r="E32">
            <v>0</v>
          </cell>
          <cell r="F32">
            <v>0</v>
          </cell>
          <cell r="G32">
            <v>10000.01</v>
          </cell>
          <cell r="H32">
            <v>4059.55</v>
          </cell>
          <cell r="I32">
            <v>4059.55</v>
          </cell>
          <cell r="J32">
            <v>4059.55</v>
          </cell>
          <cell r="K32">
            <v>4059.55</v>
          </cell>
          <cell r="L32">
            <v>5940.46</v>
          </cell>
          <cell r="M32">
            <v>5940.46</v>
          </cell>
        </row>
        <row r="33">
          <cell r="B33" t="str">
            <v>21801</v>
          </cell>
          <cell r="C33" t="str">
            <v>Placas, Engomados, Calcomanías y Hologramas</v>
          </cell>
          <cell r="D33">
            <v>10500</v>
          </cell>
          <cell r="E33">
            <v>0</v>
          </cell>
          <cell r="F33">
            <v>0</v>
          </cell>
          <cell r="G33">
            <v>10500</v>
          </cell>
          <cell r="H33">
            <v>10400</v>
          </cell>
          <cell r="I33">
            <v>10400</v>
          </cell>
          <cell r="J33">
            <v>10400</v>
          </cell>
          <cell r="K33">
            <v>10400</v>
          </cell>
          <cell r="L33">
            <v>100</v>
          </cell>
          <cell r="M33">
            <v>100</v>
          </cell>
        </row>
        <row r="34">
          <cell r="B34" t="str">
            <v>22101</v>
          </cell>
          <cell r="C34" t="str">
            <v>Productos Alimenticios p/el Personal en las inst.</v>
          </cell>
          <cell r="D34">
            <v>70000.009999999995</v>
          </cell>
          <cell r="E34">
            <v>10000</v>
          </cell>
          <cell r="F34">
            <v>0</v>
          </cell>
          <cell r="G34">
            <v>80000.009999999995</v>
          </cell>
          <cell r="H34">
            <v>79798.390000000014</v>
          </cell>
          <cell r="I34">
            <v>79798.390000000014</v>
          </cell>
          <cell r="J34">
            <v>79798.390000000014</v>
          </cell>
          <cell r="K34">
            <v>79798.390000000014</v>
          </cell>
          <cell r="L34">
            <v>201.61999999998079</v>
          </cell>
          <cell r="M34">
            <v>201.61999999998079</v>
          </cell>
        </row>
        <row r="35">
          <cell r="B35" t="str">
            <v>22301</v>
          </cell>
          <cell r="C35" t="str">
            <v>Utensilios para el Servicio de Alimentación</v>
          </cell>
          <cell r="D35">
            <v>5000</v>
          </cell>
          <cell r="E35">
            <v>0</v>
          </cell>
          <cell r="F35">
            <v>0</v>
          </cell>
          <cell r="G35">
            <v>5000</v>
          </cell>
          <cell r="H35">
            <v>1533.2800000000002</v>
          </cell>
          <cell r="I35">
            <v>1533.2800000000002</v>
          </cell>
          <cell r="J35">
            <v>1533.2800000000002</v>
          </cell>
          <cell r="K35">
            <v>1533.2800000000002</v>
          </cell>
          <cell r="L35">
            <v>3466.72</v>
          </cell>
          <cell r="M35">
            <v>3466.72</v>
          </cell>
        </row>
        <row r="36">
          <cell r="B36" t="str">
            <v>24101</v>
          </cell>
          <cell r="C36" t="str">
            <v>Productos Minerales NO Métalicos</v>
          </cell>
          <cell r="D36">
            <v>0</v>
          </cell>
          <cell r="E36">
            <v>0</v>
          </cell>
          <cell r="F36">
            <v>0</v>
          </cell>
          <cell r="G36">
            <v>0</v>
          </cell>
          <cell r="H36">
            <v>0</v>
          </cell>
          <cell r="I36">
            <v>0</v>
          </cell>
          <cell r="J36">
            <v>0</v>
          </cell>
          <cell r="K36">
            <v>0</v>
          </cell>
          <cell r="L36">
            <v>0</v>
          </cell>
          <cell r="M36">
            <v>0</v>
          </cell>
        </row>
        <row r="37">
          <cell r="B37" t="str">
            <v>24501</v>
          </cell>
          <cell r="C37" t="str">
            <v>Vidrioy Productos de Vidrio</v>
          </cell>
          <cell r="D37">
            <v>0</v>
          </cell>
          <cell r="E37">
            <v>0</v>
          </cell>
          <cell r="F37">
            <v>0</v>
          </cell>
          <cell r="G37">
            <v>0</v>
          </cell>
          <cell r="H37">
            <v>0</v>
          </cell>
          <cell r="I37">
            <v>0</v>
          </cell>
          <cell r="J37">
            <v>0</v>
          </cell>
          <cell r="K37">
            <v>0</v>
          </cell>
          <cell r="L37">
            <v>0</v>
          </cell>
          <cell r="M37">
            <v>0</v>
          </cell>
        </row>
        <row r="38">
          <cell r="B38" t="str">
            <v>24601</v>
          </cell>
          <cell r="C38" t="str">
            <v>Material Eléctrico y Electrónico</v>
          </cell>
          <cell r="D38">
            <v>0</v>
          </cell>
          <cell r="E38">
            <v>0</v>
          </cell>
          <cell r="F38">
            <v>0</v>
          </cell>
          <cell r="G38">
            <v>0</v>
          </cell>
          <cell r="H38">
            <v>0</v>
          </cell>
          <cell r="I38">
            <v>0</v>
          </cell>
          <cell r="J38">
            <v>0</v>
          </cell>
          <cell r="K38">
            <v>0</v>
          </cell>
          <cell r="L38">
            <v>0</v>
          </cell>
          <cell r="M38">
            <v>0</v>
          </cell>
        </row>
        <row r="39">
          <cell r="B39" t="str">
            <v>24701</v>
          </cell>
          <cell r="C39" t="str">
            <v>Articulos Metálicos para la Construcción</v>
          </cell>
          <cell r="D39">
            <v>0</v>
          </cell>
          <cell r="E39">
            <v>0</v>
          </cell>
          <cell r="F39">
            <v>0</v>
          </cell>
          <cell r="G39">
            <v>0</v>
          </cell>
          <cell r="H39">
            <v>0</v>
          </cell>
          <cell r="I39">
            <v>0</v>
          </cell>
          <cell r="J39">
            <v>0</v>
          </cell>
          <cell r="K39">
            <v>0</v>
          </cell>
          <cell r="L39">
            <v>0</v>
          </cell>
          <cell r="M39">
            <v>0</v>
          </cell>
        </row>
        <row r="40">
          <cell r="B40" t="str">
            <v>24801</v>
          </cell>
          <cell r="C40" t="str">
            <v>Materiales Complementarios</v>
          </cell>
          <cell r="D40">
            <v>10000.01</v>
          </cell>
          <cell r="E40">
            <v>0</v>
          </cell>
          <cell r="F40">
            <v>10000</v>
          </cell>
          <cell r="G40">
            <v>1.0000000000218279E-2</v>
          </cell>
          <cell r="H40">
            <v>0</v>
          </cell>
          <cell r="I40">
            <v>0</v>
          </cell>
          <cell r="J40">
            <v>0</v>
          </cell>
          <cell r="K40">
            <v>0</v>
          </cell>
          <cell r="L40">
            <v>1.0000000000218279E-2</v>
          </cell>
          <cell r="M40">
            <v>1.0000000000218279E-2</v>
          </cell>
        </row>
        <row r="41">
          <cell r="B41" t="str">
            <v>25301</v>
          </cell>
          <cell r="C41" t="str">
            <v>Medicinas y Productos Farmaceuticos</v>
          </cell>
          <cell r="D41">
            <v>1000</v>
          </cell>
          <cell r="E41">
            <v>0</v>
          </cell>
          <cell r="F41">
            <v>0</v>
          </cell>
          <cell r="G41">
            <v>1000</v>
          </cell>
          <cell r="H41">
            <v>0</v>
          </cell>
          <cell r="I41">
            <v>0</v>
          </cell>
          <cell r="J41">
            <v>0</v>
          </cell>
          <cell r="K41">
            <v>0</v>
          </cell>
          <cell r="L41">
            <v>1000</v>
          </cell>
          <cell r="M41">
            <v>1000</v>
          </cell>
        </row>
        <row r="42">
          <cell r="B42" t="str">
            <v>26101</v>
          </cell>
          <cell r="C42" t="str">
            <v>Combustibles</v>
          </cell>
          <cell r="D42">
            <v>300000</v>
          </cell>
          <cell r="E42">
            <v>0</v>
          </cell>
          <cell r="F42">
            <v>0</v>
          </cell>
          <cell r="G42">
            <v>300000</v>
          </cell>
          <cell r="H42">
            <v>285316.41000000003</v>
          </cell>
          <cell r="I42">
            <v>285316.41000000003</v>
          </cell>
          <cell r="J42">
            <v>285316.41000000003</v>
          </cell>
          <cell r="K42">
            <v>285316.41000000003</v>
          </cell>
          <cell r="L42">
            <v>14683.589999999967</v>
          </cell>
          <cell r="M42">
            <v>14683.589999999967</v>
          </cell>
        </row>
        <row r="43">
          <cell r="B43" t="str">
            <v>27101</v>
          </cell>
          <cell r="C43" t="str">
            <v>Vestuario y Uniformes</v>
          </cell>
          <cell r="D43">
            <v>0</v>
          </cell>
          <cell r="E43">
            <v>0</v>
          </cell>
          <cell r="F43">
            <v>0</v>
          </cell>
          <cell r="G43">
            <v>0</v>
          </cell>
          <cell r="H43">
            <v>0</v>
          </cell>
          <cell r="I43">
            <v>0</v>
          </cell>
          <cell r="J43">
            <v>0</v>
          </cell>
          <cell r="K43">
            <v>0</v>
          </cell>
          <cell r="L43">
            <v>0</v>
          </cell>
          <cell r="M43">
            <v>0</v>
          </cell>
        </row>
        <row r="44">
          <cell r="B44" t="str">
            <v>29101</v>
          </cell>
          <cell r="C44" t="str">
            <v>Herramientas Menores</v>
          </cell>
          <cell r="D44">
            <v>100000.01</v>
          </cell>
          <cell r="E44">
            <v>0</v>
          </cell>
          <cell r="F44">
            <v>0</v>
          </cell>
          <cell r="G44">
            <v>100000.01</v>
          </cell>
          <cell r="H44">
            <v>48051.619999999995</v>
          </cell>
          <cell r="I44">
            <v>48051.619999999995</v>
          </cell>
          <cell r="J44">
            <v>48051.619999999995</v>
          </cell>
          <cell r="K44">
            <v>48051.619999999995</v>
          </cell>
          <cell r="L44">
            <v>51948.39</v>
          </cell>
          <cell r="M44">
            <v>51948.39</v>
          </cell>
        </row>
        <row r="45">
          <cell r="B45" t="str">
            <v>29401</v>
          </cell>
          <cell r="C45" t="str">
            <v>Refac y accs menores de eq. computo y tec de infor</v>
          </cell>
          <cell r="D45">
            <v>80000</v>
          </cell>
          <cell r="E45">
            <v>0</v>
          </cell>
          <cell r="F45">
            <v>0</v>
          </cell>
          <cell r="G45">
            <v>80000</v>
          </cell>
          <cell r="H45">
            <v>27785.79</v>
          </cell>
          <cell r="I45">
            <v>27785.79</v>
          </cell>
          <cell r="J45">
            <v>27785.79</v>
          </cell>
          <cell r="K45">
            <v>27785.79</v>
          </cell>
          <cell r="L45">
            <v>52214.21</v>
          </cell>
          <cell r="M45">
            <v>52214.21</v>
          </cell>
        </row>
        <row r="46">
          <cell r="B46" t="str">
            <v>29601</v>
          </cell>
          <cell r="C46" t="str">
            <v>Refacc y Accs Menores de Eq Transporte</v>
          </cell>
          <cell r="D46">
            <v>150000.01</v>
          </cell>
          <cell r="E46">
            <v>0</v>
          </cell>
          <cell r="F46">
            <v>0</v>
          </cell>
          <cell r="G46">
            <v>150000.01</v>
          </cell>
          <cell r="H46">
            <v>57756.959999999999</v>
          </cell>
          <cell r="I46">
            <v>57756.959999999999</v>
          </cell>
          <cell r="J46">
            <v>57756.959999999999</v>
          </cell>
          <cell r="K46">
            <v>57756.959999999999</v>
          </cell>
          <cell r="L46">
            <v>92243.050000000017</v>
          </cell>
          <cell r="M46">
            <v>92243.050000000017</v>
          </cell>
        </row>
        <row r="47">
          <cell r="B47">
            <v>3000</v>
          </cell>
          <cell r="C47" t="str">
            <v>SERVICIOS GENERALES</v>
          </cell>
          <cell r="D47">
            <v>39361928.079999991</v>
          </cell>
          <cell r="E47">
            <v>7780447.6299999999</v>
          </cell>
          <cell r="F47">
            <v>697662.67999999993</v>
          </cell>
          <cell r="G47">
            <v>46444713.030000001</v>
          </cell>
          <cell r="H47">
            <v>23067638.18</v>
          </cell>
          <cell r="I47">
            <v>23067638.099999998</v>
          </cell>
          <cell r="J47">
            <v>23067638.099999998</v>
          </cell>
          <cell r="K47">
            <v>23067638.099999998</v>
          </cell>
          <cell r="L47">
            <v>23837474.850000005</v>
          </cell>
          <cell r="M47">
            <v>23837474.930000007</v>
          </cell>
        </row>
        <row r="48">
          <cell r="B48" t="str">
            <v>31101</v>
          </cell>
          <cell r="C48" t="str">
            <v>Energia Electrica</v>
          </cell>
          <cell r="D48">
            <v>1000000</v>
          </cell>
          <cell r="E48">
            <v>0</v>
          </cell>
          <cell r="F48">
            <v>0</v>
          </cell>
          <cell r="G48">
            <v>1000000</v>
          </cell>
          <cell r="H48">
            <v>580035.23</v>
          </cell>
          <cell r="I48">
            <v>580035.23</v>
          </cell>
          <cell r="J48">
            <v>580035.23</v>
          </cell>
          <cell r="K48">
            <v>580035.23</v>
          </cell>
          <cell r="L48">
            <v>419964.77</v>
          </cell>
          <cell r="M48">
            <v>419964.77</v>
          </cell>
        </row>
        <row r="49">
          <cell r="B49" t="str">
            <v>31301</v>
          </cell>
          <cell r="C49" t="str">
            <v>Agua</v>
          </cell>
          <cell r="D49">
            <v>59999.99</v>
          </cell>
          <cell r="E49">
            <v>0</v>
          </cell>
          <cell r="F49">
            <v>0</v>
          </cell>
          <cell r="G49">
            <v>59999.99</v>
          </cell>
          <cell r="H49">
            <v>38910.15</v>
          </cell>
          <cell r="I49">
            <v>38910.15</v>
          </cell>
          <cell r="J49">
            <v>38910.15</v>
          </cell>
          <cell r="K49">
            <v>38910.15</v>
          </cell>
          <cell r="L49">
            <v>21089.839999999997</v>
          </cell>
          <cell r="M49">
            <v>21089.839999999997</v>
          </cell>
        </row>
        <row r="50">
          <cell r="B50" t="str">
            <v>31401</v>
          </cell>
          <cell r="C50" t="str">
            <v>Telefonia Tradicional</v>
          </cell>
          <cell r="D50">
            <v>500000.01</v>
          </cell>
          <cell r="E50">
            <v>0</v>
          </cell>
          <cell r="F50">
            <v>0</v>
          </cell>
          <cell r="G50">
            <v>500000.01</v>
          </cell>
          <cell r="H50">
            <v>376146.74</v>
          </cell>
          <cell r="I50">
            <v>376146.74</v>
          </cell>
          <cell r="J50">
            <v>376146.74</v>
          </cell>
          <cell r="K50">
            <v>376146.74</v>
          </cell>
          <cell r="L50">
            <v>123853.27000000002</v>
          </cell>
          <cell r="M50">
            <v>123853.27000000002</v>
          </cell>
        </row>
        <row r="51">
          <cell r="B51" t="str">
            <v>31501</v>
          </cell>
          <cell r="C51" t="str">
            <v>Telefonia Celular</v>
          </cell>
          <cell r="D51">
            <v>150000.01</v>
          </cell>
          <cell r="E51">
            <v>0</v>
          </cell>
          <cell r="F51">
            <v>0</v>
          </cell>
          <cell r="G51">
            <v>150000.01</v>
          </cell>
          <cell r="H51">
            <v>53383</v>
          </cell>
          <cell r="I51">
            <v>53383</v>
          </cell>
          <cell r="J51">
            <v>53383</v>
          </cell>
          <cell r="K51">
            <v>53383</v>
          </cell>
          <cell r="L51">
            <v>96617.010000000009</v>
          </cell>
          <cell r="M51">
            <v>96617.010000000009</v>
          </cell>
        </row>
        <row r="52">
          <cell r="B52" t="str">
            <v>31701</v>
          </cell>
          <cell r="C52" t="str">
            <v>Serv Acceso Internet, Redes y Proces de Informacio</v>
          </cell>
          <cell r="D52">
            <v>25000</v>
          </cell>
          <cell r="E52">
            <v>0</v>
          </cell>
          <cell r="F52">
            <v>0</v>
          </cell>
          <cell r="G52">
            <v>25000</v>
          </cell>
          <cell r="H52">
            <v>9003</v>
          </cell>
          <cell r="I52">
            <v>9003</v>
          </cell>
          <cell r="J52">
            <v>9003</v>
          </cell>
          <cell r="K52">
            <v>9003</v>
          </cell>
          <cell r="L52">
            <v>15997</v>
          </cell>
          <cell r="M52">
            <v>15997</v>
          </cell>
        </row>
        <row r="53">
          <cell r="B53" t="str">
            <v>31801</v>
          </cell>
          <cell r="C53" t="str">
            <v>Servicio Postal</v>
          </cell>
          <cell r="D53">
            <v>200000</v>
          </cell>
          <cell r="E53">
            <v>0</v>
          </cell>
          <cell r="F53">
            <v>0</v>
          </cell>
          <cell r="G53">
            <v>200000</v>
          </cell>
          <cell r="H53">
            <v>89020.529999999984</v>
          </cell>
          <cell r="I53">
            <v>89020.529999999984</v>
          </cell>
          <cell r="J53">
            <v>89020.529999999984</v>
          </cell>
          <cell r="K53">
            <v>89020.529999999984</v>
          </cell>
          <cell r="L53">
            <v>110979.47000000002</v>
          </cell>
          <cell r="M53">
            <v>110979.47000000002</v>
          </cell>
        </row>
        <row r="54">
          <cell r="B54" t="str">
            <v>32201</v>
          </cell>
          <cell r="C54" t="str">
            <v>Arrendamiento de Edificios</v>
          </cell>
          <cell r="D54">
            <v>2300500.0099999998</v>
          </cell>
          <cell r="E54">
            <v>0</v>
          </cell>
          <cell r="F54">
            <v>0</v>
          </cell>
          <cell r="G54">
            <v>2300500.0099999998</v>
          </cell>
          <cell r="H54">
            <v>2154408.19</v>
          </cell>
          <cell r="I54">
            <v>2154408.11</v>
          </cell>
          <cell r="J54">
            <v>2154408.11</v>
          </cell>
          <cell r="K54">
            <v>2154408.11</v>
          </cell>
          <cell r="L54">
            <v>146091.81999999983</v>
          </cell>
          <cell r="M54">
            <v>146091.89999999991</v>
          </cell>
        </row>
        <row r="55">
          <cell r="B55" t="str">
            <v>32301</v>
          </cell>
          <cell r="C55" t="str">
            <v>Arrendamiento Muebles, Maq y Eqpo</v>
          </cell>
          <cell r="D55">
            <v>100000.01</v>
          </cell>
          <cell r="E55">
            <v>30000</v>
          </cell>
          <cell r="F55">
            <v>0</v>
          </cell>
          <cell r="G55">
            <v>130000.01</v>
          </cell>
          <cell r="H55">
            <v>120765.66</v>
          </cell>
          <cell r="I55">
            <v>120765.66</v>
          </cell>
          <cell r="J55">
            <v>120765.66</v>
          </cell>
          <cell r="K55">
            <v>120765.66</v>
          </cell>
          <cell r="L55">
            <v>9234.3499999999913</v>
          </cell>
          <cell r="M55">
            <v>9234.3499999999913</v>
          </cell>
        </row>
        <row r="56">
          <cell r="B56" t="str">
            <v>32501</v>
          </cell>
          <cell r="C56" t="str">
            <v>Arrendamiento Eqpo de Transporte</v>
          </cell>
          <cell r="D56">
            <v>350000.01</v>
          </cell>
          <cell r="E56">
            <v>0</v>
          </cell>
          <cell r="F56">
            <v>0</v>
          </cell>
          <cell r="G56">
            <v>350000.01</v>
          </cell>
          <cell r="H56">
            <v>141737.60000000001</v>
          </cell>
          <cell r="I56">
            <v>141737.60000000001</v>
          </cell>
          <cell r="J56">
            <v>141737.60000000001</v>
          </cell>
          <cell r="K56">
            <v>141737.60000000001</v>
          </cell>
          <cell r="L56">
            <v>208262.41</v>
          </cell>
          <cell r="M56">
            <v>208262.41</v>
          </cell>
        </row>
        <row r="57">
          <cell r="B57" t="str">
            <v>33101</v>
          </cell>
          <cell r="C57" t="str">
            <v>Servs Legales,de Contabilidad,Auditorias y Relacio</v>
          </cell>
          <cell r="D57">
            <v>1100000</v>
          </cell>
          <cell r="E57">
            <v>0</v>
          </cell>
          <cell r="F57">
            <v>230200</v>
          </cell>
          <cell r="G57">
            <v>869800</v>
          </cell>
          <cell r="H57">
            <v>579054.26</v>
          </cell>
          <cell r="I57">
            <v>579054.26</v>
          </cell>
          <cell r="J57">
            <v>579054.26</v>
          </cell>
          <cell r="K57">
            <v>579054.26</v>
          </cell>
          <cell r="L57">
            <v>751145.74</v>
          </cell>
          <cell r="M57">
            <v>751145.74</v>
          </cell>
        </row>
        <row r="58">
          <cell r="B58">
            <v>33201</v>
          </cell>
          <cell r="C58" t="str">
            <v>Servicios de Diseño, Arquitectura,Ingenieria y Act</v>
          </cell>
          <cell r="D58">
            <v>0</v>
          </cell>
          <cell r="E58">
            <v>230200</v>
          </cell>
          <cell r="F58">
            <v>0</v>
          </cell>
          <cell r="G58">
            <v>230200</v>
          </cell>
          <cell r="H58">
            <v>230190.4</v>
          </cell>
          <cell r="I58">
            <v>230190.4</v>
          </cell>
          <cell r="J58">
            <v>230190.4</v>
          </cell>
          <cell r="K58">
            <v>230190.4</v>
          </cell>
          <cell r="L58">
            <v>9.6000000000058208</v>
          </cell>
          <cell r="M58">
            <v>9.6000000000058208</v>
          </cell>
        </row>
        <row r="59">
          <cell r="B59" t="str">
            <v>33301</v>
          </cell>
          <cell r="C59" t="str">
            <v>Servicos de Informatica</v>
          </cell>
          <cell r="D59">
            <v>25000</v>
          </cell>
          <cell r="E59">
            <v>0</v>
          </cell>
          <cell r="F59">
            <v>0</v>
          </cell>
          <cell r="G59">
            <v>25000</v>
          </cell>
          <cell r="H59">
            <v>0</v>
          </cell>
          <cell r="I59">
            <v>0</v>
          </cell>
          <cell r="J59">
            <v>0</v>
          </cell>
          <cell r="K59">
            <v>0</v>
          </cell>
          <cell r="L59">
            <v>25000</v>
          </cell>
          <cell r="M59">
            <v>25000</v>
          </cell>
        </row>
        <row r="60">
          <cell r="B60" t="str">
            <v>33302</v>
          </cell>
          <cell r="C60" t="str">
            <v>Servicios de Consultoria</v>
          </cell>
          <cell r="D60">
            <v>8000000</v>
          </cell>
          <cell r="E60">
            <v>0</v>
          </cell>
          <cell r="F60">
            <v>0</v>
          </cell>
          <cell r="G60">
            <v>8000000</v>
          </cell>
          <cell r="H60">
            <v>7239864.8200000003</v>
          </cell>
          <cell r="I60">
            <v>7239864.8200000003</v>
          </cell>
          <cell r="J60">
            <v>7239864.8200000003</v>
          </cell>
          <cell r="K60">
            <v>7239864.8200000003</v>
          </cell>
          <cell r="L60">
            <v>760135.1799999997</v>
          </cell>
          <cell r="M60">
            <v>760135.1799999997</v>
          </cell>
        </row>
        <row r="61">
          <cell r="B61" t="str">
            <v>33401</v>
          </cell>
          <cell r="C61" t="str">
            <v>Servicios de Capacitacion</v>
          </cell>
          <cell r="D61">
            <v>10000.01</v>
          </cell>
          <cell r="E61">
            <v>0</v>
          </cell>
          <cell r="F61">
            <v>0</v>
          </cell>
          <cell r="G61">
            <v>10000.01</v>
          </cell>
          <cell r="H61">
            <v>8120</v>
          </cell>
          <cell r="I61">
            <v>8120</v>
          </cell>
          <cell r="J61">
            <v>8120</v>
          </cell>
          <cell r="K61">
            <v>8120</v>
          </cell>
          <cell r="L61">
            <v>1880.0100000000002</v>
          </cell>
          <cell r="M61">
            <v>1880.0100000000002</v>
          </cell>
        </row>
        <row r="62">
          <cell r="B62" t="str">
            <v>33603</v>
          </cell>
          <cell r="C62" t="str">
            <v>Impresiones y Publicaciones Oficiales</v>
          </cell>
          <cell r="D62">
            <v>0</v>
          </cell>
          <cell r="E62">
            <v>0</v>
          </cell>
          <cell r="F62">
            <v>0</v>
          </cell>
          <cell r="G62">
            <v>0</v>
          </cell>
          <cell r="H62">
            <v>0</v>
          </cell>
          <cell r="I62">
            <v>0</v>
          </cell>
          <cell r="J62">
            <v>0</v>
          </cell>
          <cell r="K62">
            <v>0</v>
          </cell>
          <cell r="L62">
            <v>0</v>
          </cell>
          <cell r="M62">
            <v>0</v>
          </cell>
        </row>
        <row r="63">
          <cell r="B63" t="str">
            <v>33801</v>
          </cell>
          <cell r="C63" t="str">
            <v>Servicio de Vigilancia</v>
          </cell>
          <cell r="D63">
            <v>430000</v>
          </cell>
          <cell r="E63">
            <v>140300</v>
          </cell>
          <cell r="F63">
            <v>0</v>
          </cell>
          <cell r="G63">
            <v>570300</v>
          </cell>
          <cell r="H63">
            <v>570206.92000000004</v>
          </cell>
          <cell r="I63">
            <v>570206.92000000004</v>
          </cell>
          <cell r="J63">
            <v>570206.92000000004</v>
          </cell>
          <cell r="K63">
            <v>570206.92000000004</v>
          </cell>
          <cell r="L63">
            <v>93.07999999995809</v>
          </cell>
          <cell r="M63">
            <v>93.07999999995809</v>
          </cell>
        </row>
        <row r="64">
          <cell r="B64" t="str">
            <v>33901</v>
          </cell>
          <cell r="C64" t="str">
            <v>Servicios, Profesionales, Cientificos y Tenicos In</v>
          </cell>
          <cell r="D64">
            <v>750000</v>
          </cell>
          <cell r="E64">
            <v>117000</v>
          </cell>
          <cell r="F64">
            <v>0</v>
          </cell>
          <cell r="G64">
            <v>867000</v>
          </cell>
          <cell r="H64">
            <v>866876.31</v>
          </cell>
          <cell r="I64">
            <v>866876.31</v>
          </cell>
          <cell r="J64">
            <v>866876.31</v>
          </cell>
          <cell r="K64">
            <v>866876.31</v>
          </cell>
          <cell r="L64">
            <v>123.68999999994412</v>
          </cell>
          <cell r="M64">
            <v>123.68999999994412</v>
          </cell>
        </row>
        <row r="65">
          <cell r="B65" t="str">
            <v>34101</v>
          </cell>
          <cell r="C65" t="str">
            <v>Servicios Financieros y Bancarios</v>
          </cell>
          <cell r="D65">
            <v>10000.01</v>
          </cell>
          <cell r="E65">
            <v>0</v>
          </cell>
          <cell r="F65">
            <v>0</v>
          </cell>
          <cell r="G65">
            <v>10000.01</v>
          </cell>
          <cell r="H65">
            <v>7596.7000000000007</v>
          </cell>
          <cell r="I65">
            <v>7596.7000000000007</v>
          </cell>
          <cell r="J65">
            <v>7596.7000000000007</v>
          </cell>
          <cell r="K65">
            <v>7596.7000000000007</v>
          </cell>
          <cell r="L65">
            <v>2403.3099999999995</v>
          </cell>
          <cell r="M65">
            <v>2403.3099999999995</v>
          </cell>
        </row>
        <row r="66">
          <cell r="B66" t="str">
            <v>34401</v>
          </cell>
          <cell r="C66" t="str">
            <v>Seguros de Responsabilidad Patrimonial y Fianzas</v>
          </cell>
          <cell r="D66">
            <v>350000.01</v>
          </cell>
          <cell r="E66">
            <v>0</v>
          </cell>
          <cell r="F66">
            <v>20000</v>
          </cell>
          <cell r="G66">
            <v>330000.01</v>
          </cell>
          <cell r="H66">
            <v>185330.28999999998</v>
          </cell>
          <cell r="I66">
            <v>185330.28999999998</v>
          </cell>
          <cell r="J66">
            <v>185330.28999999998</v>
          </cell>
          <cell r="K66">
            <v>185330.28999999998</v>
          </cell>
          <cell r="L66">
            <v>144669.72000000003</v>
          </cell>
          <cell r="M66">
            <v>144669.72000000003</v>
          </cell>
        </row>
        <row r="67">
          <cell r="B67" t="str">
            <v>34501</v>
          </cell>
          <cell r="C67" t="str">
            <v>Seguro de Bienes Patrimoniales</v>
          </cell>
          <cell r="D67">
            <v>59999.99</v>
          </cell>
          <cell r="E67">
            <v>27800</v>
          </cell>
          <cell r="F67">
            <v>0</v>
          </cell>
          <cell r="G67">
            <v>87799.989999999991</v>
          </cell>
          <cell r="H67">
            <v>87783.330000000016</v>
          </cell>
          <cell r="I67">
            <v>87783.330000000016</v>
          </cell>
          <cell r="J67">
            <v>87783.330000000016</v>
          </cell>
          <cell r="K67">
            <v>87783.330000000016</v>
          </cell>
          <cell r="L67">
            <v>16.659999999974389</v>
          </cell>
          <cell r="M67">
            <v>16.659999999974389</v>
          </cell>
        </row>
        <row r="68">
          <cell r="B68" t="str">
            <v>34701</v>
          </cell>
          <cell r="C68" t="str">
            <v>Fletes y Maniobras</v>
          </cell>
          <cell r="D68">
            <v>10000.01</v>
          </cell>
          <cell r="E68">
            <v>0</v>
          </cell>
          <cell r="F68">
            <v>0</v>
          </cell>
          <cell r="G68">
            <v>10000.01</v>
          </cell>
          <cell r="H68">
            <v>3480</v>
          </cell>
          <cell r="I68">
            <v>3480</v>
          </cell>
          <cell r="J68">
            <v>3480</v>
          </cell>
          <cell r="K68">
            <v>3480</v>
          </cell>
          <cell r="L68">
            <v>6520.01</v>
          </cell>
          <cell r="M68">
            <v>6520.01</v>
          </cell>
        </row>
        <row r="69">
          <cell r="B69" t="str">
            <v>35101</v>
          </cell>
          <cell r="C69" t="str">
            <v>Mantenimiento y Conservacion de Inmuebles</v>
          </cell>
          <cell r="D69">
            <v>1200000</v>
          </cell>
          <cell r="E69">
            <v>0</v>
          </cell>
          <cell r="F69">
            <v>0</v>
          </cell>
          <cell r="G69">
            <v>1200000</v>
          </cell>
          <cell r="H69">
            <v>910097.28</v>
          </cell>
          <cell r="I69">
            <v>910097.28</v>
          </cell>
          <cell r="J69">
            <v>910097.28</v>
          </cell>
          <cell r="K69">
            <v>910097.28</v>
          </cell>
          <cell r="L69">
            <v>289902.71999999997</v>
          </cell>
          <cell r="M69">
            <v>289902.71999999997</v>
          </cell>
        </row>
        <row r="70">
          <cell r="B70" t="str">
            <v>35201</v>
          </cell>
          <cell r="C70" t="str">
            <v>Mantenimiento y Conservacion de Mob y Eqpo</v>
          </cell>
          <cell r="D70">
            <v>10000.01</v>
          </cell>
          <cell r="E70">
            <v>0</v>
          </cell>
          <cell r="F70">
            <v>0</v>
          </cell>
          <cell r="G70">
            <v>10000.01</v>
          </cell>
          <cell r="H70">
            <v>0</v>
          </cell>
          <cell r="I70">
            <v>0</v>
          </cell>
          <cell r="J70">
            <v>0</v>
          </cell>
          <cell r="K70">
            <v>0</v>
          </cell>
          <cell r="L70">
            <v>10000.01</v>
          </cell>
          <cell r="M70">
            <v>10000.01</v>
          </cell>
        </row>
        <row r="71">
          <cell r="B71" t="str">
            <v>35301</v>
          </cell>
          <cell r="C71" t="str">
            <v>Instalaciones</v>
          </cell>
          <cell r="D71">
            <v>50000</v>
          </cell>
          <cell r="E71">
            <v>0</v>
          </cell>
          <cell r="F71">
            <v>0</v>
          </cell>
          <cell r="G71">
            <v>50000</v>
          </cell>
          <cell r="H71">
            <v>4760.84</v>
          </cell>
          <cell r="I71">
            <v>4760.84</v>
          </cell>
          <cell r="J71">
            <v>4760.84</v>
          </cell>
          <cell r="K71">
            <v>4760.84</v>
          </cell>
          <cell r="L71">
            <v>45239.16</v>
          </cell>
          <cell r="M71">
            <v>45239.16</v>
          </cell>
        </row>
        <row r="72">
          <cell r="B72" t="str">
            <v>35302</v>
          </cell>
          <cell r="C72" t="str">
            <v>Mantto y Conservacion de Bienes Informaticos</v>
          </cell>
          <cell r="D72">
            <v>70000.009999999995</v>
          </cell>
          <cell r="E72">
            <v>15300</v>
          </cell>
          <cell r="F72">
            <v>0</v>
          </cell>
          <cell r="G72">
            <v>85300.01</v>
          </cell>
          <cell r="H72">
            <v>85289.489999999991</v>
          </cell>
          <cell r="I72">
            <v>85289.489999999991</v>
          </cell>
          <cell r="J72">
            <v>85289.489999999991</v>
          </cell>
          <cell r="K72">
            <v>85289.489999999991</v>
          </cell>
          <cell r="L72">
            <v>10.520000000004075</v>
          </cell>
          <cell r="M72">
            <v>10.520000000004075</v>
          </cell>
        </row>
        <row r="73">
          <cell r="B73" t="str">
            <v>35501</v>
          </cell>
          <cell r="C73" t="str">
            <v>Mantto y Conservacion Eqpo de Transporte</v>
          </cell>
          <cell r="D73">
            <v>250000</v>
          </cell>
          <cell r="E73">
            <v>0</v>
          </cell>
          <cell r="F73">
            <v>0</v>
          </cell>
          <cell r="G73">
            <v>250000</v>
          </cell>
          <cell r="H73">
            <v>87996.299999999988</v>
          </cell>
          <cell r="I73">
            <v>87996.299999999988</v>
          </cell>
          <cell r="J73">
            <v>87996.299999999988</v>
          </cell>
          <cell r="K73">
            <v>87996.299999999988</v>
          </cell>
          <cell r="L73">
            <v>162003.70000000001</v>
          </cell>
          <cell r="M73">
            <v>162003.70000000001</v>
          </cell>
        </row>
        <row r="74">
          <cell r="B74" t="str">
            <v>35701</v>
          </cell>
          <cell r="C74" t="str">
            <v>Mantenimiento y Conservacion de Maq y Eqpo</v>
          </cell>
          <cell r="D74">
            <v>59999.99</v>
          </cell>
          <cell r="E74">
            <v>0</v>
          </cell>
          <cell r="F74">
            <v>0</v>
          </cell>
          <cell r="G74">
            <v>59999.99</v>
          </cell>
          <cell r="H74">
            <v>50291.519999999997</v>
          </cell>
          <cell r="I74">
            <v>50291.519999999997</v>
          </cell>
          <cell r="J74">
            <v>50291.519999999997</v>
          </cell>
          <cell r="K74">
            <v>50291.519999999997</v>
          </cell>
          <cell r="L74">
            <v>9708.4700000000012</v>
          </cell>
          <cell r="M74">
            <v>9708.4700000000012</v>
          </cell>
        </row>
        <row r="75">
          <cell r="B75" t="str">
            <v>35901</v>
          </cell>
          <cell r="C75" t="str">
            <v>Servicios de Jardineria y Fumigacion</v>
          </cell>
          <cell r="D75">
            <v>90000</v>
          </cell>
          <cell r="E75">
            <v>0</v>
          </cell>
          <cell r="F75">
            <v>0</v>
          </cell>
          <cell r="G75">
            <v>90000</v>
          </cell>
          <cell r="H75">
            <v>80959.710000000006</v>
          </cell>
          <cell r="I75">
            <v>80959.709999999992</v>
          </cell>
          <cell r="J75">
            <v>80959.709999999992</v>
          </cell>
          <cell r="K75">
            <v>80959.709999999992</v>
          </cell>
          <cell r="L75">
            <v>9040.2899999999936</v>
          </cell>
          <cell r="M75">
            <v>9040.2900000000081</v>
          </cell>
        </row>
        <row r="76">
          <cell r="B76" t="str">
            <v>36101</v>
          </cell>
          <cell r="C76" t="str">
            <v>Difusion por Radio,TV y otros Medios de Mensajes s</v>
          </cell>
          <cell r="D76">
            <v>9999999.9900000002</v>
          </cell>
          <cell r="E76">
            <v>906118.88</v>
          </cell>
          <cell r="F76">
            <v>0</v>
          </cell>
          <cell r="G76">
            <v>10906118.870000001</v>
          </cell>
          <cell r="H76">
            <v>906118.86</v>
          </cell>
          <cell r="I76">
            <v>906118.86</v>
          </cell>
          <cell r="J76">
            <v>906118.86</v>
          </cell>
          <cell r="K76">
            <v>906118.86</v>
          </cell>
          <cell r="L76">
            <v>10000000.010000002</v>
          </cell>
          <cell r="M76">
            <v>10000000.010000002</v>
          </cell>
        </row>
        <row r="77">
          <cell r="B77" t="str">
            <v>36201</v>
          </cell>
          <cell r="C77" t="str">
            <v>Difusion por Radio,TV y Otros Medios de Mensajes C</v>
          </cell>
          <cell r="D77">
            <v>500000.01</v>
          </cell>
          <cell r="E77">
            <v>0</v>
          </cell>
          <cell r="F77">
            <v>105000</v>
          </cell>
          <cell r="G77">
            <v>395000.01</v>
          </cell>
          <cell r="H77">
            <v>70365.600000000006</v>
          </cell>
          <cell r="I77">
            <v>70365.600000000006</v>
          </cell>
          <cell r="J77">
            <v>70365.600000000006</v>
          </cell>
          <cell r="K77">
            <v>70365.600000000006</v>
          </cell>
          <cell r="L77">
            <v>324634.41000000003</v>
          </cell>
          <cell r="M77">
            <v>324634.41000000003</v>
          </cell>
        </row>
        <row r="78">
          <cell r="B78" t="str">
            <v>37101</v>
          </cell>
          <cell r="C78" t="str">
            <v>Pasajes Aereos</v>
          </cell>
          <cell r="D78">
            <v>3500000</v>
          </cell>
          <cell r="E78">
            <v>0</v>
          </cell>
          <cell r="F78">
            <v>0</v>
          </cell>
          <cell r="G78">
            <v>3500000</v>
          </cell>
          <cell r="H78">
            <v>2930557</v>
          </cell>
          <cell r="I78">
            <v>2930557</v>
          </cell>
          <cell r="J78">
            <v>2930557</v>
          </cell>
          <cell r="K78">
            <v>2930557</v>
          </cell>
          <cell r="L78">
            <v>569443</v>
          </cell>
          <cell r="M78">
            <v>569443</v>
          </cell>
        </row>
        <row r="79">
          <cell r="B79" t="str">
            <v>37201</v>
          </cell>
          <cell r="C79" t="str">
            <v>Pasajes Terrestres</v>
          </cell>
          <cell r="D79">
            <v>56428</v>
          </cell>
          <cell r="E79">
            <v>90000</v>
          </cell>
          <cell r="F79">
            <v>0</v>
          </cell>
          <cell r="G79">
            <v>146428</v>
          </cell>
          <cell r="H79">
            <v>35150.86</v>
          </cell>
          <cell r="I79">
            <v>35150.86</v>
          </cell>
          <cell r="J79">
            <v>35150.86</v>
          </cell>
          <cell r="K79">
            <v>35150.86</v>
          </cell>
          <cell r="L79">
            <v>111277.14</v>
          </cell>
          <cell r="M79">
            <v>111277.14</v>
          </cell>
        </row>
        <row r="80">
          <cell r="B80" t="str">
            <v>37501</v>
          </cell>
          <cell r="C80" t="str">
            <v>Viaticos en el Pais</v>
          </cell>
          <cell r="D80">
            <v>799999.99</v>
          </cell>
          <cell r="E80">
            <v>0</v>
          </cell>
          <cell r="F80">
            <v>0</v>
          </cell>
          <cell r="G80">
            <v>799999.99</v>
          </cell>
          <cell r="H80">
            <v>142556.41999999998</v>
          </cell>
          <cell r="I80">
            <v>142556.41999999998</v>
          </cell>
          <cell r="J80">
            <v>142556.41999999998</v>
          </cell>
          <cell r="K80">
            <v>142556.41999999998</v>
          </cell>
          <cell r="L80">
            <v>657443.57000000007</v>
          </cell>
          <cell r="M80">
            <v>657443.57000000007</v>
          </cell>
        </row>
        <row r="81">
          <cell r="B81" t="str">
            <v>37502</v>
          </cell>
          <cell r="C81" t="str">
            <v>Gastos de Camino</v>
          </cell>
          <cell r="D81">
            <v>5000</v>
          </cell>
          <cell r="E81">
            <v>5000</v>
          </cell>
          <cell r="F81">
            <v>0</v>
          </cell>
          <cell r="G81">
            <v>10000</v>
          </cell>
          <cell r="H81">
            <v>7498</v>
          </cell>
          <cell r="I81">
            <v>7498</v>
          </cell>
          <cell r="J81">
            <v>7498</v>
          </cell>
          <cell r="K81">
            <v>7498</v>
          </cell>
          <cell r="L81">
            <v>2502</v>
          </cell>
          <cell r="M81">
            <v>2502</v>
          </cell>
        </row>
        <row r="82">
          <cell r="B82" t="str">
            <v>37601</v>
          </cell>
          <cell r="C82" t="str">
            <v>Viaticos en el Extranjero</v>
          </cell>
          <cell r="D82">
            <v>2700000</v>
          </cell>
          <cell r="E82">
            <v>0</v>
          </cell>
          <cell r="F82">
            <v>45000</v>
          </cell>
          <cell r="G82">
            <v>2655000</v>
          </cell>
          <cell r="H82">
            <v>480268.83999999997</v>
          </cell>
          <cell r="I82">
            <v>480268.83999999997</v>
          </cell>
          <cell r="J82">
            <v>480268.83999999997</v>
          </cell>
          <cell r="K82">
            <v>480268.83999999997</v>
          </cell>
          <cell r="L82">
            <v>2174731.16</v>
          </cell>
          <cell r="M82">
            <v>2174731.16</v>
          </cell>
        </row>
        <row r="83">
          <cell r="B83" t="str">
            <v>37901</v>
          </cell>
          <cell r="C83" t="str">
            <v>Cuotas</v>
          </cell>
          <cell r="D83">
            <v>5000</v>
          </cell>
          <cell r="E83">
            <v>15000</v>
          </cell>
          <cell r="F83">
            <v>0</v>
          </cell>
          <cell r="G83">
            <v>20000</v>
          </cell>
          <cell r="H83">
            <v>9237</v>
          </cell>
          <cell r="I83">
            <v>9237</v>
          </cell>
          <cell r="J83">
            <v>9237</v>
          </cell>
          <cell r="K83">
            <v>9237</v>
          </cell>
          <cell r="L83">
            <v>10763</v>
          </cell>
          <cell r="M83">
            <v>10763</v>
          </cell>
        </row>
        <row r="84">
          <cell r="B84" t="str">
            <v>38101</v>
          </cell>
          <cell r="C84" t="str">
            <v>Gastos de ceremonial</v>
          </cell>
          <cell r="D84">
            <v>100000</v>
          </cell>
          <cell r="E84">
            <v>6193728.75</v>
          </cell>
          <cell r="F84">
            <v>17062.68</v>
          </cell>
          <cell r="G84">
            <v>6276666.0700000003</v>
          </cell>
          <cell r="H84">
            <v>1471670.7699999998</v>
          </cell>
          <cell r="I84">
            <v>1471670.7699999998</v>
          </cell>
          <cell r="J84">
            <v>1471670.7699999998</v>
          </cell>
          <cell r="K84">
            <v>1471670.7699999998</v>
          </cell>
          <cell r="L84">
            <v>4804995.3000000007</v>
          </cell>
          <cell r="M84">
            <v>4804995.3000000007</v>
          </cell>
        </row>
        <row r="85">
          <cell r="B85" t="str">
            <v>38201</v>
          </cell>
          <cell r="C85" t="str">
            <v>Gastos de Orden Social y cultural</v>
          </cell>
          <cell r="D85">
            <v>10000.01</v>
          </cell>
          <cell r="E85">
            <v>0</v>
          </cell>
          <cell r="F85">
            <v>0</v>
          </cell>
          <cell r="G85">
            <v>10000.01</v>
          </cell>
          <cell r="H85">
            <v>3000</v>
          </cell>
          <cell r="I85">
            <v>3000</v>
          </cell>
          <cell r="J85">
            <v>3000</v>
          </cell>
          <cell r="K85">
            <v>3000</v>
          </cell>
          <cell r="L85">
            <v>7000.01</v>
          </cell>
          <cell r="M85">
            <v>7000.01</v>
          </cell>
        </row>
        <row r="86">
          <cell r="B86" t="str">
            <v>38301</v>
          </cell>
          <cell r="C86" t="str">
            <v>Congresos y Convenciones</v>
          </cell>
          <cell r="D86">
            <v>3900000</v>
          </cell>
          <cell r="E86">
            <v>0</v>
          </cell>
          <cell r="F86">
            <v>280400</v>
          </cell>
          <cell r="G86">
            <v>3619600</v>
          </cell>
          <cell r="H86">
            <v>1898922.91</v>
          </cell>
          <cell r="I86">
            <v>1898922.91</v>
          </cell>
          <cell r="J86">
            <v>1898922.91</v>
          </cell>
          <cell r="K86">
            <v>1898922.91</v>
          </cell>
          <cell r="L86">
            <v>1720677.09</v>
          </cell>
          <cell r="M86">
            <v>1720677.09</v>
          </cell>
        </row>
        <row r="87">
          <cell r="B87" t="str">
            <v>38501</v>
          </cell>
          <cell r="C87" t="str">
            <v>Gastos de Atencion y Promocion</v>
          </cell>
          <cell r="D87">
            <v>600000</v>
          </cell>
          <cell r="E87">
            <v>0</v>
          </cell>
          <cell r="F87">
            <v>0</v>
          </cell>
          <cell r="G87">
            <v>600000</v>
          </cell>
          <cell r="H87">
            <v>522412.64999999997</v>
          </cell>
          <cell r="I87">
            <v>522412.64999999997</v>
          </cell>
          <cell r="J87">
            <v>522412.64999999997</v>
          </cell>
          <cell r="K87">
            <v>522412.64999999997</v>
          </cell>
          <cell r="L87">
            <v>77587.350000000035</v>
          </cell>
          <cell r="M87">
            <v>77587.350000000035</v>
          </cell>
        </row>
        <row r="88">
          <cell r="B88" t="str">
            <v>39201</v>
          </cell>
          <cell r="C88" t="str">
            <v>Impuestos y Derechos</v>
          </cell>
          <cell r="D88">
            <v>5000</v>
          </cell>
          <cell r="E88">
            <v>0</v>
          </cell>
          <cell r="F88">
            <v>0</v>
          </cell>
          <cell r="G88">
            <v>5000</v>
          </cell>
          <cell r="H88">
            <v>0</v>
          </cell>
          <cell r="I88">
            <v>0</v>
          </cell>
          <cell r="J88">
            <v>0</v>
          </cell>
          <cell r="K88">
            <v>0</v>
          </cell>
          <cell r="L88">
            <v>5000</v>
          </cell>
          <cell r="M88">
            <v>5000</v>
          </cell>
        </row>
        <row r="89">
          <cell r="B89">
            <v>39501</v>
          </cell>
          <cell r="C89" t="str">
            <v>PENAS, MULTAS, ACCESORIOS Y ACTUALIZACIONES</v>
          </cell>
          <cell r="D89">
            <v>20000</v>
          </cell>
          <cell r="E89">
            <v>10000</v>
          </cell>
          <cell r="F89">
            <v>0</v>
          </cell>
          <cell r="G89">
            <v>30000</v>
          </cell>
          <cell r="H89">
            <v>28571</v>
          </cell>
          <cell r="I89">
            <v>28571</v>
          </cell>
          <cell r="J89">
            <v>28571</v>
          </cell>
          <cell r="K89">
            <v>28571</v>
          </cell>
          <cell r="L89">
            <v>1429</v>
          </cell>
          <cell r="M89">
            <v>1429</v>
          </cell>
        </row>
        <row r="90">
          <cell r="B90">
            <v>4000</v>
          </cell>
          <cell r="C90" t="str">
            <v>TRANSFERENCIAS, ASIGNACIONES, SUBSIDIOS Y OTRAS AY</v>
          </cell>
          <cell r="D90">
            <v>33436316.73</v>
          </cell>
          <cell r="E90">
            <v>33025875</v>
          </cell>
          <cell r="F90">
            <v>0</v>
          </cell>
          <cell r="G90">
            <v>66462191.730000004</v>
          </cell>
          <cell r="H90">
            <v>47431015</v>
          </cell>
          <cell r="I90">
            <v>47431015</v>
          </cell>
          <cell r="J90">
            <v>47431015</v>
          </cell>
          <cell r="K90">
            <v>47431015</v>
          </cell>
          <cell r="L90">
            <v>19031176.730000004</v>
          </cell>
          <cell r="M90">
            <v>19031176.730000004</v>
          </cell>
        </row>
        <row r="91">
          <cell r="B91">
            <v>43101</v>
          </cell>
          <cell r="C91" t="str">
            <v>SUBSIDIOS A LA PRODUCCION</v>
          </cell>
          <cell r="D91">
            <v>32436316.73</v>
          </cell>
          <cell r="E91">
            <v>33025875</v>
          </cell>
          <cell r="F91">
            <v>0</v>
          </cell>
          <cell r="G91">
            <v>65462191.730000004</v>
          </cell>
          <cell r="H91">
            <v>47025875</v>
          </cell>
          <cell r="I91">
            <v>47025875</v>
          </cell>
          <cell r="J91">
            <v>47025875</v>
          </cell>
          <cell r="K91">
            <v>47025875</v>
          </cell>
          <cell r="L91">
            <v>18436316.730000004</v>
          </cell>
          <cell r="M91">
            <v>18436316.730000004</v>
          </cell>
        </row>
        <row r="92">
          <cell r="B92">
            <v>43301</v>
          </cell>
          <cell r="C92" t="str">
            <v>SUBSIDIOS A LA INVERSION</v>
          </cell>
          <cell r="D92">
            <v>1000000</v>
          </cell>
          <cell r="E92">
            <v>0</v>
          </cell>
          <cell r="F92">
            <v>0</v>
          </cell>
          <cell r="G92">
            <v>1000000</v>
          </cell>
          <cell r="H92">
            <v>405140</v>
          </cell>
          <cell r="I92">
            <v>405140</v>
          </cell>
          <cell r="J92">
            <v>405140</v>
          </cell>
          <cell r="K92">
            <v>405140</v>
          </cell>
          <cell r="L92">
            <v>594860</v>
          </cell>
          <cell r="M92">
            <v>594860</v>
          </cell>
        </row>
        <row r="93">
          <cell r="B93">
            <v>5000</v>
          </cell>
          <cell r="C93" t="str">
            <v>BIENES MUEBLES, INMUEBLES E INTANGIBLES</v>
          </cell>
          <cell r="D93">
            <v>0</v>
          </cell>
          <cell r="E93">
            <v>17062.68</v>
          </cell>
          <cell r="F93">
            <v>0</v>
          </cell>
          <cell r="G93">
            <v>17062.68</v>
          </cell>
          <cell r="H93">
            <v>17062.68</v>
          </cell>
          <cell r="I93">
            <v>17062.68</v>
          </cell>
          <cell r="J93">
            <v>17062.68</v>
          </cell>
          <cell r="K93">
            <v>17062.68</v>
          </cell>
          <cell r="L93">
            <v>0</v>
          </cell>
          <cell r="M93">
            <v>0</v>
          </cell>
        </row>
        <row r="94">
          <cell r="B94" t="str">
            <v>51101</v>
          </cell>
          <cell r="C94" t="str">
            <v>Muebles de Oficina y Estanteria</v>
          </cell>
          <cell r="D94">
            <v>0</v>
          </cell>
          <cell r="E94">
            <v>0</v>
          </cell>
          <cell r="F94">
            <v>0</v>
          </cell>
          <cell r="G94">
            <v>0</v>
          </cell>
          <cell r="H94">
            <v>0</v>
          </cell>
          <cell r="I94">
            <v>0</v>
          </cell>
          <cell r="J94">
            <v>0</v>
          </cell>
          <cell r="K94">
            <v>0</v>
          </cell>
          <cell r="L94">
            <v>0</v>
          </cell>
          <cell r="M94">
            <v>0</v>
          </cell>
        </row>
        <row r="95">
          <cell r="B95" t="str">
            <v>51501</v>
          </cell>
          <cell r="C95" t="str">
            <v>Eqpo de Computo y de Tecnologias de la informacion</v>
          </cell>
          <cell r="D95">
            <v>0</v>
          </cell>
          <cell r="E95">
            <v>17062.68</v>
          </cell>
          <cell r="F95">
            <v>0</v>
          </cell>
          <cell r="G95">
            <v>17062.68</v>
          </cell>
          <cell r="H95">
            <v>17062.68</v>
          </cell>
          <cell r="I95">
            <v>17062.68</v>
          </cell>
          <cell r="J95">
            <v>17062.68</v>
          </cell>
          <cell r="K95">
            <v>17062.68</v>
          </cell>
          <cell r="L95">
            <v>0</v>
          </cell>
          <cell r="M95">
            <v>0</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 val="Hoja3"/>
      <sheetName val="ETCA-II-01"/>
    </sheetNames>
    <sheetDataSet>
      <sheetData sheetId="0"/>
      <sheetData sheetId="1">
        <row r="3">
          <cell r="B3" t="str">
            <v xml:space="preserve"> PARTIDA PRESUPUESTAL</v>
          </cell>
          <cell r="C3" t="str">
            <v>DESCRIPCION</v>
          </cell>
          <cell r="D3" t="str">
            <v>PRESUPUESTO AUTORIZADO</v>
          </cell>
          <cell r="E3">
            <v>0</v>
          </cell>
          <cell r="F3">
            <v>0</v>
          </cell>
          <cell r="G3">
            <v>0</v>
          </cell>
          <cell r="H3" t="str">
            <v>COMPROMETIDO</v>
          </cell>
          <cell r="I3" t="str">
            <v>DEVENGADO</v>
          </cell>
          <cell r="J3" t="str">
            <v>EJERCIDO</v>
          </cell>
          <cell r="K3" t="str">
            <v>PAGADO</v>
          </cell>
          <cell r="L3" t="str">
            <v>DISPONIBLE P Comprometer</v>
          </cell>
          <cell r="M3" t="str">
            <v>CREDITO DISPONIBLE</v>
          </cell>
        </row>
        <row r="4">
          <cell r="B4">
            <v>0</v>
          </cell>
          <cell r="C4">
            <v>0</v>
          </cell>
          <cell r="D4" t="str">
            <v>APROBADO</v>
          </cell>
          <cell r="E4" t="str">
            <v>AMPLIACIONES</v>
          </cell>
          <cell r="F4" t="str">
            <v>DEDUCCIONES</v>
          </cell>
          <cell r="G4" t="str">
            <v>MODIFICADO</v>
          </cell>
          <cell r="H4">
            <v>0</v>
          </cell>
          <cell r="I4">
            <v>0</v>
          </cell>
          <cell r="J4">
            <v>0</v>
          </cell>
          <cell r="K4">
            <v>0</v>
          </cell>
          <cell r="L4">
            <v>0</v>
          </cell>
          <cell r="M4">
            <v>0</v>
          </cell>
        </row>
        <row r="5">
          <cell r="B5">
            <v>1000</v>
          </cell>
          <cell r="C5" t="str">
            <v>SERVICIOS PERSONALES</v>
          </cell>
          <cell r="D5">
            <v>21474408.129999995</v>
          </cell>
          <cell r="E5">
            <v>0</v>
          </cell>
          <cell r="F5">
            <v>0</v>
          </cell>
          <cell r="G5">
            <v>21474408.129999995</v>
          </cell>
          <cell r="H5">
            <v>20532256.680000003</v>
          </cell>
          <cell r="I5">
            <v>20532256.680000003</v>
          </cell>
          <cell r="J5">
            <v>20532256.680000003</v>
          </cell>
          <cell r="K5">
            <v>20532256.680000003</v>
          </cell>
          <cell r="L5">
            <v>942151.45000000019</v>
          </cell>
          <cell r="M5">
            <v>942151.45000000019</v>
          </cell>
        </row>
        <row r="6">
          <cell r="B6" t="str">
            <v>11301</v>
          </cell>
          <cell r="C6" t="str">
            <v>Sueldos</v>
          </cell>
          <cell r="D6">
            <v>5444965.6600000001</v>
          </cell>
          <cell r="E6">
            <v>0</v>
          </cell>
          <cell r="F6">
            <v>0</v>
          </cell>
          <cell r="G6">
            <v>5444965.6600000001</v>
          </cell>
          <cell r="H6">
            <v>5349218.26</v>
          </cell>
          <cell r="I6">
            <v>5349218.26</v>
          </cell>
          <cell r="J6">
            <v>5349218.26</v>
          </cell>
          <cell r="K6">
            <v>5349218.26</v>
          </cell>
          <cell r="L6">
            <v>95747.400000000373</v>
          </cell>
          <cell r="M6">
            <v>95747.400000000373</v>
          </cell>
        </row>
        <row r="7">
          <cell r="B7" t="str">
            <v>11303</v>
          </cell>
          <cell r="C7" t="str">
            <v>Remuneraciones Diversas</v>
          </cell>
          <cell r="D7">
            <v>1804239.54</v>
          </cell>
          <cell r="E7">
            <v>0</v>
          </cell>
          <cell r="F7">
            <v>0</v>
          </cell>
          <cell r="G7">
            <v>1804239.54</v>
          </cell>
          <cell r="H7">
            <v>1718192.7000000007</v>
          </cell>
          <cell r="I7">
            <v>1718192.7000000007</v>
          </cell>
          <cell r="J7">
            <v>1718192.7000000007</v>
          </cell>
          <cell r="K7">
            <v>1718192.7000000007</v>
          </cell>
          <cell r="L7">
            <v>86046.839999999385</v>
          </cell>
          <cell r="M7">
            <v>86046.839999999385</v>
          </cell>
        </row>
        <row r="8">
          <cell r="B8" t="str">
            <v>11305</v>
          </cell>
          <cell r="C8" t="str">
            <v>Compensaciones por Riesgos Profesionales</v>
          </cell>
          <cell r="D8">
            <v>0</v>
          </cell>
          <cell r="E8">
            <v>0</v>
          </cell>
          <cell r="F8">
            <v>0</v>
          </cell>
          <cell r="G8">
            <v>0</v>
          </cell>
          <cell r="H8">
            <v>0</v>
          </cell>
          <cell r="I8">
            <v>0</v>
          </cell>
          <cell r="J8">
            <v>0</v>
          </cell>
          <cell r="K8">
            <v>0</v>
          </cell>
          <cell r="L8">
            <v>0</v>
          </cell>
          <cell r="M8">
            <v>0</v>
          </cell>
        </row>
        <row r="9">
          <cell r="B9" t="str">
            <v>11306</v>
          </cell>
          <cell r="C9" t="str">
            <v>Riesgo Laboral</v>
          </cell>
          <cell r="D9">
            <v>4423021.57</v>
          </cell>
          <cell r="E9">
            <v>0</v>
          </cell>
          <cell r="F9">
            <v>0</v>
          </cell>
          <cell r="G9">
            <v>4423021.57</v>
          </cell>
          <cell r="H9">
            <v>5656271.3399999999</v>
          </cell>
          <cell r="I9">
            <v>5656271.3399999999</v>
          </cell>
          <cell r="J9">
            <v>5656271.3399999999</v>
          </cell>
          <cell r="K9">
            <v>5656271.3399999999</v>
          </cell>
          <cell r="L9">
            <v>-1233249.7699999996</v>
          </cell>
          <cell r="M9">
            <v>-1233249.7699999996</v>
          </cell>
        </row>
        <row r="10">
          <cell r="B10" t="str">
            <v>11307</v>
          </cell>
          <cell r="C10" t="str">
            <v>Ayuda Para Habitación</v>
          </cell>
          <cell r="D10">
            <v>1125296.6499999999</v>
          </cell>
          <cell r="E10">
            <v>0</v>
          </cell>
          <cell r="F10">
            <v>0</v>
          </cell>
          <cell r="G10">
            <v>1125296.6499999999</v>
          </cell>
          <cell r="H10">
            <v>1013033.58</v>
          </cell>
          <cell r="I10">
            <v>1013033.58</v>
          </cell>
          <cell r="J10">
            <v>1013033.58</v>
          </cell>
          <cell r="K10">
            <v>1013033.58</v>
          </cell>
          <cell r="L10">
            <v>112263.06999999995</v>
          </cell>
          <cell r="M10">
            <v>112263.06999999995</v>
          </cell>
        </row>
        <row r="11">
          <cell r="B11" t="str">
            <v>11310</v>
          </cell>
          <cell r="C11" t="str">
            <v>Ayuda Energía Electrica</v>
          </cell>
          <cell r="D11">
            <v>750198.79</v>
          </cell>
          <cell r="E11">
            <v>0</v>
          </cell>
          <cell r="F11">
            <v>0</v>
          </cell>
          <cell r="G11">
            <v>750198.79</v>
          </cell>
          <cell r="H11">
            <v>675356.80999999994</v>
          </cell>
          <cell r="I11">
            <v>675356.80999999994</v>
          </cell>
          <cell r="J11">
            <v>675356.80999999994</v>
          </cell>
          <cell r="K11">
            <v>675356.80999999994</v>
          </cell>
          <cell r="L11">
            <v>74841.980000000098</v>
          </cell>
          <cell r="M11">
            <v>74841.980000000098</v>
          </cell>
        </row>
        <row r="12">
          <cell r="B12" t="str">
            <v>13101</v>
          </cell>
          <cell r="C12" t="str">
            <v>Primas y Acred por Años de Servicio Eftvo Prestado</v>
          </cell>
          <cell r="D12">
            <v>175274.27</v>
          </cell>
          <cell r="E12">
            <v>0</v>
          </cell>
          <cell r="F12">
            <v>0</v>
          </cell>
          <cell r="G12">
            <v>175274.27</v>
          </cell>
          <cell r="H12">
            <v>55039.150000000009</v>
          </cell>
          <cell r="I12">
            <v>55039.150000000009</v>
          </cell>
          <cell r="J12">
            <v>55039.150000000009</v>
          </cell>
          <cell r="K12">
            <v>55039.150000000009</v>
          </cell>
          <cell r="L12">
            <v>120235.11999999998</v>
          </cell>
          <cell r="M12">
            <v>120235.11999999998</v>
          </cell>
        </row>
        <row r="13">
          <cell r="B13" t="str">
            <v>13201</v>
          </cell>
          <cell r="C13" t="str">
            <v>Prima Vacacional</v>
          </cell>
          <cell r="D13">
            <v>589735.42000000004</v>
          </cell>
          <cell r="E13">
            <v>0</v>
          </cell>
          <cell r="F13">
            <v>0</v>
          </cell>
          <cell r="G13">
            <v>589735.42000000004</v>
          </cell>
          <cell r="H13">
            <v>95431.53</v>
          </cell>
          <cell r="I13">
            <v>95431.53</v>
          </cell>
          <cell r="J13">
            <v>95431.53</v>
          </cell>
          <cell r="K13">
            <v>95431.53</v>
          </cell>
          <cell r="L13">
            <v>494303.89</v>
          </cell>
          <cell r="M13">
            <v>494303.89</v>
          </cell>
        </row>
        <row r="14">
          <cell r="B14" t="str">
            <v>13202</v>
          </cell>
          <cell r="C14" t="str">
            <v>Gratificaciones por Fin de Año</v>
          </cell>
          <cell r="D14">
            <v>1360110.87</v>
          </cell>
          <cell r="E14">
            <v>0</v>
          </cell>
          <cell r="F14">
            <v>0</v>
          </cell>
          <cell r="G14">
            <v>1360110.87</v>
          </cell>
          <cell r="H14">
            <v>200040.58000000002</v>
          </cell>
          <cell r="I14">
            <v>200040.58000000002</v>
          </cell>
          <cell r="J14">
            <v>200040.58000000002</v>
          </cell>
          <cell r="K14">
            <v>200040.58000000002</v>
          </cell>
          <cell r="L14">
            <v>1160070.29</v>
          </cell>
          <cell r="M14">
            <v>1160070.29</v>
          </cell>
        </row>
        <row r="15">
          <cell r="B15" t="str">
            <v>13203</v>
          </cell>
          <cell r="C15" t="str">
            <v>Compensaciones por Ajuste de Calendario</v>
          </cell>
          <cell r="D15">
            <v>0</v>
          </cell>
          <cell r="E15">
            <v>0</v>
          </cell>
          <cell r="F15">
            <v>0</v>
          </cell>
          <cell r="G15">
            <v>0</v>
          </cell>
          <cell r="H15">
            <v>0</v>
          </cell>
          <cell r="I15">
            <v>0</v>
          </cell>
          <cell r="J15">
            <v>0</v>
          </cell>
          <cell r="K15">
            <v>0</v>
          </cell>
          <cell r="L15">
            <v>0</v>
          </cell>
          <cell r="M15">
            <v>0</v>
          </cell>
        </row>
        <row r="16">
          <cell r="B16" t="str">
            <v>13204</v>
          </cell>
          <cell r="C16" t="str">
            <v>Compensacion por Bono Navideño</v>
          </cell>
          <cell r="D16">
            <v>0</v>
          </cell>
          <cell r="E16">
            <v>0</v>
          </cell>
          <cell r="F16">
            <v>0</v>
          </cell>
          <cell r="G16">
            <v>0</v>
          </cell>
          <cell r="H16">
            <v>0</v>
          </cell>
          <cell r="I16">
            <v>0</v>
          </cell>
          <cell r="J16">
            <v>0</v>
          </cell>
          <cell r="K16">
            <v>0</v>
          </cell>
          <cell r="L16">
            <v>0</v>
          </cell>
          <cell r="M16">
            <v>0</v>
          </cell>
        </row>
        <row r="17">
          <cell r="B17" t="str">
            <v>13403</v>
          </cell>
          <cell r="C17" t="str">
            <v>Estimulos al Personal de Confianza</v>
          </cell>
          <cell r="D17">
            <v>0</v>
          </cell>
          <cell r="E17">
            <v>0</v>
          </cell>
          <cell r="F17">
            <v>0</v>
          </cell>
          <cell r="G17">
            <v>0</v>
          </cell>
          <cell r="H17">
            <v>0</v>
          </cell>
          <cell r="I17">
            <v>0</v>
          </cell>
          <cell r="J17">
            <v>0</v>
          </cell>
          <cell r="K17">
            <v>0</v>
          </cell>
          <cell r="L17">
            <v>0</v>
          </cell>
          <cell r="M17">
            <v>0</v>
          </cell>
        </row>
        <row r="18">
          <cell r="B18" t="str">
            <v>14101</v>
          </cell>
          <cell r="C18" t="str">
            <v>Cuotas por Servicio Medico del Isssteson</v>
          </cell>
          <cell r="D18">
            <v>902295.22</v>
          </cell>
          <cell r="E18">
            <v>0</v>
          </cell>
          <cell r="F18">
            <v>0</v>
          </cell>
          <cell r="G18">
            <v>902295.22</v>
          </cell>
          <cell r="H18">
            <v>962407.8</v>
          </cell>
          <cell r="I18">
            <v>962407.8</v>
          </cell>
          <cell r="J18">
            <v>962407.8</v>
          </cell>
          <cell r="K18">
            <v>962407.8</v>
          </cell>
          <cell r="L18">
            <v>-60112.580000000075</v>
          </cell>
          <cell r="M18">
            <v>-60112.580000000075</v>
          </cell>
        </row>
        <row r="19">
          <cell r="B19" t="str">
            <v>14102</v>
          </cell>
          <cell r="C19" t="str">
            <v>Cuotas por Seguro de Vida Isssteson</v>
          </cell>
          <cell r="D19">
            <v>95.76</v>
          </cell>
          <cell r="E19">
            <v>0</v>
          </cell>
          <cell r="F19">
            <v>0</v>
          </cell>
          <cell r="G19">
            <v>95.76</v>
          </cell>
          <cell r="H19">
            <v>93.499999999999986</v>
          </cell>
          <cell r="I19">
            <v>93.499999999999986</v>
          </cell>
          <cell r="J19">
            <v>93.499999999999986</v>
          </cell>
          <cell r="K19">
            <v>93.499999999999986</v>
          </cell>
          <cell r="L19">
            <v>2.2600000000000193</v>
          </cell>
          <cell r="M19">
            <v>2.2600000000000193</v>
          </cell>
        </row>
        <row r="20">
          <cell r="B20" t="str">
            <v>14103</v>
          </cell>
          <cell r="C20" t="str">
            <v>Cuotas por Seguro de Retiro al Isssteson</v>
          </cell>
          <cell r="D20">
            <v>1486.84</v>
          </cell>
          <cell r="E20">
            <v>0</v>
          </cell>
          <cell r="F20">
            <v>0</v>
          </cell>
          <cell r="G20">
            <v>1486.84</v>
          </cell>
          <cell r="H20">
            <v>1436.96</v>
          </cell>
          <cell r="I20">
            <v>1436.96</v>
          </cell>
          <cell r="J20">
            <v>1436.96</v>
          </cell>
          <cell r="K20">
            <v>1436.96</v>
          </cell>
          <cell r="L20">
            <v>49.879999999999882</v>
          </cell>
          <cell r="M20">
            <v>49.879999999999882</v>
          </cell>
        </row>
        <row r="21">
          <cell r="B21" t="str">
            <v>14104</v>
          </cell>
          <cell r="C21" t="str">
            <v>Asignaciones para Prestamos a Corto Plazo</v>
          </cell>
          <cell r="D21">
            <v>53076.19</v>
          </cell>
          <cell r="E21">
            <v>0</v>
          </cell>
          <cell r="F21">
            <v>0</v>
          </cell>
          <cell r="G21">
            <v>53076.19</v>
          </cell>
          <cell r="H21">
            <v>49175.920000000006</v>
          </cell>
          <cell r="I21">
            <v>49175.920000000006</v>
          </cell>
          <cell r="J21">
            <v>49175.920000000006</v>
          </cell>
          <cell r="K21">
            <v>49175.920000000006</v>
          </cell>
          <cell r="L21">
            <v>3900.2699999999968</v>
          </cell>
          <cell r="M21">
            <v>3900.2699999999968</v>
          </cell>
        </row>
        <row r="22">
          <cell r="B22" t="str">
            <v>14105</v>
          </cell>
          <cell r="C22" t="str">
            <v>Asignaciones para Prestamos Prendarios</v>
          </cell>
          <cell r="D22">
            <v>53076.19</v>
          </cell>
          <cell r="E22">
            <v>0</v>
          </cell>
          <cell r="F22">
            <v>0</v>
          </cell>
          <cell r="G22">
            <v>53076.19</v>
          </cell>
          <cell r="H22">
            <v>49175.920000000006</v>
          </cell>
          <cell r="I22">
            <v>49175.920000000006</v>
          </cell>
          <cell r="J22">
            <v>49175.920000000006</v>
          </cell>
          <cell r="K22">
            <v>49175.920000000006</v>
          </cell>
          <cell r="L22">
            <v>3900.2699999999968</v>
          </cell>
          <cell r="M22">
            <v>3900.2699999999968</v>
          </cell>
        </row>
        <row r="23">
          <cell r="B23" t="str">
            <v>14106</v>
          </cell>
          <cell r="C23" t="str">
            <v>Otras prestaciones de Seguridad Social</v>
          </cell>
          <cell r="D23">
            <v>318457.13</v>
          </cell>
          <cell r="E23">
            <v>0</v>
          </cell>
          <cell r="F23">
            <v>0</v>
          </cell>
          <cell r="G23">
            <v>318457.13</v>
          </cell>
          <cell r="H23">
            <v>245894.48</v>
          </cell>
          <cell r="I23">
            <v>245894.48</v>
          </cell>
          <cell r="J23">
            <v>245894.48</v>
          </cell>
          <cell r="K23">
            <v>245894.48</v>
          </cell>
          <cell r="L23">
            <v>72562.649999999994</v>
          </cell>
          <cell r="M23">
            <v>72562.649999999994</v>
          </cell>
        </row>
        <row r="24">
          <cell r="B24" t="str">
            <v>14107</v>
          </cell>
          <cell r="C24" t="str">
            <v>Cuotas p/Infraestructura,Equipamiento y Mantto Hos</v>
          </cell>
          <cell r="D24">
            <v>106152.39</v>
          </cell>
          <cell r="E24">
            <v>0</v>
          </cell>
          <cell r="F24">
            <v>0</v>
          </cell>
          <cell r="G24">
            <v>106152.39</v>
          </cell>
          <cell r="H24">
            <v>98354.08</v>
          </cell>
          <cell r="I24">
            <v>98354.08</v>
          </cell>
          <cell r="J24">
            <v>98354.08</v>
          </cell>
          <cell r="K24">
            <v>98354.08</v>
          </cell>
          <cell r="L24">
            <v>7798.3099999999977</v>
          </cell>
          <cell r="M24">
            <v>7798.3099999999977</v>
          </cell>
        </row>
        <row r="25">
          <cell r="B25" t="str">
            <v>14201</v>
          </cell>
          <cell r="C25" t="str">
            <v>Cuotas al Fovisssteson</v>
          </cell>
          <cell r="D25">
            <v>424609.5</v>
          </cell>
          <cell r="E25">
            <v>0</v>
          </cell>
          <cell r="F25">
            <v>0</v>
          </cell>
          <cell r="G25">
            <v>424609.5</v>
          </cell>
          <cell r="H25">
            <v>393432.23</v>
          </cell>
          <cell r="I25">
            <v>393432.23</v>
          </cell>
          <cell r="J25">
            <v>393432.23</v>
          </cell>
          <cell r="K25">
            <v>393432.23</v>
          </cell>
          <cell r="L25">
            <v>31177.270000000019</v>
          </cell>
          <cell r="M25">
            <v>31177.270000000019</v>
          </cell>
        </row>
        <row r="26">
          <cell r="B26" t="str">
            <v>14301</v>
          </cell>
          <cell r="C26" t="str">
            <v>Pagas de Defuncion,Pensiones y Jubilaciones</v>
          </cell>
          <cell r="D26">
            <v>1804590.42</v>
          </cell>
          <cell r="E26">
            <v>0</v>
          </cell>
          <cell r="F26">
            <v>0</v>
          </cell>
          <cell r="G26">
            <v>1804590.42</v>
          </cell>
          <cell r="H26">
            <v>1721269.73</v>
          </cell>
          <cell r="I26">
            <v>1721269.73</v>
          </cell>
          <cell r="J26">
            <v>1721269.73</v>
          </cell>
          <cell r="K26">
            <v>1721269.73</v>
          </cell>
          <cell r="L26">
            <v>83320.689999999944</v>
          </cell>
          <cell r="M26">
            <v>83320.689999999944</v>
          </cell>
        </row>
        <row r="27">
          <cell r="B27" t="str">
            <v>17102</v>
          </cell>
          <cell r="C27" t="str">
            <v>Estimulos al Personal</v>
          </cell>
          <cell r="D27">
            <v>2137725.7200000002</v>
          </cell>
          <cell r="E27">
            <v>0</v>
          </cell>
          <cell r="F27">
            <v>0</v>
          </cell>
          <cell r="G27">
            <v>2137725.7200000002</v>
          </cell>
          <cell r="H27">
            <v>2248432.1100000003</v>
          </cell>
          <cell r="I27">
            <v>2248432.1100000003</v>
          </cell>
          <cell r="J27">
            <v>2248432.1100000003</v>
          </cell>
          <cell r="K27">
            <v>2248432.1100000003</v>
          </cell>
          <cell r="L27">
            <v>-110706.39000000013</v>
          </cell>
          <cell r="M27">
            <v>-110706.39000000013</v>
          </cell>
        </row>
        <row r="28">
          <cell r="B28">
            <v>2000</v>
          </cell>
          <cell r="C28" t="str">
            <v>MATERIALES Y SUMINISTROS</v>
          </cell>
          <cell r="D28">
            <v>1586500.06</v>
          </cell>
          <cell r="E28">
            <v>110000</v>
          </cell>
          <cell r="F28">
            <v>110000</v>
          </cell>
          <cell r="G28">
            <v>1586500.06</v>
          </cell>
          <cell r="H28">
            <v>880286.3</v>
          </cell>
          <cell r="I28">
            <v>880286.3</v>
          </cell>
          <cell r="J28">
            <v>880286.3</v>
          </cell>
          <cell r="K28">
            <v>880286.3</v>
          </cell>
          <cell r="L28">
            <v>706213.76</v>
          </cell>
          <cell r="M28">
            <v>706213.76</v>
          </cell>
        </row>
        <row r="29">
          <cell r="B29" t="str">
            <v>21101</v>
          </cell>
          <cell r="C29" t="str">
            <v>Materiales, utiles y equipos menores de oficina</v>
          </cell>
          <cell r="D29">
            <v>400000</v>
          </cell>
          <cell r="E29">
            <v>0</v>
          </cell>
          <cell r="F29">
            <v>100000</v>
          </cell>
          <cell r="G29">
            <v>300000</v>
          </cell>
          <cell r="H29">
            <v>92333.53</v>
          </cell>
          <cell r="I29">
            <v>92333.53</v>
          </cell>
          <cell r="J29">
            <v>92333.53</v>
          </cell>
          <cell r="K29">
            <v>92333.53</v>
          </cell>
          <cell r="L29">
            <v>207666.47</v>
          </cell>
          <cell r="M29">
            <v>207666.47</v>
          </cell>
        </row>
        <row r="30">
          <cell r="B30" t="str">
            <v>21201</v>
          </cell>
          <cell r="C30" t="str">
            <v>Materiales y Utiles de Impresión y Reprodución</v>
          </cell>
          <cell r="D30">
            <v>150000.01</v>
          </cell>
          <cell r="E30">
            <v>0</v>
          </cell>
          <cell r="F30">
            <v>0</v>
          </cell>
          <cell r="G30">
            <v>150000.01</v>
          </cell>
          <cell r="H30">
            <v>127274.48999999999</v>
          </cell>
          <cell r="I30">
            <v>127274.48999999999</v>
          </cell>
          <cell r="J30">
            <v>127274.48999999999</v>
          </cell>
          <cell r="K30">
            <v>127274.48999999999</v>
          </cell>
          <cell r="L30">
            <v>22725.520000000019</v>
          </cell>
          <cell r="M30">
            <v>22725.520000000019</v>
          </cell>
        </row>
        <row r="31">
          <cell r="B31" t="str">
            <v>21501</v>
          </cell>
          <cell r="C31" t="str">
            <v>Material para Información</v>
          </cell>
          <cell r="D31">
            <v>300000</v>
          </cell>
          <cell r="E31">
            <v>100000</v>
          </cell>
          <cell r="F31">
            <v>0</v>
          </cell>
          <cell r="G31">
            <v>400000</v>
          </cell>
          <cell r="H31">
            <v>145976.28</v>
          </cell>
          <cell r="I31">
            <v>145976.28</v>
          </cell>
          <cell r="J31">
            <v>145976.28</v>
          </cell>
          <cell r="K31">
            <v>145976.28</v>
          </cell>
          <cell r="L31">
            <v>254023.72</v>
          </cell>
          <cell r="M31">
            <v>254023.72</v>
          </cell>
        </row>
        <row r="32">
          <cell r="B32" t="str">
            <v>21601</v>
          </cell>
          <cell r="C32" t="str">
            <v>Material de Limpieza</v>
          </cell>
          <cell r="D32">
            <v>10000.01</v>
          </cell>
          <cell r="E32">
            <v>0</v>
          </cell>
          <cell r="F32">
            <v>0</v>
          </cell>
          <cell r="G32">
            <v>10000.01</v>
          </cell>
          <cell r="H32">
            <v>4059.55</v>
          </cell>
          <cell r="I32">
            <v>4059.55</v>
          </cell>
          <cell r="J32">
            <v>4059.55</v>
          </cell>
          <cell r="K32">
            <v>4059.55</v>
          </cell>
          <cell r="L32">
            <v>5940.46</v>
          </cell>
          <cell r="M32">
            <v>5940.46</v>
          </cell>
        </row>
        <row r="33">
          <cell r="B33" t="str">
            <v>21801</v>
          </cell>
          <cell r="C33" t="str">
            <v>Placas, Engomados, Calcomanías y Hologramas</v>
          </cell>
          <cell r="D33">
            <v>10500</v>
          </cell>
          <cell r="E33">
            <v>0</v>
          </cell>
          <cell r="F33">
            <v>0</v>
          </cell>
          <cell r="G33">
            <v>10500</v>
          </cell>
          <cell r="H33">
            <v>10400</v>
          </cell>
          <cell r="I33">
            <v>10400</v>
          </cell>
          <cell r="J33">
            <v>10400</v>
          </cell>
          <cell r="K33">
            <v>10400</v>
          </cell>
          <cell r="L33">
            <v>100</v>
          </cell>
          <cell r="M33">
            <v>100</v>
          </cell>
        </row>
        <row r="34">
          <cell r="B34" t="str">
            <v>22101</v>
          </cell>
          <cell r="C34" t="str">
            <v>Productos Alimenticios p/el Personal en las inst.</v>
          </cell>
          <cell r="D34">
            <v>70000.009999999995</v>
          </cell>
          <cell r="E34">
            <v>10000</v>
          </cell>
          <cell r="F34">
            <v>0</v>
          </cell>
          <cell r="G34">
            <v>80000.009999999995</v>
          </cell>
          <cell r="H34">
            <v>79798.390000000014</v>
          </cell>
          <cell r="I34">
            <v>79798.390000000014</v>
          </cell>
          <cell r="J34">
            <v>79798.390000000014</v>
          </cell>
          <cell r="K34">
            <v>79798.390000000014</v>
          </cell>
          <cell r="L34">
            <v>201.61999999998079</v>
          </cell>
          <cell r="M34">
            <v>201.61999999998079</v>
          </cell>
        </row>
        <row r="35">
          <cell r="B35" t="str">
            <v>22301</v>
          </cell>
          <cell r="C35" t="str">
            <v>Utensilios para el Servicio de Alimentación</v>
          </cell>
          <cell r="D35">
            <v>5000</v>
          </cell>
          <cell r="E35">
            <v>0</v>
          </cell>
          <cell r="F35">
            <v>0</v>
          </cell>
          <cell r="G35">
            <v>5000</v>
          </cell>
          <cell r="H35">
            <v>1533.2800000000002</v>
          </cell>
          <cell r="I35">
            <v>1533.2800000000002</v>
          </cell>
          <cell r="J35">
            <v>1533.2800000000002</v>
          </cell>
          <cell r="K35">
            <v>1533.2800000000002</v>
          </cell>
          <cell r="L35">
            <v>3466.72</v>
          </cell>
          <cell r="M35">
            <v>3466.72</v>
          </cell>
        </row>
        <row r="36">
          <cell r="B36" t="str">
            <v>24101</v>
          </cell>
          <cell r="C36" t="str">
            <v>Productos Minerales NO Métalicos</v>
          </cell>
          <cell r="D36">
            <v>0</v>
          </cell>
          <cell r="E36">
            <v>0</v>
          </cell>
          <cell r="F36">
            <v>0</v>
          </cell>
          <cell r="G36">
            <v>0</v>
          </cell>
          <cell r="H36">
            <v>0</v>
          </cell>
          <cell r="I36">
            <v>0</v>
          </cell>
          <cell r="J36">
            <v>0</v>
          </cell>
          <cell r="K36">
            <v>0</v>
          </cell>
          <cell r="L36">
            <v>0</v>
          </cell>
          <cell r="M36">
            <v>0</v>
          </cell>
        </row>
        <row r="37">
          <cell r="B37" t="str">
            <v>24501</v>
          </cell>
          <cell r="C37" t="str">
            <v>Vidrioy Productos de Vidrio</v>
          </cell>
          <cell r="D37">
            <v>0</v>
          </cell>
          <cell r="E37">
            <v>0</v>
          </cell>
          <cell r="F37">
            <v>0</v>
          </cell>
          <cell r="G37">
            <v>0</v>
          </cell>
          <cell r="H37">
            <v>0</v>
          </cell>
          <cell r="I37">
            <v>0</v>
          </cell>
          <cell r="J37">
            <v>0</v>
          </cell>
          <cell r="K37">
            <v>0</v>
          </cell>
          <cell r="L37">
            <v>0</v>
          </cell>
          <cell r="M37">
            <v>0</v>
          </cell>
        </row>
        <row r="38">
          <cell r="B38" t="str">
            <v>24601</v>
          </cell>
          <cell r="C38" t="str">
            <v>Material Eléctrico y Electrónico</v>
          </cell>
          <cell r="D38">
            <v>0</v>
          </cell>
          <cell r="E38">
            <v>0</v>
          </cell>
          <cell r="F38">
            <v>0</v>
          </cell>
          <cell r="G38">
            <v>0</v>
          </cell>
          <cell r="H38">
            <v>0</v>
          </cell>
          <cell r="I38">
            <v>0</v>
          </cell>
          <cell r="J38">
            <v>0</v>
          </cell>
          <cell r="K38">
            <v>0</v>
          </cell>
          <cell r="L38">
            <v>0</v>
          </cell>
          <cell r="M38">
            <v>0</v>
          </cell>
        </row>
        <row r="39">
          <cell r="B39" t="str">
            <v>24701</v>
          </cell>
          <cell r="C39" t="str">
            <v>Articulos Metálicos para la Construcción</v>
          </cell>
          <cell r="D39">
            <v>0</v>
          </cell>
          <cell r="E39">
            <v>0</v>
          </cell>
          <cell r="F39">
            <v>0</v>
          </cell>
          <cell r="G39">
            <v>0</v>
          </cell>
          <cell r="H39">
            <v>0</v>
          </cell>
          <cell r="I39">
            <v>0</v>
          </cell>
          <cell r="J39">
            <v>0</v>
          </cell>
          <cell r="K39">
            <v>0</v>
          </cell>
          <cell r="L39">
            <v>0</v>
          </cell>
          <cell r="M39">
            <v>0</v>
          </cell>
        </row>
        <row r="40">
          <cell r="B40" t="str">
            <v>24801</v>
          </cell>
          <cell r="C40" t="str">
            <v>Materiales Complementarios</v>
          </cell>
          <cell r="D40">
            <v>10000.01</v>
          </cell>
          <cell r="E40">
            <v>0</v>
          </cell>
          <cell r="F40">
            <v>10000</v>
          </cell>
          <cell r="G40">
            <v>1.0000000000218279E-2</v>
          </cell>
          <cell r="H40">
            <v>0</v>
          </cell>
          <cell r="I40">
            <v>0</v>
          </cell>
          <cell r="J40">
            <v>0</v>
          </cell>
          <cell r="K40">
            <v>0</v>
          </cell>
          <cell r="L40">
            <v>1.0000000000218279E-2</v>
          </cell>
          <cell r="M40">
            <v>1.0000000000218279E-2</v>
          </cell>
        </row>
        <row r="41">
          <cell r="B41" t="str">
            <v>25301</v>
          </cell>
          <cell r="C41" t="str">
            <v>Medicinas y Productos Farmaceuticos</v>
          </cell>
          <cell r="D41">
            <v>1000</v>
          </cell>
          <cell r="E41">
            <v>0</v>
          </cell>
          <cell r="F41">
            <v>0</v>
          </cell>
          <cell r="G41">
            <v>1000</v>
          </cell>
          <cell r="H41">
            <v>0</v>
          </cell>
          <cell r="I41">
            <v>0</v>
          </cell>
          <cell r="J41">
            <v>0</v>
          </cell>
          <cell r="K41">
            <v>0</v>
          </cell>
          <cell r="L41">
            <v>1000</v>
          </cell>
          <cell r="M41">
            <v>1000</v>
          </cell>
        </row>
        <row r="42">
          <cell r="B42" t="str">
            <v>26101</v>
          </cell>
          <cell r="C42" t="str">
            <v>Combustibles</v>
          </cell>
          <cell r="D42">
            <v>300000</v>
          </cell>
          <cell r="E42">
            <v>0</v>
          </cell>
          <cell r="F42">
            <v>0</v>
          </cell>
          <cell r="G42">
            <v>300000</v>
          </cell>
          <cell r="H42">
            <v>285316.41000000003</v>
          </cell>
          <cell r="I42">
            <v>285316.41000000003</v>
          </cell>
          <cell r="J42">
            <v>285316.41000000003</v>
          </cell>
          <cell r="K42">
            <v>285316.41000000003</v>
          </cell>
          <cell r="L42">
            <v>14683.589999999967</v>
          </cell>
          <cell r="M42">
            <v>14683.589999999967</v>
          </cell>
        </row>
        <row r="43">
          <cell r="B43" t="str">
            <v>27101</v>
          </cell>
          <cell r="C43" t="str">
            <v>Vestuario y Uniformes</v>
          </cell>
          <cell r="D43">
            <v>0</v>
          </cell>
          <cell r="E43">
            <v>0</v>
          </cell>
          <cell r="F43">
            <v>0</v>
          </cell>
          <cell r="G43">
            <v>0</v>
          </cell>
          <cell r="H43">
            <v>0</v>
          </cell>
          <cell r="I43">
            <v>0</v>
          </cell>
          <cell r="J43">
            <v>0</v>
          </cell>
          <cell r="K43">
            <v>0</v>
          </cell>
          <cell r="L43">
            <v>0</v>
          </cell>
          <cell r="M43">
            <v>0</v>
          </cell>
        </row>
        <row r="44">
          <cell r="B44" t="str">
            <v>29101</v>
          </cell>
          <cell r="C44" t="str">
            <v>Herramientas Menores</v>
          </cell>
          <cell r="D44">
            <v>100000.01</v>
          </cell>
          <cell r="E44">
            <v>0</v>
          </cell>
          <cell r="F44">
            <v>0</v>
          </cell>
          <cell r="G44">
            <v>100000.01</v>
          </cell>
          <cell r="H44">
            <v>48051.619999999995</v>
          </cell>
          <cell r="I44">
            <v>48051.619999999995</v>
          </cell>
          <cell r="J44">
            <v>48051.619999999995</v>
          </cell>
          <cell r="K44">
            <v>48051.619999999995</v>
          </cell>
          <cell r="L44">
            <v>51948.39</v>
          </cell>
          <cell r="M44">
            <v>51948.39</v>
          </cell>
        </row>
        <row r="45">
          <cell r="B45" t="str">
            <v>29401</v>
          </cell>
          <cell r="C45" t="str">
            <v>Refac y accs menores de eq. computo y tec de infor</v>
          </cell>
          <cell r="D45">
            <v>80000</v>
          </cell>
          <cell r="E45">
            <v>0</v>
          </cell>
          <cell r="F45">
            <v>0</v>
          </cell>
          <cell r="G45">
            <v>80000</v>
          </cell>
          <cell r="H45">
            <v>27785.79</v>
          </cell>
          <cell r="I45">
            <v>27785.79</v>
          </cell>
          <cell r="J45">
            <v>27785.79</v>
          </cell>
          <cell r="K45">
            <v>27785.79</v>
          </cell>
          <cell r="L45">
            <v>52214.21</v>
          </cell>
          <cell r="M45">
            <v>52214.21</v>
          </cell>
        </row>
        <row r="46">
          <cell r="B46" t="str">
            <v>29601</v>
          </cell>
          <cell r="C46" t="str">
            <v>Refacc y Accs Menores de Eq Transporte</v>
          </cell>
          <cell r="D46">
            <v>150000.01</v>
          </cell>
          <cell r="E46">
            <v>0</v>
          </cell>
          <cell r="F46">
            <v>0</v>
          </cell>
          <cell r="G46">
            <v>150000.01</v>
          </cell>
          <cell r="H46">
            <v>57756.959999999999</v>
          </cell>
          <cell r="I46">
            <v>57756.959999999999</v>
          </cell>
          <cell r="J46">
            <v>57756.959999999999</v>
          </cell>
          <cell r="K46">
            <v>57756.959999999999</v>
          </cell>
          <cell r="L46">
            <v>92243.050000000017</v>
          </cell>
          <cell r="M46">
            <v>92243.050000000017</v>
          </cell>
        </row>
        <row r="47">
          <cell r="B47">
            <v>3000</v>
          </cell>
          <cell r="C47" t="str">
            <v>SERVICIOS GENERALES</v>
          </cell>
          <cell r="D47">
            <v>39361928.079999991</v>
          </cell>
          <cell r="E47">
            <v>7780447.6299999999</v>
          </cell>
          <cell r="F47">
            <v>697662.67999999993</v>
          </cell>
          <cell r="G47">
            <v>46444713.030000001</v>
          </cell>
          <cell r="H47">
            <v>23067638.18</v>
          </cell>
          <cell r="I47">
            <v>23067638.099999998</v>
          </cell>
          <cell r="J47">
            <v>23067638.099999998</v>
          </cell>
          <cell r="K47">
            <v>23067638.099999998</v>
          </cell>
          <cell r="L47">
            <v>23837474.850000005</v>
          </cell>
          <cell r="M47">
            <v>23837474.930000007</v>
          </cell>
        </row>
        <row r="48">
          <cell r="B48" t="str">
            <v>31101</v>
          </cell>
          <cell r="C48" t="str">
            <v>Energia Electrica</v>
          </cell>
          <cell r="D48">
            <v>1000000</v>
          </cell>
          <cell r="E48">
            <v>0</v>
          </cell>
          <cell r="F48">
            <v>0</v>
          </cell>
          <cell r="G48">
            <v>1000000</v>
          </cell>
          <cell r="H48">
            <v>580035.23</v>
          </cell>
          <cell r="I48">
            <v>580035.23</v>
          </cell>
          <cell r="J48">
            <v>580035.23</v>
          </cell>
          <cell r="K48">
            <v>580035.23</v>
          </cell>
          <cell r="L48">
            <v>419964.77</v>
          </cell>
          <cell r="M48">
            <v>419964.77</v>
          </cell>
        </row>
        <row r="49">
          <cell r="B49" t="str">
            <v>31301</v>
          </cell>
          <cell r="C49" t="str">
            <v>Agua</v>
          </cell>
          <cell r="D49">
            <v>59999.99</v>
          </cell>
          <cell r="E49">
            <v>0</v>
          </cell>
          <cell r="F49">
            <v>0</v>
          </cell>
          <cell r="G49">
            <v>59999.99</v>
          </cell>
          <cell r="H49">
            <v>38910.15</v>
          </cell>
          <cell r="I49">
            <v>38910.15</v>
          </cell>
          <cell r="J49">
            <v>38910.15</v>
          </cell>
          <cell r="K49">
            <v>38910.15</v>
          </cell>
          <cell r="L49">
            <v>21089.839999999997</v>
          </cell>
          <cell r="M49">
            <v>21089.839999999997</v>
          </cell>
        </row>
        <row r="50">
          <cell r="B50" t="str">
            <v>31401</v>
          </cell>
          <cell r="C50" t="str">
            <v>Telefonia Tradicional</v>
          </cell>
          <cell r="D50">
            <v>500000.01</v>
          </cell>
          <cell r="E50">
            <v>0</v>
          </cell>
          <cell r="F50">
            <v>0</v>
          </cell>
          <cell r="G50">
            <v>500000.01</v>
          </cell>
          <cell r="H50">
            <v>376146.74</v>
          </cell>
          <cell r="I50">
            <v>376146.74</v>
          </cell>
          <cell r="J50">
            <v>376146.74</v>
          </cell>
          <cell r="K50">
            <v>376146.74</v>
          </cell>
          <cell r="L50">
            <v>123853.27000000002</v>
          </cell>
          <cell r="M50">
            <v>123853.27000000002</v>
          </cell>
        </row>
        <row r="51">
          <cell r="B51" t="str">
            <v>31501</v>
          </cell>
          <cell r="C51" t="str">
            <v>Telefonia Celular</v>
          </cell>
          <cell r="D51">
            <v>150000.01</v>
          </cell>
          <cell r="E51">
            <v>0</v>
          </cell>
          <cell r="F51">
            <v>0</v>
          </cell>
          <cell r="G51">
            <v>150000.01</v>
          </cell>
          <cell r="H51">
            <v>53383</v>
          </cell>
          <cell r="I51">
            <v>53383</v>
          </cell>
          <cell r="J51">
            <v>53383</v>
          </cell>
          <cell r="K51">
            <v>53383</v>
          </cell>
          <cell r="L51">
            <v>96617.010000000009</v>
          </cell>
          <cell r="M51">
            <v>96617.010000000009</v>
          </cell>
        </row>
        <row r="52">
          <cell r="B52" t="str">
            <v>31701</v>
          </cell>
          <cell r="C52" t="str">
            <v>Serv Acceso Internet, Redes y Proces de Informacio</v>
          </cell>
          <cell r="D52">
            <v>25000</v>
          </cell>
          <cell r="E52">
            <v>0</v>
          </cell>
          <cell r="F52">
            <v>0</v>
          </cell>
          <cell r="G52">
            <v>25000</v>
          </cell>
          <cell r="H52">
            <v>9003</v>
          </cell>
          <cell r="I52">
            <v>9003</v>
          </cell>
          <cell r="J52">
            <v>9003</v>
          </cell>
          <cell r="K52">
            <v>9003</v>
          </cell>
          <cell r="L52">
            <v>15997</v>
          </cell>
          <cell r="M52">
            <v>15997</v>
          </cell>
        </row>
        <row r="53">
          <cell r="B53" t="str">
            <v>31801</v>
          </cell>
          <cell r="C53" t="str">
            <v>Servicio Postal</v>
          </cell>
          <cell r="D53">
            <v>200000</v>
          </cell>
          <cell r="E53">
            <v>0</v>
          </cell>
          <cell r="F53">
            <v>0</v>
          </cell>
          <cell r="G53">
            <v>200000</v>
          </cell>
          <cell r="H53">
            <v>89020.529999999984</v>
          </cell>
          <cell r="I53">
            <v>89020.529999999984</v>
          </cell>
          <cell r="J53">
            <v>89020.529999999984</v>
          </cell>
          <cell r="K53">
            <v>89020.529999999984</v>
          </cell>
          <cell r="L53">
            <v>110979.47000000002</v>
          </cell>
          <cell r="M53">
            <v>110979.47000000002</v>
          </cell>
        </row>
        <row r="54">
          <cell r="B54" t="str">
            <v>32201</v>
          </cell>
          <cell r="C54" t="str">
            <v>Arrendamiento de Edificios</v>
          </cell>
          <cell r="D54">
            <v>2300500.0099999998</v>
          </cell>
          <cell r="E54">
            <v>0</v>
          </cell>
          <cell r="F54">
            <v>0</v>
          </cell>
          <cell r="G54">
            <v>2300500.0099999998</v>
          </cell>
          <cell r="H54">
            <v>2154408.19</v>
          </cell>
          <cell r="I54">
            <v>2154408.11</v>
          </cell>
          <cell r="J54">
            <v>2154408.11</v>
          </cell>
          <cell r="K54">
            <v>2154408.11</v>
          </cell>
          <cell r="L54">
            <v>146091.81999999983</v>
          </cell>
          <cell r="M54">
            <v>146091.89999999991</v>
          </cell>
        </row>
        <row r="55">
          <cell r="B55" t="str">
            <v>32301</v>
          </cell>
          <cell r="C55" t="str">
            <v>Arrendamiento Muebles, Maq y Eqpo</v>
          </cell>
          <cell r="D55">
            <v>100000.01</v>
          </cell>
          <cell r="E55">
            <v>30000</v>
          </cell>
          <cell r="F55">
            <v>0</v>
          </cell>
          <cell r="G55">
            <v>130000.01</v>
          </cell>
          <cell r="H55">
            <v>120765.66</v>
          </cell>
          <cell r="I55">
            <v>120765.66</v>
          </cell>
          <cell r="J55">
            <v>120765.66</v>
          </cell>
          <cell r="K55">
            <v>120765.66</v>
          </cell>
          <cell r="L55">
            <v>9234.3499999999913</v>
          </cell>
          <cell r="M55">
            <v>9234.3499999999913</v>
          </cell>
        </row>
        <row r="56">
          <cell r="B56" t="str">
            <v>32501</v>
          </cell>
          <cell r="C56" t="str">
            <v>Arrendamiento Eqpo de Transporte</v>
          </cell>
          <cell r="D56">
            <v>350000.01</v>
          </cell>
          <cell r="E56">
            <v>0</v>
          </cell>
          <cell r="F56">
            <v>0</v>
          </cell>
          <cell r="G56">
            <v>350000.01</v>
          </cell>
          <cell r="H56">
            <v>141737.60000000001</v>
          </cell>
          <cell r="I56">
            <v>141737.60000000001</v>
          </cell>
          <cell r="J56">
            <v>141737.60000000001</v>
          </cell>
          <cell r="K56">
            <v>141737.60000000001</v>
          </cell>
          <cell r="L56">
            <v>208262.41</v>
          </cell>
          <cell r="M56">
            <v>208262.41</v>
          </cell>
        </row>
        <row r="57">
          <cell r="B57" t="str">
            <v>33101</v>
          </cell>
          <cell r="C57" t="str">
            <v>Servs Legales,de Contabilidad,Auditorias y Relacio</v>
          </cell>
          <cell r="D57">
            <v>1100000</v>
          </cell>
          <cell r="E57">
            <v>0</v>
          </cell>
          <cell r="F57">
            <v>230200</v>
          </cell>
          <cell r="G57">
            <v>869800</v>
          </cell>
          <cell r="H57">
            <v>579054.26</v>
          </cell>
          <cell r="I57">
            <v>579054.26</v>
          </cell>
          <cell r="J57">
            <v>579054.26</v>
          </cell>
          <cell r="K57">
            <v>579054.26</v>
          </cell>
          <cell r="L57">
            <v>751145.74</v>
          </cell>
          <cell r="M57">
            <v>751145.74</v>
          </cell>
        </row>
        <row r="58">
          <cell r="B58">
            <v>33201</v>
          </cell>
          <cell r="C58" t="str">
            <v>Servicios de Diseño, Arquitectura,Ingenieria y Act</v>
          </cell>
          <cell r="D58">
            <v>0</v>
          </cell>
          <cell r="E58">
            <v>230200</v>
          </cell>
          <cell r="F58">
            <v>0</v>
          </cell>
          <cell r="G58">
            <v>230200</v>
          </cell>
          <cell r="H58">
            <v>230190.4</v>
          </cell>
          <cell r="I58">
            <v>230190.4</v>
          </cell>
          <cell r="J58">
            <v>230190.4</v>
          </cell>
          <cell r="K58">
            <v>230190.4</v>
          </cell>
          <cell r="L58">
            <v>9.6000000000058208</v>
          </cell>
          <cell r="M58">
            <v>9.6000000000058208</v>
          </cell>
        </row>
        <row r="59">
          <cell r="B59" t="str">
            <v>33301</v>
          </cell>
          <cell r="C59" t="str">
            <v>Servicos de Informatica</v>
          </cell>
          <cell r="D59">
            <v>25000</v>
          </cell>
          <cell r="E59">
            <v>0</v>
          </cell>
          <cell r="F59">
            <v>0</v>
          </cell>
          <cell r="G59">
            <v>25000</v>
          </cell>
          <cell r="H59">
            <v>0</v>
          </cell>
          <cell r="I59">
            <v>0</v>
          </cell>
          <cell r="J59">
            <v>0</v>
          </cell>
          <cell r="K59">
            <v>0</v>
          </cell>
          <cell r="L59">
            <v>25000</v>
          </cell>
          <cell r="M59">
            <v>25000</v>
          </cell>
        </row>
        <row r="60">
          <cell r="B60" t="str">
            <v>33302</v>
          </cell>
          <cell r="C60" t="str">
            <v>Servicios de Consultoria</v>
          </cell>
          <cell r="D60">
            <v>8000000</v>
          </cell>
          <cell r="E60">
            <v>0</v>
          </cell>
          <cell r="F60">
            <v>0</v>
          </cell>
          <cell r="G60">
            <v>8000000</v>
          </cell>
          <cell r="H60">
            <v>7239864.8200000003</v>
          </cell>
          <cell r="I60">
            <v>7239864.8200000003</v>
          </cell>
          <cell r="J60">
            <v>7239864.8200000003</v>
          </cell>
          <cell r="K60">
            <v>7239864.8200000003</v>
          </cell>
          <cell r="L60">
            <v>760135.1799999997</v>
          </cell>
          <cell r="M60">
            <v>760135.1799999997</v>
          </cell>
        </row>
        <row r="61">
          <cell r="B61" t="str">
            <v>33401</v>
          </cell>
          <cell r="C61" t="str">
            <v>Servicios de Capacitacion</v>
          </cell>
          <cell r="D61">
            <v>10000.01</v>
          </cell>
          <cell r="E61">
            <v>0</v>
          </cell>
          <cell r="F61">
            <v>0</v>
          </cell>
          <cell r="G61">
            <v>10000.01</v>
          </cell>
          <cell r="H61">
            <v>8120</v>
          </cell>
          <cell r="I61">
            <v>8120</v>
          </cell>
          <cell r="J61">
            <v>8120</v>
          </cell>
          <cell r="K61">
            <v>8120</v>
          </cell>
          <cell r="L61">
            <v>1880.0100000000002</v>
          </cell>
          <cell r="M61">
            <v>1880.0100000000002</v>
          </cell>
        </row>
        <row r="62">
          <cell r="B62" t="str">
            <v>33603</v>
          </cell>
          <cell r="C62" t="str">
            <v>Impresiones y Publicaciones Oficiales</v>
          </cell>
          <cell r="D62">
            <v>0</v>
          </cell>
          <cell r="E62">
            <v>0</v>
          </cell>
          <cell r="F62">
            <v>0</v>
          </cell>
          <cell r="G62">
            <v>0</v>
          </cell>
          <cell r="H62">
            <v>0</v>
          </cell>
          <cell r="I62">
            <v>0</v>
          </cell>
          <cell r="J62">
            <v>0</v>
          </cell>
          <cell r="K62">
            <v>0</v>
          </cell>
          <cell r="L62">
            <v>0</v>
          </cell>
          <cell r="M62">
            <v>0</v>
          </cell>
        </row>
        <row r="63">
          <cell r="B63" t="str">
            <v>33801</v>
          </cell>
          <cell r="C63" t="str">
            <v>Servicio de Vigilancia</v>
          </cell>
          <cell r="D63">
            <v>430000</v>
          </cell>
          <cell r="E63">
            <v>140300</v>
          </cell>
          <cell r="F63">
            <v>0</v>
          </cell>
          <cell r="G63">
            <v>570300</v>
          </cell>
          <cell r="H63">
            <v>570206.92000000004</v>
          </cell>
          <cell r="I63">
            <v>570206.92000000004</v>
          </cell>
          <cell r="J63">
            <v>570206.92000000004</v>
          </cell>
          <cell r="K63">
            <v>570206.92000000004</v>
          </cell>
          <cell r="L63">
            <v>93.07999999995809</v>
          </cell>
          <cell r="M63">
            <v>93.07999999995809</v>
          </cell>
        </row>
        <row r="64">
          <cell r="B64" t="str">
            <v>33901</v>
          </cell>
          <cell r="C64" t="str">
            <v>Servicios, Profesionales, Cientificos y Tenicos In</v>
          </cell>
          <cell r="D64">
            <v>750000</v>
          </cell>
          <cell r="E64">
            <v>117000</v>
          </cell>
          <cell r="F64">
            <v>0</v>
          </cell>
          <cell r="G64">
            <v>867000</v>
          </cell>
          <cell r="H64">
            <v>866876.31</v>
          </cell>
          <cell r="I64">
            <v>866876.31</v>
          </cell>
          <cell r="J64">
            <v>866876.31</v>
          </cell>
          <cell r="K64">
            <v>866876.31</v>
          </cell>
          <cell r="L64">
            <v>123.68999999994412</v>
          </cell>
          <cell r="M64">
            <v>123.68999999994412</v>
          </cell>
        </row>
        <row r="65">
          <cell r="B65" t="str">
            <v>34101</v>
          </cell>
          <cell r="C65" t="str">
            <v>Servicios Financieros y Bancarios</v>
          </cell>
          <cell r="D65">
            <v>10000.01</v>
          </cell>
          <cell r="E65">
            <v>0</v>
          </cell>
          <cell r="F65">
            <v>0</v>
          </cell>
          <cell r="G65">
            <v>10000.01</v>
          </cell>
          <cell r="H65">
            <v>7596.7000000000007</v>
          </cell>
          <cell r="I65">
            <v>7596.7000000000007</v>
          </cell>
          <cell r="J65">
            <v>7596.7000000000007</v>
          </cell>
          <cell r="K65">
            <v>7596.7000000000007</v>
          </cell>
          <cell r="L65">
            <v>2403.3099999999995</v>
          </cell>
          <cell r="M65">
            <v>2403.3099999999995</v>
          </cell>
        </row>
        <row r="66">
          <cell r="B66" t="str">
            <v>34401</v>
          </cell>
          <cell r="C66" t="str">
            <v>Seguros de Responsabilidad Patrimonial y Fianzas</v>
          </cell>
          <cell r="D66">
            <v>350000.01</v>
          </cell>
          <cell r="E66">
            <v>0</v>
          </cell>
          <cell r="F66">
            <v>20000</v>
          </cell>
          <cell r="G66">
            <v>330000.01</v>
          </cell>
          <cell r="H66">
            <v>185330.28999999998</v>
          </cell>
          <cell r="I66">
            <v>185330.28999999998</v>
          </cell>
          <cell r="J66">
            <v>185330.28999999998</v>
          </cell>
          <cell r="K66">
            <v>185330.28999999998</v>
          </cell>
          <cell r="L66">
            <v>144669.72000000003</v>
          </cell>
          <cell r="M66">
            <v>144669.72000000003</v>
          </cell>
        </row>
        <row r="67">
          <cell r="B67" t="str">
            <v>34501</v>
          </cell>
          <cell r="C67" t="str">
            <v>Seguro de Bienes Patrimoniales</v>
          </cell>
          <cell r="D67">
            <v>59999.99</v>
          </cell>
          <cell r="E67">
            <v>27800</v>
          </cell>
          <cell r="F67">
            <v>0</v>
          </cell>
          <cell r="G67">
            <v>87799.989999999991</v>
          </cell>
          <cell r="H67">
            <v>87783.330000000016</v>
          </cell>
          <cell r="I67">
            <v>87783.330000000016</v>
          </cell>
          <cell r="J67">
            <v>87783.330000000016</v>
          </cell>
          <cell r="K67">
            <v>87783.330000000016</v>
          </cell>
          <cell r="L67">
            <v>16.659999999974389</v>
          </cell>
          <cell r="M67">
            <v>16.659999999974389</v>
          </cell>
        </row>
        <row r="68">
          <cell r="B68" t="str">
            <v>34701</v>
          </cell>
          <cell r="C68" t="str">
            <v>Fletes y Maniobras</v>
          </cell>
          <cell r="D68">
            <v>10000.01</v>
          </cell>
          <cell r="E68">
            <v>0</v>
          </cell>
          <cell r="F68">
            <v>0</v>
          </cell>
          <cell r="G68">
            <v>10000.01</v>
          </cell>
          <cell r="H68">
            <v>3480</v>
          </cell>
          <cell r="I68">
            <v>3480</v>
          </cell>
          <cell r="J68">
            <v>3480</v>
          </cell>
          <cell r="K68">
            <v>3480</v>
          </cell>
          <cell r="L68">
            <v>6520.01</v>
          </cell>
          <cell r="M68">
            <v>6520.01</v>
          </cell>
        </row>
        <row r="69">
          <cell r="B69" t="str">
            <v>35101</v>
          </cell>
          <cell r="C69" t="str">
            <v>Mantenimiento y Conservacion de Inmuebles</v>
          </cell>
          <cell r="D69">
            <v>1200000</v>
          </cell>
          <cell r="E69">
            <v>0</v>
          </cell>
          <cell r="F69">
            <v>0</v>
          </cell>
          <cell r="G69">
            <v>1200000</v>
          </cell>
          <cell r="H69">
            <v>910097.28</v>
          </cell>
          <cell r="I69">
            <v>910097.28</v>
          </cell>
          <cell r="J69">
            <v>910097.28</v>
          </cell>
          <cell r="K69">
            <v>910097.28</v>
          </cell>
          <cell r="L69">
            <v>289902.71999999997</v>
          </cell>
          <cell r="M69">
            <v>289902.71999999997</v>
          </cell>
        </row>
        <row r="70">
          <cell r="B70" t="str">
            <v>35201</v>
          </cell>
          <cell r="C70" t="str">
            <v>Mantenimiento y Conservacion de Mob y Eqpo</v>
          </cell>
          <cell r="D70">
            <v>10000.01</v>
          </cell>
          <cell r="E70">
            <v>0</v>
          </cell>
          <cell r="F70">
            <v>0</v>
          </cell>
          <cell r="G70">
            <v>10000.01</v>
          </cell>
          <cell r="H70">
            <v>0</v>
          </cell>
          <cell r="I70">
            <v>0</v>
          </cell>
          <cell r="J70">
            <v>0</v>
          </cell>
          <cell r="K70">
            <v>0</v>
          </cell>
          <cell r="L70">
            <v>10000.01</v>
          </cell>
          <cell r="M70">
            <v>10000.01</v>
          </cell>
        </row>
        <row r="71">
          <cell r="B71" t="str">
            <v>35301</v>
          </cell>
          <cell r="C71" t="str">
            <v>Instalaciones</v>
          </cell>
          <cell r="D71">
            <v>50000</v>
          </cell>
          <cell r="E71">
            <v>0</v>
          </cell>
          <cell r="F71">
            <v>0</v>
          </cell>
          <cell r="G71">
            <v>50000</v>
          </cell>
          <cell r="H71">
            <v>4760.84</v>
          </cell>
          <cell r="I71">
            <v>4760.84</v>
          </cell>
          <cell r="J71">
            <v>4760.84</v>
          </cell>
          <cell r="K71">
            <v>4760.84</v>
          </cell>
          <cell r="L71">
            <v>45239.16</v>
          </cell>
          <cell r="M71">
            <v>45239.16</v>
          </cell>
        </row>
        <row r="72">
          <cell r="B72" t="str">
            <v>35302</v>
          </cell>
          <cell r="C72" t="str">
            <v>Mantto y Conservacion de Bienes Informaticos</v>
          </cell>
          <cell r="D72">
            <v>70000.009999999995</v>
          </cell>
          <cell r="E72">
            <v>15300</v>
          </cell>
          <cell r="F72">
            <v>0</v>
          </cell>
          <cell r="G72">
            <v>85300.01</v>
          </cell>
          <cell r="H72">
            <v>85289.489999999991</v>
          </cell>
          <cell r="I72">
            <v>85289.489999999991</v>
          </cell>
          <cell r="J72">
            <v>85289.489999999991</v>
          </cell>
          <cell r="K72">
            <v>85289.489999999991</v>
          </cell>
          <cell r="L72">
            <v>10.520000000004075</v>
          </cell>
          <cell r="M72">
            <v>10.520000000004075</v>
          </cell>
        </row>
        <row r="73">
          <cell r="B73" t="str">
            <v>35501</v>
          </cell>
          <cell r="C73" t="str">
            <v>Mantto y Conservacion Eqpo de Transporte</v>
          </cell>
          <cell r="D73">
            <v>250000</v>
          </cell>
          <cell r="E73">
            <v>0</v>
          </cell>
          <cell r="F73">
            <v>0</v>
          </cell>
          <cell r="G73">
            <v>250000</v>
          </cell>
          <cell r="H73">
            <v>87996.299999999988</v>
          </cell>
          <cell r="I73">
            <v>87996.299999999988</v>
          </cell>
          <cell r="J73">
            <v>87996.299999999988</v>
          </cell>
          <cell r="K73">
            <v>87996.299999999988</v>
          </cell>
          <cell r="L73">
            <v>162003.70000000001</v>
          </cell>
          <cell r="M73">
            <v>162003.70000000001</v>
          </cell>
        </row>
        <row r="74">
          <cell r="B74" t="str">
            <v>35701</v>
          </cell>
          <cell r="C74" t="str">
            <v>Mantenimiento y Conservacion de Maq y Eqpo</v>
          </cell>
          <cell r="D74">
            <v>59999.99</v>
          </cell>
          <cell r="E74">
            <v>0</v>
          </cell>
          <cell r="F74">
            <v>0</v>
          </cell>
          <cell r="G74">
            <v>59999.99</v>
          </cell>
          <cell r="H74">
            <v>50291.519999999997</v>
          </cell>
          <cell r="I74">
            <v>50291.519999999997</v>
          </cell>
          <cell r="J74">
            <v>50291.519999999997</v>
          </cell>
          <cell r="K74">
            <v>50291.519999999997</v>
          </cell>
          <cell r="L74">
            <v>9708.4700000000012</v>
          </cell>
          <cell r="M74">
            <v>9708.4700000000012</v>
          </cell>
        </row>
        <row r="75">
          <cell r="B75" t="str">
            <v>35901</v>
          </cell>
          <cell r="C75" t="str">
            <v>Servicios de Jardineria y Fumigacion</v>
          </cell>
          <cell r="D75">
            <v>90000</v>
          </cell>
          <cell r="E75">
            <v>0</v>
          </cell>
          <cell r="F75">
            <v>0</v>
          </cell>
          <cell r="G75">
            <v>90000</v>
          </cell>
          <cell r="H75">
            <v>80959.710000000006</v>
          </cell>
          <cell r="I75">
            <v>80959.709999999992</v>
          </cell>
          <cell r="J75">
            <v>80959.709999999992</v>
          </cell>
          <cell r="K75">
            <v>80959.709999999992</v>
          </cell>
          <cell r="L75">
            <v>9040.2899999999936</v>
          </cell>
          <cell r="M75">
            <v>9040.2900000000081</v>
          </cell>
        </row>
        <row r="76">
          <cell r="B76" t="str">
            <v>36101</v>
          </cell>
          <cell r="C76" t="str">
            <v>Difusion por Radio,TV y otros Medios de Mensajes s</v>
          </cell>
          <cell r="D76">
            <v>9999999.9900000002</v>
          </cell>
          <cell r="E76">
            <v>906118.88</v>
          </cell>
          <cell r="F76">
            <v>0</v>
          </cell>
          <cell r="G76">
            <v>10906118.870000001</v>
          </cell>
          <cell r="H76">
            <v>906118.86</v>
          </cell>
          <cell r="I76">
            <v>906118.86</v>
          </cell>
          <cell r="J76">
            <v>906118.86</v>
          </cell>
          <cell r="K76">
            <v>906118.86</v>
          </cell>
          <cell r="L76">
            <v>10000000.010000002</v>
          </cell>
          <cell r="M76">
            <v>10000000.010000002</v>
          </cell>
        </row>
        <row r="77">
          <cell r="B77" t="str">
            <v>36201</v>
          </cell>
          <cell r="C77" t="str">
            <v>Difusion por Radio,TV y Otros Medios de Mensajes C</v>
          </cell>
          <cell r="D77">
            <v>500000.01</v>
          </cell>
          <cell r="E77">
            <v>0</v>
          </cell>
          <cell r="F77">
            <v>105000</v>
          </cell>
          <cell r="G77">
            <v>395000.01</v>
          </cell>
          <cell r="H77">
            <v>70365.600000000006</v>
          </cell>
          <cell r="I77">
            <v>70365.600000000006</v>
          </cell>
          <cell r="J77">
            <v>70365.600000000006</v>
          </cell>
          <cell r="K77">
            <v>70365.600000000006</v>
          </cell>
          <cell r="L77">
            <v>324634.41000000003</v>
          </cell>
          <cell r="M77">
            <v>324634.41000000003</v>
          </cell>
        </row>
        <row r="78">
          <cell r="B78" t="str">
            <v>37101</v>
          </cell>
          <cell r="C78" t="str">
            <v>Pasajes Aereos</v>
          </cell>
          <cell r="D78">
            <v>3500000</v>
          </cell>
          <cell r="E78">
            <v>0</v>
          </cell>
          <cell r="F78">
            <v>0</v>
          </cell>
          <cell r="G78">
            <v>3500000</v>
          </cell>
          <cell r="H78">
            <v>2930557</v>
          </cell>
          <cell r="I78">
            <v>2930557</v>
          </cell>
          <cell r="J78">
            <v>2930557</v>
          </cell>
          <cell r="K78">
            <v>2930557</v>
          </cell>
          <cell r="L78">
            <v>569443</v>
          </cell>
          <cell r="M78">
            <v>569443</v>
          </cell>
        </row>
        <row r="79">
          <cell r="B79" t="str">
            <v>37201</v>
          </cell>
          <cell r="C79" t="str">
            <v>Pasajes Terrestres</v>
          </cell>
          <cell r="D79">
            <v>56428</v>
          </cell>
          <cell r="E79">
            <v>90000</v>
          </cell>
          <cell r="F79">
            <v>0</v>
          </cell>
          <cell r="G79">
            <v>146428</v>
          </cell>
          <cell r="H79">
            <v>35150.86</v>
          </cell>
          <cell r="I79">
            <v>35150.86</v>
          </cell>
          <cell r="J79">
            <v>35150.86</v>
          </cell>
          <cell r="K79">
            <v>35150.86</v>
          </cell>
          <cell r="L79">
            <v>111277.14</v>
          </cell>
          <cell r="M79">
            <v>111277.14</v>
          </cell>
        </row>
        <row r="80">
          <cell r="B80" t="str">
            <v>37501</v>
          </cell>
          <cell r="C80" t="str">
            <v>Viaticos en el Pais</v>
          </cell>
          <cell r="D80">
            <v>799999.99</v>
          </cell>
          <cell r="E80">
            <v>0</v>
          </cell>
          <cell r="F80">
            <v>0</v>
          </cell>
          <cell r="G80">
            <v>799999.99</v>
          </cell>
          <cell r="H80">
            <v>142556.41999999998</v>
          </cell>
          <cell r="I80">
            <v>142556.41999999998</v>
          </cell>
          <cell r="J80">
            <v>142556.41999999998</v>
          </cell>
          <cell r="K80">
            <v>142556.41999999998</v>
          </cell>
          <cell r="L80">
            <v>657443.57000000007</v>
          </cell>
          <cell r="M80">
            <v>657443.57000000007</v>
          </cell>
        </row>
        <row r="81">
          <cell r="B81" t="str">
            <v>37502</v>
          </cell>
          <cell r="C81" t="str">
            <v>Gastos de Camino</v>
          </cell>
          <cell r="D81">
            <v>5000</v>
          </cell>
          <cell r="E81">
            <v>5000</v>
          </cell>
          <cell r="F81">
            <v>0</v>
          </cell>
          <cell r="G81">
            <v>10000</v>
          </cell>
          <cell r="H81">
            <v>7498</v>
          </cell>
          <cell r="I81">
            <v>7498</v>
          </cell>
          <cell r="J81">
            <v>7498</v>
          </cell>
          <cell r="K81">
            <v>7498</v>
          </cell>
          <cell r="L81">
            <v>2502</v>
          </cell>
          <cell r="M81">
            <v>2502</v>
          </cell>
        </row>
        <row r="82">
          <cell r="B82" t="str">
            <v>37601</v>
          </cell>
          <cell r="C82" t="str">
            <v>Viaticos en el Extranjero</v>
          </cell>
          <cell r="D82">
            <v>2700000</v>
          </cell>
          <cell r="E82">
            <v>0</v>
          </cell>
          <cell r="F82">
            <v>45000</v>
          </cell>
          <cell r="G82">
            <v>2655000</v>
          </cell>
          <cell r="H82">
            <v>480268.83999999997</v>
          </cell>
          <cell r="I82">
            <v>480268.83999999997</v>
          </cell>
          <cell r="J82">
            <v>480268.83999999997</v>
          </cell>
          <cell r="K82">
            <v>480268.83999999997</v>
          </cell>
          <cell r="L82">
            <v>2174731.16</v>
          </cell>
          <cell r="M82">
            <v>2174731.16</v>
          </cell>
        </row>
        <row r="83">
          <cell r="B83" t="str">
            <v>37901</v>
          </cell>
          <cell r="C83" t="str">
            <v>Cuotas</v>
          </cell>
          <cell r="D83">
            <v>5000</v>
          </cell>
          <cell r="E83">
            <v>15000</v>
          </cell>
          <cell r="F83">
            <v>0</v>
          </cell>
          <cell r="G83">
            <v>20000</v>
          </cell>
          <cell r="H83">
            <v>9237</v>
          </cell>
          <cell r="I83">
            <v>9237</v>
          </cell>
          <cell r="J83">
            <v>9237</v>
          </cell>
          <cell r="K83">
            <v>9237</v>
          </cell>
          <cell r="L83">
            <v>10763</v>
          </cell>
          <cell r="M83">
            <v>10763</v>
          </cell>
        </row>
        <row r="84">
          <cell r="B84" t="str">
            <v>38101</v>
          </cell>
          <cell r="C84" t="str">
            <v>Gastos de ceremonial</v>
          </cell>
          <cell r="D84">
            <v>100000</v>
          </cell>
          <cell r="E84">
            <v>6193728.75</v>
          </cell>
          <cell r="F84">
            <v>17062.68</v>
          </cell>
          <cell r="G84">
            <v>6276666.0700000003</v>
          </cell>
          <cell r="H84">
            <v>1471670.7699999998</v>
          </cell>
          <cell r="I84">
            <v>1471670.7699999998</v>
          </cell>
          <cell r="J84">
            <v>1471670.7699999998</v>
          </cell>
          <cell r="K84">
            <v>1471670.7699999998</v>
          </cell>
          <cell r="L84">
            <v>4804995.3000000007</v>
          </cell>
          <cell r="M84">
            <v>4804995.3000000007</v>
          </cell>
        </row>
        <row r="85">
          <cell r="B85" t="str">
            <v>38201</v>
          </cell>
          <cell r="C85" t="str">
            <v>Gastos de Orden Social y cultural</v>
          </cell>
          <cell r="D85">
            <v>10000.01</v>
          </cell>
          <cell r="E85">
            <v>0</v>
          </cell>
          <cell r="F85">
            <v>0</v>
          </cell>
          <cell r="G85">
            <v>10000.01</v>
          </cell>
          <cell r="H85">
            <v>3000</v>
          </cell>
          <cell r="I85">
            <v>3000</v>
          </cell>
          <cell r="J85">
            <v>3000</v>
          </cell>
          <cell r="K85">
            <v>3000</v>
          </cell>
          <cell r="L85">
            <v>7000.01</v>
          </cell>
          <cell r="M85">
            <v>7000.01</v>
          </cell>
        </row>
        <row r="86">
          <cell r="B86" t="str">
            <v>38301</v>
          </cell>
          <cell r="C86" t="str">
            <v>Congresos y Convenciones</v>
          </cell>
          <cell r="D86">
            <v>3900000</v>
          </cell>
          <cell r="E86">
            <v>0</v>
          </cell>
          <cell r="F86">
            <v>280400</v>
          </cell>
          <cell r="G86">
            <v>3619600</v>
          </cell>
          <cell r="H86">
            <v>1898922.91</v>
          </cell>
          <cell r="I86">
            <v>1898922.91</v>
          </cell>
          <cell r="J86">
            <v>1898922.91</v>
          </cell>
          <cell r="K86">
            <v>1898922.91</v>
          </cell>
          <cell r="L86">
            <v>1720677.09</v>
          </cell>
          <cell r="M86">
            <v>1720677.09</v>
          </cell>
        </row>
        <row r="87">
          <cell r="B87" t="str">
            <v>38501</v>
          </cell>
          <cell r="C87" t="str">
            <v>Gastos de Atencion y Promocion</v>
          </cell>
          <cell r="D87">
            <v>600000</v>
          </cell>
          <cell r="E87">
            <v>0</v>
          </cell>
          <cell r="F87">
            <v>0</v>
          </cell>
          <cell r="G87">
            <v>600000</v>
          </cell>
          <cell r="H87">
            <v>522412.64999999997</v>
          </cell>
          <cell r="I87">
            <v>522412.64999999997</v>
          </cell>
          <cell r="J87">
            <v>522412.64999999997</v>
          </cell>
          <cell r="K87">
            <v>522412.64999999997</v>
          </cell>
          <cell r="L87">
            <v>77587.350000000035</v>
          </cell>
          <cell r="M87">
            <v>77587.350000000035</v>
          </cell>
        </row>
        <row r="88">
          <cell r="B88" t="str">
            <v>39201</v>
          </cell>
          <cell r="C88" t="str">
            <v>Impuestos y Derechos</v>
          </cell>
          <cell r="D88">
            <v>5000</v>
          </cell>
          <cell r="E88">
            <v>0</v>
          </cell>
          <cell r="F88">
            <v>0</v>
          </cell>
          <cell r="G88">
            <v>5000</v>
          </cell>
          <cell r="H88">
            <v>0</v>
          </cell>
          <cell r="I88">
            <v>0</v>
          </cell>
          <cell r="J88">
            <v>0</v>
          </cell>
          <cell r="K88">
            <v>0</v>
          </cell>
          <cell r="L88">
            <v>5000</v>
          </cell>
          <cell r="M88">
            <v>5000</v>
          </cell>
        </row>
        <row r="89">
          <cell r="B89">
            <v>39501</v>
          </cell>
          <cell r="C89" t="str">
            <v>PENAS, MULTAS, ACCESORIOS Y ACTUALIZACIONES</v>
          </cell>
          <cell r="D89">
            <v>20000</v>
          </cell>
          <cell r="E89">
            <v>10000</v>
          </cell>
          <cell r="F89">
            <v>0</v>
          </cell>
          <cell r="G89">
            <v>30000</v>
          </cell>
          <cell r="H89">
            <v>28571</v>
          </cell>
          <cell r="I89">
            <v>28571</v>
          </cell>
          <cell r="J89">
            <v>28571</v>
          </cell>
          <cell r="K89">
            <v>28571</v>
          </cell>
          <cell r="L89">
            <v>1429</v>
          </cell>
          <cell r="M89">
            <v>1429</v>
          </cell>
        </row>
        <row r="90">
          <cell r="B90">
            <v>4000</v>
          </cell>
          <cell r="C90" t="str">
            <v>TRANSFERENCIAS, ASIGNACIONES, SUBSIDIOS Y OTRAS AY</v>
          </cell>
          <cell r="D90">
            <v>33436316.73</v>
          </cell>
          <cell r="E90">
            <v>33025875</v>
          </cell>
          <cell r="F90">
            <v>0</v>
          </cell>
          <cell r="G90">
            <v>66462191.730000004</v>
          </cell>
          <cell r="H90">
            <v>47431015</v>
          </cell>
          <cell r="I90">
            <v>47431015</v>
          </cell>
          <cell r="J90">
            <v>47431015</v>
          </cell>
          <cell r="K90">
            <v>47431015</v>
          </cell>
          <cell r="L90">
            <v>19031176.730000004</v>
          </cell>
          <cell r="M90">
            <v>19031176.730000004</v>
          </cell>
        </row>
        <row r="91">
          <cell r="B91">
            <v>43101</v>
          </cell>
          <cell r="C91" t="str">
            <v>SUBSIDIOS A LA PRODUCCION</v>
          </cell>
          <cell r="D91">
            <v>32436316.73</v>
          </cell>
          <cell r="E91">
            <v>33025875</v>
          </cell>
          <cell r="F91">
            <v>0</v>
          </cell>
          <cell r="G91">
            <v>65462191.730000004</v>
          </cell>
          <cell r="H91">
            <v>47025875</v>
          </cell>
          <cell r="I91">
            <v>47025875</v>
          </cell>
          <cell r="J91">
            <v>47025875</v>
          </cell>
          <cell r="K91">
            <v>47025875</v>
          </cell>
          <cell r="L91">
            <v>18436316.730000004</v>
          </cell>
          <cell r="M91">
            <v>18436316.730000004</v>
          </cell>
        </row>
        <row r="92">
          <cell r="B92">
            <v>43301</v>
          </cell>
          <cell r="C92" t="str">
            <v>SUBSIDIOS A LA INVERSION</v>
          </cell>
          <cell r="D92">
            <v>1000000</v>
          </cell>
          <cell r="E92">
            <v>0</v>
          </cell>
          <cell r="F92">
            <v>0</v>
          </cell>
          <cell r="G92">
            <v>1000000</v>
          </cell>
          <cell r="H92">
            <v>405140</v>
          </cell>
          <cell r="I92">
            <v>405140</v>
          </cell>
          <cell r="J92">
            <v>405140</v>
          </cell>
          <cell r="K92">
            <v>405140</v>
          </cell>
          <cell r="L92">
            <v>594860</v>
          </cell>
          <cell r="M92">
            <v>594860</v>
          </cell>
        </row>
        <row r="93">
          <cell r="B93">
            <v>5000</v>
          </cell>
          <cell r="C93" t="str">
            <v>BIENES MUEBLES, INMUEBLES E INTANGIBLES</v>
          </cell>
          <cell r="D93">
            <v>0</v>
          </cell>
          <cell r="E93">
            <v>17062.68</v>
          </cell>
          <cell r="F93">
            <v>0</v>
          </cell>
          <cell r="G93">
            <v>17062.68</v>
          </cell>
          <cell r="H93">
            <v>17062.68</v>
          </cell>
          <cell r="I93">
            <v>17062.68</v>
          </cell>
          <cell r="J93">
            <v>17062.68</v>
          </cell>
          <cell r="K93">
            <v>17062.68</v>
          </cell>
          <cell r="L93">
            <v>0</v>
          </cell>
          <cell r="M93">
            <v>0</v>
          </cell>
        </row>
        <row r="94">
          <cell r="B94" t="str">
            <v>51101</v>
          </cell>
          <cell r="C94" t="str">
            <v>Muebles de Oficina y Estanteria</v>
          </cell>
          <cell r="D94">
            <v>0</v>
          </cell>
          <cell r="E94">
            <v>0</v>
          </cell>
          <cell r="F94">
            <v>0</v>
          </cell>
          <cell r="G94">
            <v>0</v>
          </cell>
          <cell r="H94">
            <v>0</v>
          </cell>
          <cell r="I94">
            <v>0</v>
          </cell>
          <cell r="J94">
            <v>0</v>
          </cell>
          <cell r="K94">
            <v>0</v>
          </cell>
          <cell r="L94">
            <v>0</v>
          </cell>
          <cell r="M94">
            <v>0</v>
          </cell>
        </row>
        <row r="95">
          <cell r="B95" t="str">
            <v>51501</v>
          </cell>
          <cell r="C95" t="str">
            <v>Eqpo de Computo y de Tecnologias de la informacion</v>
          </cell>
          <cell r="D95">
            <v>0</v>
          </cell>
          <cell r="E95">
            <v>17062.68</v>
          </cell>
          <cell r="F95">
            <v>0</v>
          </cell>
          <cell r="G95">
            <v>17062.68</v>
          </cell>
          <cell r="H95">
            <v>17062.68</v>
          </cell>
          <cell r="I95">
            <v>17062.68</v>
          </cell>
          <cell r="J95">
            <v>17062.68</v>
          </cell>
          <cell r="K95">
            <v>17062.68</v>
          </cell>
          <cell r="L95">
            <v>0</v>
          </cell>
          <cell r="M95">
            <v>0</v>
          </cell>
        </row>
      </sheetData>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Compac"/>
    </sheetNames>
    <sheetDataSet>
      <sheetData sheetId="0">
        <row r="215">
          <cell r="G215">
            <v>1000000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oja2"/>
      <sheetName val="pagado"/>
      <sheetName val="devengado dg"/>
      <sheetName val="Por organismos DIC"/>
      <sheetName val="ETCA-II-13"/>
      <sheetName val="ETCA-II-04"/>
      <sheetName val="Hoja3"/>
      <sheetName val="Hoja1"/>
    </sheetNames>
    <sheetDataSet>
      <sheetData sheetId="0" refreshError="1"/>
      <sheetData sheetId="1" refreshError="1"/>
      <sheetData sheetId="2" refreshError="1"/>
      <sheetData sheetId="3">
        <row r="16">
          <cell r="I16">
            <v>63488982.775359251</v>
          </cell>
        </row>
        <row r="17">
          <cell r="I17">
            <v>891273.36</v>
          </cell>
        </row>
        <row r="18">
          <cell r="I18">
            <v>1903436.0841548129</v>
          </cell>
        </row>
        <row r="19">
          <cell r="I19">
            <v>0</v>
          </cell>
        </row>
        <row r="20">
          <cell r="I20">
            <v>38602823.034249924</v>
          </cell>
        </row>
        <row r="21">
          <cell r="I21">
            <v>10078561.429963181</v>
          </cell>
        </row>
        <row r="22">
          <cell r="I22">
            <v>40609.637852213993</v>
          </cell>
        </row>
        <row r="23">
          <cell r="I23">
            <v>7821042.4271908822</v>
          </cell>
        </row>
        <row r="26">
          <cell r="I26">
            <v>2182566.3062395351</v>
          </cell>
        </row>
        <row r="28">
          <cell r="I28">
            <v>0</v>
          </cell>
        </row>
        <row r="31">
          <cell r="I31">
            <v>5393770.4297158383</v>
          </cell>
        </row>
        <row r="33">
          <cell r="I33">
            <v>3628788.4598680851</v>
          </cell>
        </row>
        <row r="34">
          <cell r="I34">
            <v>3778937.9802641235</v>
          </cell>
        </row>
        <row r="35">
          <cell r="I35">
            <v>97958.47</v>
          </cell>
        </row>
        <row r="36">
          <cell r="I36">
            <v>95058.67</v>
          </cell>
        </row>
        <row r="38">
          <cell r="I38">
            <v>6532993.8810684541</v>
          </cell>
        </row>
        <row r="40">
          <cell r="I40">
            <v>168000</v>
          </cell>
        </row>
        <row r="43">
          <cell r="I43">
            <v>26873552.598602422</v>
          </cell>
        </row>
        <row r="44">
          <cell r="I44">
            <v>11885454.000000002</v>
          </cell>
        </row>
        <row r="46">
          <cell r="I46">
            <v>524235.13</v>
          </cell>
        </row>
        <row r="48">
          <cell r="I48">
            <v>20856</v>
          </cell>
        </row>
        <row r="49">
          <cell r="I49">
            <v>4350394.3800460789</v>
          </cell>
        </row>
        <row r="50">
          <cell r="I50">
            <v>4698</v>
          </cell>
        </row>
        <row r="53">
          <cell r="I53">
            <v>7607785.3750730222</v>
          </cell>
        </row>
        <row r="55">
          <cell r="I55">
            <v>0</v>
          </cell>
        </row>
        <row r="56">
          <cell r="I56">
            <v>4928.2679996987245</v>
          </cell>
        </row>
        <row r="57">
          <cell r="I57">
            <v>0</v>
          </cell>
        </row>
        <row r="59">
          <cell r="I59">
            <v>748092.34</v>
          </cell>
        </row>
        <row r="60">
          <cell r="I60">
            <v>5057158.537623791</v>
          </cell>
        </row>
        <row r="61">
          <cell r="I61">
            <v>17340</v>
          </cell>
        </row>
        <row r="62">
          <cell r="I62">
            <v>45600</v>
          </cell>
        </row>
        <row r="63">
          <cell r="I63">
            <v>403512</v>
          </cell>
        </row>
        <row r="64">
          <cell r="I64">
            <v>194585.49</v>
          </cell>
        </row>
        <row r="65">
          <cell r="I65">
            <v>1883606.6249575764</v>
          </cell>
        </row>
        <row r="66">
          <cell r="I66">
            <v>21000</v>
          </cell>
        </row>
        <row r="67">
          <cell r="I67">
            <v>27455</v>
          </cell>
        </row>
        <row r="68">
          <cell r="I68">
            <v>28350</v>
          </cell>
        </row>
        <row r="69">
          <cell r="I69">
            <v>21600</v>
          </cell>
        </row>
        <row r="70">
          <cell r="I70">
            <v>220176</v>
          </cell>
        </row>
        <row r="71">
          <cell r="I71">
            <v>13560</v>
          </cell>
        </row>
        <row r="72">
          <cell r="I72">
            <v>81000</v>
          </cell>
        </row>
        <row r="73">
          <cell r="I73">
            <v>33750</v>
          </cell>
        </row>
        <row r="75">
          <cell r="I75">
            <v>20004657.447540067</v>
          </cell>
        </row>
        <row r="78">
          <cell r="I78">
            <v>0</v>
          </cell>
        </row>
        <row r="81">
          <cell r="I81">
            <v>1957107.8399999999</v>
          </cell>
        </row>
        <row r="82">
          <cell r="I82">
            <v>724169.23750556691</v>
          </cell>
        </row>
        <row r="83">
          <cell r="I83">
            <v>242773.68</v>
          </cell>
        </row>
        <row r="88">
          <cell r="I88">
            <v>1094116.546858507</v>
          </cell>
        </row>
        <row r="90">
          <cell r="I90">
            <v>197754.5260726586</v>
          </cell>
        </row>
        <row r="92">
          <cell r="I92">
            <v>361996.10178076691</v>
          </cell>
        </row>
        <row r="94">
          <cell r="I94">
            <v>0</v>
          </cell>
        </row>
        <row r="95">
          <cell r="I95">
            <v>29639.360000000001</v>
          </cell>
        </row>
        <row r="97">
          <cell r="I97">
            <v>283794.85859059572</v>
          </cell>
        </row>
        <row r="99">
          <cell r="I99">
            <v>0</v>
          </cell>
        </row>
        <row r="101">
          <cell r="I101">
            <v>280990.57843528775</v>
          </cell>
        </row>
        <row r="102">
          <cell r="I102">
            <v>0</v>
          </cell>
        </row>
        <row r="105">
          <cell r="I105">
            <v>377699.57399164216</v>
          </cell>
        </row>
        <row r="106">
          <cell r="I106">
            <v>228294.21303427962</v>
          </cell>
        </row>
        <row r="108">
          <cell r="I108">
            <v>6808.6117759999997</v>
          </cell>
        </row>
        <row r="111">
          <cell r="I111">
            <v>2245216.0910823718</v>
          </cell>
        </row>
        <row r="114">
          <cell r="I114">
            <v>163493.84939414894</v>
          </cell>
        </row>
        <row r="116">
          <cell r="I116">
            <v>0</v>
          </cell>
        </row>
        <row r="118">
          <cell r="I118">
            <v>0</v>
          </cell>
        </row>
        <row r="120">
          <cell r="I120">
            <v>0</v>
          </cell>
        </row>
        <row r="122">
          <cell r="I122">
            <v>713873.12374342547</v>
          </cell>
        </row>
        <row r="123">
          <cell r="I123">
            <v>0</v>
          </cell>
        </row>
        <row r="125">
          <cell r="I125">
            <v>0</v>
          </cell>
        </row>
        <row r="128">
          <cell r="I128">
            <v>0</v>
          </cell>
        </row>
        <row r="130">
          <cell r="I130">
            <v>5000</v>
          </cell>
        </row>
        <row r="132">
          <cell r="I132">
            <v>72901.563938351086</v>
          </cell>
        </row>
        <row r="134">
          <cell r="I134">
            <v>0</v>
          </cell>
        </row>
        <row r="136">
          <cell r="I136">
            <v>3577541.7689470001</v>
          </cell>
        </row>
        <row r="139">
          <cell r="I139">
            <v>9465396.6127386317</v>
          </cell>
        </row>
        <row r="140">
          <cell r="I140">
            <v>829057.17059907247</v>
          </cell>
        </row>
        <row r="143">
          <cell r="I143">
            <v>2424289.7799831475</v>
          </cell>
        </row>
        <row r="145">
          <cell r="I145">
            <v>201491.23668541433</v>
          </cell>
        </row>
        <row r="148">
          <cell r="I148">
            <v>6500</v>
          </cell>
        </row>
        <row r="151">
          <cell r="I151">
            <v>309780.07124442363</v>
          </cell>
        </row>
        <row r="153">
          <cell r="I153">
            <v>45929.478810679859</v>
          </cell>
        </row>
        <row r="155">
          <cell r="I155">
            <v>29168.300723114979</v>
          </cell>
        </row>
        <row r="157">
          <cell r="I157">
            <v>110792.06572273161</v>
          </cell>
        </row>
        <row r="159">
          <cell r="I159">
            <v>0</v>
          </cell>
        </row>
        <row r="161">
          <cell r="I161">
            <v>1057663.4063395988</v>
          </cell>
        </row>
        <row r="163">
          <cell r="I163">
            <v>1364789.1917218056</v>
          </cell>
        </row>
        <row r="168">
          <cell r="I168">
            <v>59724995.899999999</v>
          </cell>
        </row>
        <row r="170">
          <cell r="I170">
            <v>3175.2000000000003</v>
          </cell>
        </row>
        <row r="172">
          <cell r="I172">
            <v>35476</v>
          </cell>
        </row>
        <row r="174">
          <cell r="I174">
            <v>730666.80552019225</v>
          </cell>
        </row>
        <row r="176">
          <cell r="I176">
            <v>0</v>
          </cell>
        </row>
        <row r="178">
          <cell r="I178">
            <v>0</v>
          </cell>
        </row>
        <row r="180">
          <cell r="I180">
            <v>497859.38884040323</v>
          </cell>
        </row>
        <row r="182">
          <cell r="I182">
            <v>46239.60151678641</v>
          </cell>
        </row>
        <row r="185">
          <cell r="I185">
            <v>700732.39275292773</v>
          </cell>
        </row>
        <row r="187">
          <cell r="I187">
            <v>2382711.777222015</v>
          </cell>
        </row>
        <row r="189">
          <cell r="I189">
            <v>35914.233030152798</v>
          </cell>
        </row>
        <row r="190">
          <cell r="I190">
            <v>1057526.9320954226</v>
          </cell>
        </row>
        <row r="192">
          <cell r="I192">
            <v>0</v>
          </cell>
        </row>
        <row r="194">
          <cell r="I194">
            <v>2331268.9251699736</v>
          </cell>
        </row>
        <row r="196">
          <cell r="I196">
            <v>9779.13304227548</v>
          </cell>
        </row>
        <row r="199">
          <cell r="I199">
            <v>2520081.3854247043</v>
          </cell>
        </row>
        <row r="201">
          <cell r="I201">
            <v>729575.52678136365</v>
          </cell>
        </row>
        <row r="203">
          <cell r="I203">
            <v>1072560.5212168586</v>
          </cell>
        </row>
        <row r="204">
          <cell r="I204">
            <v>20000</v>
          </cell>
        </row>
        <row r="206">
          <cell r="I206">
            <v>180620.658552129</v>
          </cell>
        </row>
        <row r="208">
          <cell r="I208">
            <v>2000</v>
          </cell>
        </row>
        <row r="210">
          <cell r="I210">
            <v>0</v>
          </cell>
        </row>
        <row r="211">
          <cell r="I211">
            <v>993882.70124591992</v>
          </cell>
        </row>
        <row r="212">
          <cell r="I212">
            <v>350000</v>
          </cell>
        </row>
        <row r="213">
          <cell r="I213">
            <v>95000</v>
          </cell>
        </row>
        <row r="215">
          <cell r="I215">
            <v>337152.75310000003</v>
          </cell>
        </row>
        <row r="217">
          <cell r="I217">
            <v>1448168.0079999999</v>
          </cell>
        </row>
        <row r="221">
          <cell r="I221">
            <v>926377.65509305254</v>
          </cell>
        </row>
        <row r="223">
          <cell r="I223">
            <v>8109913.412464424</v>
          </cell>
        </row>
        <row r="225">
          <cell r="I225">
            <v>1066015.8719413751</v>
          </cell>
        </row>
        <row r="227">
          <cell r="I227">
            <v>89448.332479347911</v>
          </cell>
        </row>
        <row r="230">
          <cell r="I230">
            <v>602425.03439800639</v>
          </cell>
        </row>
        <row r="232">
          <cell r="I232">
            <v>159447.43995853601</v>
          </cell>
        </row>
        <row r="234">
          <cell r="I234">
            <v>0</v>
          </cell>
        </row>
        <row r="235">
          <cell r="I235">
            <v>100766.41271574525</v>
          </cell>
        </row>
        <row r="237">
          <cell r="I237">
            <v>1381731.2158652721</v>
          </cell>
        </row>
        <row r="239">
          <cell r="I239">
            <v>14345807.831439309</v>
          </cell>
        </row>
        <row r="240">
          <cell r="I240">
            <v>5000</v>
          </cell>
        </row>
        <row r="242">
          <cell r="I242">
            <v>236429.77948129721</v>
          </cell>
        </row>
        <row r="244">
          <cell r="I244">
            <v>95681.682463416742</v>
          </cell>
        </row>
        <row r="247">
          <cell r="I247">
            <v>1773078.6326371171</v>
          </cell>
        </row>
        <row r="249">
          <cell r="I249">
            <v>507.31799648922885</v>
          </cell>
        </row>
        <row r="251">
          <cell r="I251">
            <v>26163.236000000001</v>
          </cell>
        </row>
        <row r="253">
          <cell r="I253">
            <v>3621.5397961004564</v>
          </cell>
        </row>
        <row r="256">
          <cell r="I256">
            <v>230000</v>
          </cell>
        </row>
        <row r="257">
          <cell r="I257">
            <v>40000</v>
          </cell>
        </row>
        <row r="259">
          <cell r="I259">
            <v>10000</v>
          </cell>
        </row>
        <row r="261">
          <cell r="I261">
            <v>1564437.6326192059</v>
          </cell>
        </row>
        <row r="262">
          <cell r="I262">
            <v>756897.82128622255</v>
          </cell>
        </row>
        <row r="264">
          <cell r="I264">
            <v>60000</v>
          </cell>
        </row>
        <row r="266">
          <cell r="I266">
            <v>2000</v>
          </cell>
        </row>
        <row r="268">
          <cell r="I268">
            <v>106639.32</v>
          </cell>
        </row>
        <row r="271">
          <cell r="I271">
            <v>500</v>
          </cell>
        </row>
        <row r="273">
          <cell r="I273">
            <v>0</v>
          </cell>
        </row>
        <row r="275">
          <cell r="I275">
            <v>92200</v>
          </cell>
        </row>
        <row r="277">
          <cell r="I277">
            <v>0</v>
          </cell>
        </row>
        <row r="280">
          <cell r="I280">
            <v>35125000.001000002</v>
          </cell>
        </row>
        <row r="282">
          <cell r="I282">
            <v>1423084.9583120574</v>
          </cell>
        </row>
        <row r="284">
          <cell r="I284">
            <v>9450.7823489051589</v>
          </cell>
        </row>
        <row r="286">
          <cell r="I286">
            <v>3585195.7050940003</v>
          </cell>
        </row>
        <row r="309">
          <cell r="I309">
            <v>150105.79999999999</v>
          </cell>
        </row>
        <row r="313">
          <cell r="I313">
            <v>30249</v>
          </cell>
        </row>
        <row r="323">
          <cell r="I323">
            <v>0</v>
          </cell>
        </row>
        <row r="328">
          <cell r="I328">
            <v>1508000</v>
          </cell>
        </row>
        <row r="330">
          <cell r="I330">
            <v>87000</v>
          </cell>
        </row>
        <row r="335">
          <cell r="I335">
            <v>0</v>
          </cell>
        </row>
        <row r="338">
          <cell r="I338">
            <v>2208458.2351000002</v>
          </cell>
        </row>
        <row r="340">
          <cell r="I340">
            <v>312813.84999999998</v>
          </cell>
        </row>
        <row r="349">
          <cell r="I349">
            <v>0</v>
          </cell>
        </row>
        <row r="360">
          <cell r="I360">
            <v>0</v>
          </cell>
        </row>
        <row r="367">
          <cell r="I367">
            <v>500000</v>
          </cell>
        </row>
        <row r="368">
          <cell r="I368">
            <v>0</v>
          </cell>
        </row>
        <row r="369">
          <cell r="I369">
            <v>0</v>
          </cell>
        </row>
        <row r="370">
          <cell r="I370">
            <v>0</v>
          </cell>
        </row>
        <row r="371">
          <cell r="I371">
            <v>0</v>
          </cell>
        </row>
        <row r="373">
          <cell r="I373">
            <v>0</v>
          </cell>
        </row>
        <row r="375">
          <cell r="I375">
            <v>0</v>
          </cell>
        </row>
        <row r="376">
          <cell r="I376">
            <v>60052078.600000001</v>
          </cell>
        </row>
        <row r="377">
          <cell r="I377">
            <v>84447921.400000006</v>
          </cell>
        </row>
        <row r="378">
          <cell r="I378">
            <v>0</v>
          </cell>
        </row>
        <row r="379">
          <cell r="I379">
            <v>0</v>
          </cell>
        </row>
        <row r="380">
          <cell r="I380">
            <v>0</v>
          </cell>
        </row>
        <row r="383">
          <cell r="I383">
            <v>0</v>
          </cell>
        </row>
        <row r="384">
          <cell r="I384">
            <v>0</v>
          </cell>
        </row>
        <row r="386">
          <cell r="I386">
            <v>0</v>
          </cell>
        </row>
        <row r="391">
          <cell r="I391">
            <v>0</v>
          </cell>
        </row>
        <row r="392">
          <cell r="I392">
            <v>500000</v>
          </cell>
        </row>
        <row r="394">
          <cell r="I394">
            <v>0</v>
          </cell>
        </row>
        <row r="395">
          <cell r="I395">
            <v>0</v>
          </cell>
        </row>
        <row r="396">
          <cell r="I396">
            <v>0</v>
          </cell>
        </row>
        <row r="397">
          <cell r="I397">
            <v>0</v>
          </cell>
        </row>
        <row r="398">
          <cell r="I398">
            <v>0</v>
          </cell>
        </row>
        <row r="399">
          <cell r="I399">
            <v>0</v>
          </cell>
        </row>
        <row r="401">
          <cell r="I401">
            <v>0</v>
          </cell>
        </row>
        <row r="402">
          <cell r="I402">
            <v>68945896.605000004</v>
          </cell>
        </row>
        <row r="403">
          <cell r="I403">
            <v>45554103.390000001</v>
          </cell>
        </row>
        <row r="404">
          <cell r="I404">
            <v>0</v>
          </cell>
        </row>
        <row r="405">
          <cell r="I405">
            <v>0</v>
          </cell>
        </row>
        <row r="406">
          <cell r="I406">
            <v>0</v>
          </cell>
        </row>
        <row r="407">
          <cell r="I407">
            <v>0</v>
          </cell>
        </row>
        <row r="409">
          <cell r="I409">
            <v>0</v>
          </cell>
        </row>
        <row r="414">
          <cell r="I414">
            <v>27951116.004999999</v>
          </cell>
        </row>
        <row r="420">
          <cell r="C420">
            <v>90000000</v>
          </cell>
        </row>
        <row r="428">
          <cell r="P428">
            <v>0</v>
          </cell>
          <cell r="X428">
            <v>0</v>
          </cell>
          <cell r="AE428">
            <v>0</v>
          </cell>
        </row>
        <row r="429">
          <cell r="P429">
            <v>0</v>
          </cell>
          <cell r="X429">
            <v>0</v>
          </cell>
          <cell r="AE429">
            <v>0</v>
          </cell>
        </row>
      </sheetData>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  FORMATOS  "/>
      <sheetName val="ETCA-I-01"/>
      <sheetName val="ETCA-I-02"/>
      <sheetName val="ETCA-I-03"/>
      <sheetName val="ETCA-I-04"/>
      <sheetName val="ETCA-I-05"/>
      <sheetName val="ETCA-I-06"/>
      <sheetName val="ETCA-I-07"/>
      <sheetName val="ETCA-I-08"/>
      <sheetName val="ETCA-I-09"/>
      <sheetName val="ETCA-I-10"/>
      <sheetName val="ETCA-I-11"/>
      <sheetName val="ETCA-I-12 (NOTAS)"/>
      <sheetName val="ETCA-II-01"/>
      <sheetName val="ETCA-II-02"/>
      <sheetName val="ETCA-II-03"/>
      <sheetName val="ETCA II-04"/>
      <sheetName val="ETCA-II-05"/>
      <sheetName val="ETCA-II-06"/>
      <sheetName val="ETCA-II-07"/>
      <sheetName val="ETCA-II-08"/>
      <sheetName val="ETCA-II-09"/>
      <sheetName val="ETCA-II-10"/>
      <sheetName val="ETCA-II-11"/>
      <sheetName val="ETCA-II-12"/>
      <sheetName val="ETCA-II-13"/>
      <sheetName val="ETCA-II-14"/>
      <sheetName val="ETCA-II-15"/>
      <sheetName val="ETCA-II-16"/>
      <sheetName val="ETCA-II-17"/>
      <sheetName val="ETCA-III-01"/>
      <sheetName val="ETCA-III-03"/>
      <sheetName val="ETCA-III-04"/>
      <sheetName val="ETCA-III-05"/>
      <sheetName val="ETCA-IV-01"/>
      <sheetName val="ETCA-IV-02"/>
      <sheetName val="ETCA-IV-03"/>
      <sheetName val="ETCA-IV-04"/>
      <sheetName val="ETCA-IV-06"/>
      <sheetName val="ANEXO A"/>
      <sheetName val="ANEXO B"/>
      <sheetName val="ANEXO C"/>
    </sheetNames>
    <sheetDataSet>
      <sheetData sheetId="0" refreshError="1"/>
      <sheetData sheetId="1">
        <row r="1">
          <cell r="A1" t="str">
            <v xml:space="preserve">Nombre de la Entidad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  FORMATOS  "/>
      <sheetName val="CPCA-I-01"/>
      <sheetName val="CPCA-I-02"/>
      <sheetName val="CPCA-I-03"/>
      <sheetName val="CPCA-I-04"/>
      <sheetName val="CPCA-I-05"/>
      <sheetName val="CPCA-I-06"/>
      <sheetName val="CPCA-I-07"/>
      <sheetName val="CPCA-I-08"/>
      <sheetName val="CPCA-I-09"/>
      <sheetName val="CPCA-I-10"/>
      <sheetName val="CPCA-I-11"/>
      <sheetName val="CPCA-I-12 (NOTAS)"/>
      <sheetName val="CPCA-II-01"/>
      <sheetName val="CPCA-II-02"/>
      <sheetName val="CPCA-II-03"/>
      <sheetName val="CPCA II-04"/>
      <sheetName val="CPCA-II-05"/>
      <sheetName val="CPCA-II-06"/>
      <sheetName val="CPCA-II-07"/>
      <sheetName val="CPCA-II-08"/>
      <sheetName val="CPCA-II-09"/>
      <sheetName val="CPCA-II-10"/>
      <sheetName val="CPCA-II-11"/>
      <sheetName val="CPCA-II-12"/>
      <sheetName val="CPCA-II-13"/>
      <sheetName val="CPCA-II-14"/>
      <sheetName val="CPCA-II-15"/>
      <sheetName val="CPCA-II-16"/>
      <sheetName val="CPCA-II-17"/>
      <sheetName val="CPCA-III-01"/>
      <sheetName val="CPCA-III-03"/>
      <sheetName val="CPCA-III-04"/>
      <sheetName val="CPCA-III-05"/>
      <sheetName val="CPCA-IV-01"/>
      <sheetName val="CPCA-IV-02"/>
      <sheetName val="CPCA-IV-03"/>
      <sheetName val="CPCA-IV-04"/>
      <sheetName val="CPCA-IV-05"/>
      <sheetName val="CPCA-IV-06 FORMULADO"/>
      <sheetName val="CPCA-IV-06"/>
      <sheetName val="ANEXO A"/>
      <sheetName val="ANEXO B"/>
      <sheetName val="ANEXO C"/>
      <sheetName val="ANEXO3"/>
    </sheetNames>
    <sheetDataSet>
      <sheetData sheetId="0"/>
      <sheetData sheetId="1">
        <row r="1">
          <cell r="A1" t="str">
            <v xml:space="preserve">Nombre de la Entidad </v>
          </cell>
        </row>
      </sheetData>
      <sheetData sheetId="2"/>
      <sheetData sheetId="3">
        <row r="3">
          <cell r="A3" t="str">
            <v>Del XX de XXXXXX al XX de XXXXXXX de 2020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Compac"/>
    </sheetNames>
    <sheetDataSet>
      <sheetData sheetId="0">
        <row r="128">
          <cell r="G128">
            <v>92864.7</v>
          </cell>
        </row>
        <row r="391">
          <cell r="G391">
            <v>25000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Compac"/>
    </sheetNames>
    <sheetDataSet>
      <sheetData sheetId="0">
        <row r="199">
          <cell r="G199">
            <v>38936.53</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Compac"/>
    </sheetNames>
    <sheetDataSet>
      <sheetData sheetId="0">
        <row r="43">
          <cell r="I43">
            <v>3858892.34</v>
          </cell>
        </row>
        <row r="139">
          <cell r="F139">
            <v>68705.649999999994</v>
          </cell>
        </row>
        <row r="194">
          <cell r="I194">
            <v>421595.01</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Compac"/>
    </sheetNames>
    <sheetDataSet>
      <sheetData sheetId="0">
        <row r="43">
          <cell r="G43">
            <v>693985.97</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Compac"/>
    </sheetNames>
    <sheetDataSet>
      <sheetData sheetId="0">
        <row r="46">
          <cell r="I46">
            <v>8238884.2399999993</v>
          </cell>
        </row>
        <row r="158">
          <cell r="F158">
            <v>65278.54</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Compac"/>
    </sheetNames>
    <sheetDataSet>
      <sheetData sheetId="0">
        <row r="35">
          <cell r="I35">
            <v>8804098.3300000001</v>
          </cell>
        </row>
        <row r="96">
          <cell r="F96">
            <v>65278.54</v>
          </cell>
        </row>
        <row r="121">
          <cell r="F121">
            <v>70000660.180000007</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  FORMATOS  "/>
      <sheetName val="CPCA-I-01"/>
      <sheetName val="CPCA-I-02"/>
      <sheetName val="CPCA-I-03"/>
      <sheetName val="CPCA-I-04"/>
      <sheetName val="CPCA-I-05"/>
      <sheetName val="CPCA-I-06"/>
      <sheetName val="CPCA-I-07"/>
      <sheetName val="CPCA-I-08"/>
      <sheetName val="CPCA-I-09"/>
      <sheetName val="CPCA-I-10"/>
      <sheetName val="CPCA-I-11"/>
      <sheetName val="CPCA-I-12 (NOTAS)"/>
      <sheetName val="CPCA-II-01"/>
      <sheetName val="CPCA-II-02"/>
      <sheetName val="CPCA-II-03"/>
      <sheetName val="CPCA-II-04"/>
      <sheetName val="CPCA-II-05"/>
      <sheetName val="CPCA-II-06"/>
      <sheetName val="CPCA-II-07"/>
      <sheetName val="CPCA-II-08"/>
      <sheetName val="CPCA-II-09"/>
      <sheetName val="CPCA-II-10"/>
      <sheetName val="CPCA-II-11"/>
      <sheetName val="CPCA-II-12"/>
      <sheetName val="CPCA-II-13"/>
      <sheetName val="CPCA-II-14"/>
      <sheetName val="CPCA-II-15"/>
      <sheetName val="CPCA-II-16"/>
      <sheetName val="CPCA-II-17"/>
      <sheetName val="CPCA-III-01"/>
      <sheetName val="CPCA-III-03"/>
      <sheetName val="CPCA-III-04"/>
      <sheetName val="CPCA-III-05"/>
      <sheetName val="CPCA-IV-01"/>
      <sheetName val="CPCA-IV-02"/>
      <sheetName val="CPCA-IV-03"/>
      <sheetName val="CPCA-IV-04"/>
      <sheetName val="CPCA-IV-05"/>
      <sheetName val="CPCA-IV-06 "/>
      <sheetName val="ANEXO A"/>
      <sheetName val="ANEXO B"/>
      <sheetName val="ANEXO C "/>
      <sheetName val="ANEXO MIR"/>
      <sheetName val="ANEXO GUIA"/>
    </sheetNames>
    <sheetDataSet>
      <sheetData sheetId="0"/>
      <sheetData sheetId="1">
        <row r="1">
          <cell r="A1" t="str">
            <v xml:space="preserve">Nombre de la Entidad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3">
          <cell r="A3" t="str">
            <v>Del XX de XXXXXX al XX de XXXXXX de 2022</v>
          </cell>
        </row>
      </sheetData>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7.xml"/><Relationship Id="rId1" Type="http://schemas.openxmlformats.org/officeDocument/2006/relationships/printerSettings" Target="../printerSettings/printerSettings27.bin"/><Relationship Id="rId4" Type="http://schemas.openxmlformats.org/officeDocument/2006/relationships/comments" Target="../comments6.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39.xml"/><Relationship Id="rId1" Type="http://schemas.openxmlformats.org/officeDocument/2006/relationships/printerSettings" Target="../printerSettings/printerSettings40.bin"/><Relationship Id="rId4" Type="http://schemas.openxmlformats.org/officeDocument/2006/relationships/comments" Target="../comments7.xml"/></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60"/>
  <sheetViews>
    <sheetView view="pageBreakPreview" zoomScaleSheetLayoutView="100" workbookViewId="0">
      <selection activeCell="C10" sqref="C10"/>
    </sheetView>
  </sheetViews>
  <sheetFormatPr baseColWidth="10" defaultRowHeight="15" x14ac:dyDescent="0.25"/>
  <cols>
    <col min="3" max="3" width="68.42578125" customWidth="1"/>
  </cols>
  <sheetData>
    <row r="1" spans="1:3" s="3" customFormat="1" ht="27.75" customHeight="1" x14ac:dyDescent="0.4">
      <c r="A1" s="652"/>
      <c r="B1" s="31" t="s">
        <v>0</v>
      </c>
      <c r="C1" s="652"/>
    </row>
    <row r="2" spans="1:3" s="3" customFormat="1" ht="4.5" customHeight="1" x14ac:dyDescent="0.3">
      <c r="A2" s="652"/>
      <c r="B2" s="652"/>
      <c r="C2" s="652"/>
    </row>
    <row r="3" spans="1:3" s="3" customFormat="1" ht="19.5" customHeight="1" thickBot="1" x14ac:dyDescent="0.35">
      <c r="A3" s="33" t="s">
        <v>1730</v>
      </c>
      <c r="B3" s="32"/>
      <c r="C3" s="32"/>
    </row>
    <row r="4" spans="1:3" ht="17.25" customHeight="1" thickBot="1" x14ac:dyDescent="0.3">
      <c r="A4" s="1051" t="s">
        <v>849</v>
      </c>
      <c r="B4" s="1052"/>
      <c r="C4" s="1053"/>
    </row>
    <row r="5" spans="1:3" ht="17.25" customHeight="1" thickBot="1" x14ac:dyDescent="0.3">
      <c r="A5" s="774">
        <v>1</v>
      </c>
      <c r="B5" s="653" t="s">
        <v>1731</v>
      </c>
      <c r="C5" s="653" t="s">
        <v>22</v>
      </c>
    </row>
    <row r="6" spans="1:3" ht="17.25" customHeight="1" thickBot="1" x14ac:dyDescent="0.3">
      <c r="A6" s="773">
        <v>2</v>
      </c>
      <c r="B6" s="654" t="s">
        <v>1732</v>
      </c>
      <c r="C6" s="654" t="s">
        <v>850</v>
      </c>
    </row>
    <row r="7" spans="1:3" ht="17.25" customHeight="1" thickBot="1" x14ac:dyDescent="0.3">
      <c r="A7" s="774">
        <v>3</v>
      </c>
      <c r="B7" s="653" t="s">
        <v>1733</v>
      </c>
      <c r="C7" s="653" t="s">
        <v>1</v>
      </c>
    </row>
    <row r="8" spans="1:3" ht="17.25" customHeight="1" thickBot="1" x14ac:dyDescent="0.3">
      <c r="A8" s="774">
        <v>4</v>
      </c>
      <c r="B8" s="653" t="s">
        <v>1734</v>
      </c>
      <c r="C8" s="653" t="s">
        <v>2</v>
      </c>
    </row>
    <row r="9" spans="1:3" ht="17.25" customHeight="1" thickBot="1" x14ac:dyDescent="0.3">
      <c r="A9" s="774">
        <v>5</v>
      </c>
      <c r="B9" s="653" t="s">
        <v>1735</v>
      </c>
      <c r="C9" s="653" t="s">
        <v>3</v>
      </c>
    </row>
    <row r="10" spans="1:3" ht="17.25" customHeight="1" thickBot="1" x14ac:dyDescent="0.3">
      <c r="A10" s="774">
        <v>6</v>
      </c>
      <c r="B10" s="653" t="s">
        <v>1736</v>
      </c>
      <c r="C10" s="653" t="s">
        <v>4</v>
      </c>
    </row>
    <row r="11" spans="1:3" ht="17.25" customHeight="1" thickBot="1" x14ac:dyDescent="0.3">
      <c r="A11" s="774">
        <v>7</v>
      </c>
      <c r="B11" s="653" t="s">
        <v>1737</v>
      </c>
      <c r="C11" s="653" t="s">
        <v>5</v>
      </c>
    </row>
    <row r="12" spans="1:3" ht="17.25" customHeight="1" thickBot="1" x14ac:dyDescent="0.3">
      <c r="A12" s="774">
        <v>8</v>
      </c>
      <c r="B12" s="653" t="s">
        <v>1738</v>
      </c>
      <c r="C12" s="653" t="s">
        <v>6</v>
      </c>
    </row>
    <row r="13" spans="1:3" ht="17.25" customHeight="1" thickBot="1" x14ac:dyDescent="0.3">
      <c r="A13" s="773">
        <v>9</v>
      </c>
      <c r="B13" s="654" t="s">
        <v>1739</v>
      </c>
      <c r="C13" s="654" t="s">
        <v>7</v>
      </c>
    </row>
    <row r="14" spans="1:3" ht="17.25" customHeight="1" thickBot="1" x14ac:dyDescent="0.3">
      <c r="A14" s="773">
        <v>10</v>
      </c>
      <c r="B14" s="654" t="s">
        <v>1740</v>
      </c>
      <c r="C14" s="654" t="s">
        <v>851</v>
      </c>
    </row>
    <row r="15" spans="1:3" ht="17.25" customHeight="1" thickBot="1" x14ac:dyDescent="0.3">
      <c r="A15" s="774">
        <v>11</v>
      </c>
      <c r="B15" s="653" t="s">
        <v>1741</v>
      </c>
      <c r="C15" s="653" t="s">
        <v>8</v>
      </c>
    </row>
    <row r="16" spans="1:3" ht="17.25" customHeight="1" thickBot="1" x14ac:dyDescent="0.3">
      <c r="A16" s="774">
        <v>12</v>
      </c>
      <c r="B16" s="653" t="s">
        <v>1742</v>
      </c>
      <c r="C16" s="653" t="s">
        <v>9</v>
      </c>
    </row>
    <row r="17" spans="1:3" ht="17.25" customHeight="1" thickBot="1" x14ac:dyDescent="0.3">
      <c r="A17" s="1051" t="s">
        <v>10</v>
      </c>
      <c r="B17" s="1052"/>
      <c r="C17" s="1053"/>
    </row>
    <row r="18" spans="1:3" ht="17.25" customHeight="1" thickBot="1" x14ac:dyDescent="0.3">
      <c r="A18" s="774">
        <v>13</v>
      </c>
      <c r="B18" s="653" t="s">
        <v>1743</v>
      </c>
      <c r="C18" s="653" t="s">
        <v>11</v>
      </c>
    </row>
    <row r="19" spans="1:3" ht="17.25" customHeight="1" thickBot="1" x14ac:dyDescent="0.3">
      <c r="A19" s="773">
        <v>14</v>
      </c>
      <c r="B19" s="654" t="s">
        <v>1744</v>
      </c>
      <c r="C19" s="654" t="s">
        <v>852</v>
      </c>
    </row>
    <row r="20" spans="1:3" ht="17.25" customHeight="1" thickBot="1" x14ac:dyDescent="0.3">
      <c r="A20" s="774">
        <v>15</v>
      </c>
      <c r="B20" s="653" t="s">
        <v>1745</v>
      </c>
      <c r="C20" s="653" t="s">
        <v>853</v>
      </c>
    </row>
    <row r="21" spans="1:3" ht="17.25" customHeight="1" thickBot="1" x14ac:dyDescent="0.3">
      <c r="A21" s="774">
        <v>16</v>
      </c>
      <c r="B21" s="653" t="s">
        <v>1746</v>
      </c>
      <c r="C21" s="653" t="s">
        <v>471</v>
      </c>
    </row>
    <row r="22" spans="1:3" ht="17.25" customHeight="1" x14ac:dyDescent="0.25">
      <c r="A22" s="1049">
        <v>17</v>
      </c>
      <c r="B22" s="1049" t="s">
        <v>1747</v>
      </c>
      <c r="C22" s="655" t="s">
        <v>854</v>
      </c>
    </row>
    <row r="23" spans="1:3" ht="17.25" customHeight="1" thickBot="1" x14ac:dyDescent="0.3">
      <c r="A23" s="1050"/>
      <c r="B23" s="1050"/>
      <c r="C23" s="654" t="s">
        <v>855</v>
      </c>
    </row>
    <row r="24" spans="1:3" ht="17.25" customHeight="1" x14ac:dyDescent="0.25">
      <c r="A24" s="1054">
        <v>18</v>
      </c>
      <c r="B24" s="1054" t="s">
        <v>1748</v>
      </c>
      <c r="C24" s="656" t="s">
        <v>471</v>
      </c>
    </row>
    <row r="25" spans="1:3" ht="17.25" customHeight="1" thickBot="1" x14ac:dyDescent="0.3">
      <c r="A25" s="1055"/>
      <c r="B25" s="1055"/>
      <c r="C25" s="653" t="s">
        <v>856</v>
      </c>
    </row>
    <row r="26" spans="1:3" ht="17.25" customHeight="1" x14ac:dyDescent="0.25">
      <c r="A26" s="1054">
        <v>19</v>
      </c>
      <c r="B26" s="1054" t="s">
        <v>1749</v>
      </c>
      <c r="C26" s="656" t="s">
        <v>471</v>
      </c>
    </row>
    <row r="27" spans="1:3" ht="17.25" customHeight="1" thickBot="1" x14ac:dyDescent="0.3">
      <c r="A27" s="1055"/>
      <c r="B27" s="1055"/>
      <c r="C27" s="653" t="s">
        <v>857</v>
      </c>
    </row>
    <row r="28" spans="1:3" ht="23.25" customHeight="1" thickBot="1" x14ac:dyDescent="0.3">
      <c r="A28" s="773">
        <v>20</v>
      </c>
      <c r="B28" s="654" t="s">
        <v>1750</v>
      </c>
      <c r="C28" s="654" t="s">
        <v>12</v>
      </c>
    </row>
    <row r="29" spans="1:3" ht="17.25" customHeight="1" x14ac:dyDescent="0.25">
      <c r="A29" s="1054">
        <v>21</v>
      </c>
      <c r="B29" s="1054" t="s">
        <v>1751</v>
      </c>
      <c r="C29" s="656" t="s">
        <v>471</v>
      </c>
    </row>
    <row r="30" spans="1:3" ht="17.25" customHeight="1" thickBot="1" x14ac:dyDescent="0.3">
      <c r="A30" s="1055"/>
      <c r="B30" s="1055"/>
      <c r="C30" s="653" t="s">
        <v>858</v>
      </c>
    </row>
    <row r="31" spans="1:3" ht="17.25" customHeight="1" x14ac:dyDescent="0.25">
      <c r="A31" s="1054">
        <v>22</v>
      </c>
      <c r="B31" s="1054" t="s">
        <v>1752</v>
      </c>
      <c r="C31" s="656" t="s">
        <v>471</v>
      </c>
    </row>
    <row r="32" spans="1:3" ht="17.25" customHeight="1" thickBot="1" x14ac:dyDescent="0.3">
      <c r="A32" s="1055"/>
      <c r="B32" s="1055"/>
      <c r="C32" s="653" t="s">
        <v>859</v>
      </c>
    </row>
    <row r="33" spans="1:3" ht="17.25" customHeight="1" x14ac:dyDescent="0.25">
      <c r="A33" s="1054">
        <v>23</v>
      </c>
      <c r="B33" s="1054" t="s">
        <v>1753</v>
      </c>
      <c r="C33" s="656" t="s">
        <v>471</v>
      </c>
    </row>
    <row r="34" spans="1:3" ht="17.25" customHeight="1" thickBot="1" x14ac:dyDescent="0.3">
      <c r="A34" s="1055"/>
      <c r="B34" s="1055"/>
      <c r="C34" s="653" t="s">
        <v>648</v>
      </c>
    </row>
    <row r="35" spans="1:3" ht="17.25" customHeight="1" x14ac:dyDescent="0.25">
      <c r="A35" s="1049">
        <v>24</v>
      </c>
      <c r="B35" s="1049" t="s">
        <v>1754</v>
      </c>
      <c r="C35" s="655" t="s">
        <v>860</v>
      </c>
    </row>
    <row r="36" spans="1:3" ht="17.25" customHeight="1" thickBot="1" x14ac:dyDescent="0.3">
      <c r="A36" s="1050"/>
      <c r="B36" s="1050"/>
      <c r="C36" s="654" t="s">
        <v>648</v>
      </c>
    </row>
    <row r="37" spans="1:3" ht="17.25" customHeight="1" x14ac:dyDescent="0.25">
      <c r="A37" s="1054">
        <v>25</v>
      </c>
      <c r="B37" s="1054" t="s">
        <v>1755</v>
      </c>
      <c r="C37" s="656" t="s">
        <v>471</v>
      </c>
    </row>
    <row r="38" spans="1:3" ht="17.25" customHeight="1" thickBot="1" x14ac:dyDescent="0.3">
      <c r="A38" s="1055"/>
      <c r="B38" s="1055"/>
      <c r="C38" s="653" t="s">
        <v>714</v>
      </c>
    </row>
    <row r="39" spans="1:3" ht="17.25" customHeight="1" x14ac:dyDescent="0.25">
      <c r="A39" s="1049">
        <v>26</v>
      </c>
      <c r="B39" s="1049" t="s">
        <v>1756</v>
      </c>
      <c r="C39" s="655" t="s">
        <v>861</v>
      </c>
    </row>
    <row r="40" spans="1:3" ht="17.25" customHeight="1" thickBot="1" x14ac:dyDescent="0.3">
      <c r="A40" s="1050"/>
      <c r="B40" s="1050"/>
      <c r="C40" s="654" t="s">
        <v>719</v>
      </c>
    </row>
    <row r="41" spans="1:3" ht="17.25" customHeight="1" thickBot="1" x14ac:dyDescent="0.3">
      <c r="A41" s="774">
        <v>27</v>
      </c>
      <c r="B41" s="653" t="s">
        <v>1757</v>
      </c>
      <c r="C41" s="653" t="s">
        <v>862</v>
      </c>
    </row>
    <row r="42" spans="1:3" ht="17.25" customHeight="1" thickBot="1" x14ac:dyDescent="0.3">
      <c r="A42" s="774">
        <v>28</v>
      </c>
      <c r="B42" s="653" t="s">
        <v>1758</v>
      </c>
      <c r="C42" s="653" t="s">
        <v>14</v>
      </c>
    </row>
    <row r="43" spans="1:3" ht="17.25" customHeight="1" thickBot="1" x14ac:dyDescent="0.3">
      <c r="A43" s="774">
        <v>29</v>
      </c>
      <c r="B43" s="653" t="s">
        <v>1759</v>
      </c>
      <c r="C43" s="653" t="s">
        <v>863</v>
      </c>
    </row>
    <row r="44" spans="1:3" ht="17.25" customHeight="1" thickBot="1" x14ac:dyDescent="0.3">
      <c r="A44" s="1051" t="s">
        <v>15</v>
      </c>
      <c r="B44" s="1052"/>
      <c r="C44" s="1053"/>
    </row>
    <row r="45" spans="1:3" ht="17.25" customHeight="1" thickBot="1" x14ac:dyDescent="0.3">
      <c r="A45" s="774">
        <v>30</v>
      </c>
      <c r="B45" s="653" t="s">
        <v>1760</v>
      </c>
      <c r="C45" s="653" t="s">
        <v>16</v>
      </c>
    </row>
    <row r="46" spans="1:3" ht="17.25" customHeight="1" thickBot="1" x14ac:dyDescent="0.3">
      <c r="A46" s="774">
        <v>31</v>
      </c>
      <c r="B46" s="653" t="s">
        <v>1761</v>
      </c>
      <c r="C46" s="653" t="s">
        <v>868</v>
      </c>
    </row>
    <row r="47" spans="1:3" ht="17.25" customHeight="1" thickBot="1" x14ac:dyDescent="0.3">
      <c r="A47" s="774">
        <v>32</v>
      </c>
      <c r="B47" s="653" t="s">
        <v>1762</v>
      </c>
      <c r="C47" s="653" t="s">
        <v>17</v>
      </c>
    </row>
    <row r="48" spans="1:3" ht="17.25" customHeight="1" thickBot="1" x14ac:dyDescent="0.3">
      <c r="A48" s="774">
        <v>33</v>
      </c>
      <c r="B48" s="653" t="s">
        <v>1763</v>
      </c>
      <c r="C48" s="653" t="s">
        <v>864</v>
      </c>
    </row>
    <row r="49" spans="1:3" ht="17.25" customHeight="1" thickBot="1" x14ac:dyDescent="0.3">
      <c r="A49" s="773">
        <v>34</v>
      </c>
      <c r="B49" s="654" t="s">
        <v>1764</v>
      </c>
      <c r="C49" s="654" t="s">
        <v>848</v>
      </c>
    </row>
    <row r="50" spans="1:3" ht="17.25" customHeight="1" thickBot="1" x14ac:dyDescent="0.3">
      <c r="A50" s="1051" t="s">
        <v>865</v>
      </c>
      <c r="B50" s="1052"/>
      <c r="C50" s="1053"/>
    </row>
    <row r="51" spans="1:3" ht="17.25" customHeight="1" thickBot="1" x14ac:dyDescent="0.3">
      <c r="A51" s="774">
        <v>35</v>
      </c>
      <c r="B51" s="653" t="s">
        <v>1765</v>
      </c>
      <c r="C51" s="653" t="s">
        <v>18</v>
      </c>
    </row>
    <row r="52" spans="1:3" ht="17.25" customHeight="1" thickBot="1" x14ac:dyDescent="0.3">
      <c r="A52" s="773">
        <v>36</v>
      </c>
      <c r="B52" s="654" t="s">
        <v>1766</v>
      </c>
      <c r="C52" s="654" t="s">
        <v>19</v>
      </c>
    </row>
    <row r="53" spans="1:3" ht="17.25" customHeight="1" thickBot="1" x14ac:dyDescent="0.3">
      <c r="A53" s="774">
        <v>37</v>
      </c>
      <c r="B53" s="653" t="s">
        <v>1767</v>
      </c>
      <c r="C53" s="653" t="s">
        <v>20</v>
      </c>
    </row>
    <row r="54" spans="1:3" ht="17.25" customHeight="1" thickBot="1" x14ac:dyDescent="0.3">
      <c r="A54" s="774">
        <v>38</v>
      </c>
      <c r="B54" s="653" t="s">
        <v>1768</v>
      </c>
      <c r="C54" s="653" t="s">
        <v>869</v>
      </c>
    </row>
    <row r="55" spans="1:3" ht="17.25" customHeight="1" thickBot="1" x14ac:dyDescent="0.3">
      <c r="A55" s="774">
        <v>39</v>
      </c>
      <c r="B55" s="653" t="s">
        <v>1789</v>
      </c>
      <c r="C55" s="653" t="s">
        <v>1790</v>
      </c>
    </row>
    <row r="56" spans="1:3" ht="17.25" customHeight="1" thickBot="1" x14ac:dyDescent="0.3">
      <c r="A56" s="774">
        <v>40</v>
      </c>
      <c r="B56" s="653" t="s">
        <v>1769</v>
      </c>
      <c r="C56" s="653" t="s">
        <v>925</v>
      </c>
    </row>
    <row r="57" spans="1:3" ht="17.25" customHeight="1" thickBot="1" x14ac:dyDescent="0.3">
      <c r="A57" s="774">
        <v>41</v>
      </c>
      <c r="B57" s="653" t="s">
        <v>909</v>
      </c>
      <c r="C57" s="653" t="s">
        <v>21</v>
      </c>
    </row>
    <row r="58" spans="1:3" ht="15.75" thickBot="1" x14ac:dyDescent="0.3">
      <c r="A58" s="774">
        <v>42</v>
      </c>
      <c r="B58" s="653" t="s">
        <v>910</v>
      </c>
      <c r="C58" s="653" t="s">
        <v>911</v>
      </c>
    </row>
    <row r="59" spans="1:3" ht="15.75" thickBot="1" x14ac:dyDescent="0.3">
      <c r="A59" s="774">
        <v>43</v>
      </c>
      <c r="B59" s="653" t="s">
        <v>913</v>
      </c>
      <c r="C59" s="653" t="s">
        <v>912</v>
      </c>
    </row>
    <row r="60" spans="1:3" ht="24.75" thickBot="1" x14ac:dyDescent="0.3">
      <c r="A60" s="774">
        <v>44</v>
      </c>
      <c r="B60" s="653" t="s">
        <v>1770</v>
      </c>
      <c r="C60" s="653" t="s">
        <v>1771</v>
      </c>
    </row>
  </sheetData>
  <mergeCells count="22">
    <mergeCell ref="A4:C4"/>
    <mergeCell ref="A17:C17"/>
    <mergeCell ref="A22:A23"/>
    <mergeCell ref="B22:B23"/>
    <mergeCell ref="A24:A25"/>
    <mergeCell ref="B24:B25"/>
    <mergeCell ref="A26:A27"/>
    <mergeCell ref="B26:B27"/>
    <mergeCell ref="A29:A30"/>
    <mergeCell ref="B29:B30"/>
    <mergeCell ref="A31:A32"/>
    <mergeCell ref="B31:B32"/>
    <mergeCell ref="A39:A40"/>
    <mergeCell ref="B39:B40"/>
    <mergeCell ref="A44:C44"/>
    <mergeCell ref="A50:C50"/>
    <mergeCell ref="A33:A34"/>
    <mergeCell ref="B33:B34"/>
    <mergeCell ref="A35:A36"/>
    <mergeCell ref="B35:B36"/>
    <mergeCell ref="A37:A38"/>
    <mergeCell ref="B37:B38"/>
  </mergeCells>
  <pageMargins left="0.70866141732283472" right="0.70866141732283472" top="0.74803149606299213" bottom="0.74803149606299213" header="0.31496062992125984" footer="0.31496062992125984"/>
  <pageSetup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tabColor theme="0" tint="-4.9989318521683403E-2"/>
    <pageSetUpPr fitToPage="1"/>
  </sheetPr>
  <dimension ref="A1:H60"/>
  <sheetViews>
    <sheetView view="pageBreakPreview" topLeftCell="A10" zoomScaleSheetLayoutView="100" workbookViewId="0">
      <selection activeCell="F21" sqref="F21"/>
    </sheetView>
  </sheetViews>
  <sheetFormatPr baseColWidth="10" defaultColWidth="11.28515625" defaultRowHeight="16.5" x14ac:dyDescent="0.3"/>
  <cols>
    <col min="1" max="1" width="51.140625" style="37" customWidth="1"/>
    <col min="2" max="2" width="16" style="37" customWidth="1"/>
    <col min="3" max="3" width="15.7109375" style="37" customWidth="1"/>
    <col min="4" max="4" width="38.7109375" style="37" customWidth="1"/>
    <col min="5" max="5" width="10.28515625" style="37" customWidth="1"/>
    <col min="6" max="6" width="15.28515625" style="37" bestFit="1" customWidth="1"/>
    <col min="7" max="7" width="15.7109375" style="37" customWidth="1"/>
    <col min="8" max="8" width="164.28515625" style="37" customWidth="1"/>
    <col min="9" max="16384" width="11.28515625" style="37"/>
  </cols>
  <sheetData>
    <row r="1" spans="1:7" x14ac:dyDescent="0.3">
      <c r="A1" s="1057" t="s">
        <v>1898</v>
      </c>
      <c r="B1" s="1057"/>
      <c r="C1" s="1057"/>
      <c r="D1" s="1057"/>
      <c r="E1" s="1057"/>
      <c r="F1" s="1057"/>
      <c r="G1" s="1057"/>
    </row>
    <row r="2" spans="1:7" x14ac:dyDescent="0.3">
      <c r="A2" s="1057" t="s">
        <v>22</v>
      </c>
      <c r="B2" s="1057"/>
      <c r="C2" s="1057"/>
      <c r="D2" s="1057"/>
      <c r="E2" s="1057"/>
      <c r="F2" s="1057"/>
      <c r="G2" s="1057"/>
    </row>
    <row r="3" spans="1:7" x14ac:dyDescent="0.3">
      <c r="A3" s="1058" t="s">
        <v>1897</v>
      </c>
      <c r="B3" s="1058"/>
      <c r="C3" s="1058"/>
      <c r="D3" s="1058"/>
      <c r="E3" s="1058"/>
      <c r="F3" s="1058"/>
      <c r="G3" s="1058"/>
    </row>
    <row r="4" spans="1:7" ht="17.25" thickBot="1" x14ac:dyDescent="0.35">
      <c r="A4" s="1059" t="s">
        <v>1645</v>
      </c>
      <c r="B4" s="1059"/>
      <c r="C4" s="1059"/>
      <c r="D4" s="1059"/>
      <c r="E4" s="1059"/>
      <c r="F4" s="1059"/>
      <c r="G4" s="1059"/>
    </row>
    <row r="5" spans="1:7" ht="24" customHeight="1" thickBot="1" x14ac:dyDescent="0.35">
      <c r="A5" s="73" t="s">
        <v>243</v>
      </c>
      <c r="B5" s="677">
        <v>2023</v>
      </c>
      <c r="C5" s="677">
        <v>2022</v>
      </c>
      <c r="D5" s="86" t="s">
        <v>243</v>
      </c>
      <c r="E5" s="86"/>
      <c r="F5" s="677">
        <v>2023</v>
      </c>
      <c r="G5" s="677">
        <v>2022</v>
      </c>
    </row>
    <row r="6" spans="1:7" ht="17.25" thickTop="1" x14ac:dyDescent="0.3">
      <c r="A6" s="747" t="s">
        <v>23</v>
      </c>
      <c r="B6" s="39"/>
      <c r="C6" s="39"/>
      <c r="D6" s="746" t="s">
        <v>24</v>
      </c>
      <c r="E6" s="39"/>
      <c r="F6" s="39"/>
      <c r="G6" s="40"/>
    </row>
    <row r="7" spans="1:7" x14ac:dyDescent="0.3">
      <c r="A7" s="41" t="s">
        <v>25</v>
      </c>
      <c r="B7" s="42"/>
      <c r="C7" s="42"/>
      <c r="D7" s="44" t="s">
        <v>26</v>
      </c>
      <c r="E7" s="44"/>
      <c r="F7" s="42"/>
      <c r="G7" s="45"/>
    </row>
    <row r="8" spans="1:7" x14ac:dyDescent="0.3">
      <c r="A8" s="46" t="s">
        <v>27</v>
      </c>
      <c r="B8" s="47">
        <v>1090458060.23</v>
      </c>
      <c r="C8" s="47">
        <v>957189133.86000001</v>
      </c>
      <c r="D8" s="1056" t="s">
        <v>28</v>
      </c>
      <c r="E8" s="1056"/>
      <c r="F8" s="47">
        <v>403568884.19999993</v>
      </c>
      <c r="G8" s="49">
        <v>339451808.83999997</v>
      </c>
    </row>
    <row r="9" spans="1:7" x14ac:dyDescent="0.3">
      <c r="A9" s="46" t="s">
        <v>29</v>
      </c>
      <c r="B9" s="47">
        <v>1395291888.1100001</v>
      </c>
      <c r="C9" s="47">
        <v>1015779646.89</v>
      </c>
      <c r="D9" s="1056" t="s">
        <v>30</v>
      </c>
      <c r="E9" s="1056"/>
      <c r="F9" s="47">
        <v>1167051.76</v>
      </c>
      <c r="G9" s="49">
        <v>2456972.27</v>
      </c>
    </row>
    <row r="10" spans="1:7" x14ac:dyDescent="0.3">
      <c r="A10" s="46" t="s">
        <v>31</v>
      </c>
      <c r="B10" s="47">
        <v>370852882.21999997</v>
      </c>
      <c r="C10" s="47">
        <v>124199491.26000001</v>
      </c>
      <c r="D10" s="1056" t="s">
        <v>32</v>
      </c>
      <c r="E10" s="1056"/>
      <c r="F10" s="47">
        <v>0</v>
      </c>
      <c r="G10" s="49">
        <v>0.02</v>
      </c>
    </row>
    <row r="11" spans="1:7" x14ac:dyDescent="0.3">
      <c r="A11" s="46" t="s">
        <v>33</v>
      </c>
      <c r="B11" s="47">
        <v>0</v>
      </c>
      <c r="C11" s="47">
        <v>0</v>
      </c>
      <c r="D11" s="1056" t="s">
        <v>34</v>
      </c>
      <c r="E11" s="1056"/>
      <c r="F11" s="47">
        <v>0</v>
      </c>
      <c r="G11" s="49">
        <v>0</v>
      </c>
    </row>
    <row r="12" spans="1:7" x14ac:dyDescent="0.3">
      <c r="A12" s="46" t="s">
        <v>35</v>
      </c>
      <c r="B12" s="47">
        <v>4302315.6899999995</v>
      </c>
      <c r="C12" s="47">
        <v>4728154.17</v>
      </c>
      <c r="D12" s="1056" t="s">
        <v>36</v>
      </c>
      <c r="E12" s="1056"/>
      <c r="F12" s="47">
        <v>0</v>
      </c>
      <c r="G12" s="49">
        <v>0</v>
      </c>
    </row>
    <row r="13" spans="1:7" ht="33" customHeight="1" x14ac:dyDescent="0.3">
      <c r="A13" s="400" t="s">
        <v>37</v>
      </c>
      <c r="B13" s="47">
        <v>-651433483.46000004</v>
      </c>
      <c r="C13" s="47">
        <v>-576044254.09000003</v>
      </c>
      <c r="D13" s="1056" t="s">
        <v>38</v>
      </c>
      <c r="E13" s="1056"/>
      <c r="F13" s="47">
        <v>0</v>
      </c>
      <c r="G13" s="49">
        <v>0</v>
      </c>
    </row>
    <row r="14" spans="1:7" x14ac:dyDescent="0.3">
      <c r="A14" s="46" t="s">
        <v>39</v>
      </c>
      <c r="B14" s="47">
        <v>0</v>
      </c>
      <c r="C14" s="47">
        <v>0</v>
      </c>
      <c r="D14" s="1056" t="s">
        <v>40</v>
      </c>
      <c r="E14" s="1056"/>
      <c r="F14" s="47">
        <v>0</v>
      </c>
      <c r="G14" s="49">
        <v>0</v>
      </c>
    </row>
    <row r="15" spans="1:7" x14ac:dyDescent="0.3">
      <c r="A15" s="51"/>
      <c r="B15" s="47"/>
      <c r="C15" s="47"/>
      <c r="D15" s="1056" t="s">
        <v>41</v>
      </c>
      <c r="E15" s="1056"/>
      <c r="F15" s="47">
        <v>0</v>
      </c>
      <c r="G15" s="49">
        <v>0</v>
      </c>
    </row>
    <row r="16" spans="1:7" x14ac:dyDescent="0.3">
      <c r="A16" s="51"/>
      <c r="B16" s="52"/>
      <c r="C16" s="52"/>
      <c r="D16" s="43"/>
      <c r="E16" s="43"/>
      <c r="F16" s="47"/>
      <c r="G16" s="49"/>
    </row>
    <row r="17" spans="1:7" x14ac:dyDescent="0.3">
      <c r="A17" s="41" t="s">
        <v>42</v>
      </c>
      <c r="B17" s="736">
        <f>SUM(B8:B16)</f>
        <v>2209471662.79</v>
      </c>
      <c r="C17" s="736">
        <f>SUM(C8:C16)</f>
        <v>1525852172.0900002</v>
      </c>
      <c r="D17" s="737" t="s">
        <v>43</v>
      </c>
      <c r="E17" s="737"/>
      <c r="F17" s="736">
        <f>SUM(F8:F16)</f>
        <v>404735935.95999992</v>
      </c>
      <c r="G17" s="738">
        <f>SUM(G8:G16)</f>
        <v>341908781.12999994</v>
      </c>
    </row>
    <row r="18" spans="1:7" x14ac:dyDescent="0.3">
      <c r="A18" s="51"/>
      <c r="B18" s="53"/>
      <c r="C18" s="53"/>
      <c r="D18" s="54"/>
      <c r="E18" s="54"/>
      <c r="F18" s="53"/>
      <c r="G18" s="55"/>
    </row>
    <row r="19" spans="1:7" x14ac:dyDescent="0.3">
      <c r="A19" s="41" t="s">
        <v>44</v>
      </c>
      <c r="B19" s="47"/>
      <c r="C19" s="47"/>
      <c r="D19" s="44" t="s">
        <v>45</v>
      </c>
      <c r="E19" s="44"/>
      <c r="F19" s="56"/>
      <c r="G19" s="57"/>
    </row>
    <row r="20" spans="1:7" x14ac:dyDescent="0.3">
      <c r="A20" s="46" t="s">
        <v>46</v>
      </c>
      <c r="B20" s="47">
        <v>0</v>
      </c>
      <c r="C20" s="47">
        <v>0</v>
      </c>
      <c r="D20" s="48" t="s">
        <v>47</v>
      </c>
      <c r="E20" s="48"/>
      <c r="F20" s="47">
        <v>0</v>
      </c>
      <c r="G20" s="49">
        <v>0</v>
      </c>
    </row>
    <row r="21" spans="1:7" x14ac:dyDescent="0.3">
      <c r="A21" s="50" t="s">
        <v>48</v>
      </c>
      <c r="B21" s="47">
        <v>710832020.62</v>
      </c>
      <c r="C21" s="47">
        <v>0</v>
      </c>
      <c r="D21" s="617" t="s">
        <v>49</v>
      </c>
      <c r="E21" s="617"/>
      <c r="F21" s="47">
        <v>213805933.16</v>
      </c>
      <c r="G21" s="49">
        <v>244739411.93000001</v>
      </c>
    </row>
    <row r="22" spans="1:7" ht="16.5" customHeight="1" x14ac:dyDescent="0.3">
      <c r="A22" s="399" t="s">
        <v>50</v>
      </c>
      <c r="B22" s="47">
        <v>2242808132.9000001</v>
      </c>
      <c r="C22" s="47">
        <v>846845581.82000005</v>
      </c>
      <c r="D22" s="48" t="s">
        <v>51</v>
      </c>
      <c r="E22" s="48"/>
      <c r="F22" s="47">
        <v>0</v>
      </c>
      <c r="G22" s="49">
        <v>0</v>
      </c>
    </row>
    <row r="23" spans="1:7" ht="16.5" customHeight="1" x14ac:dyDescent="0.3">
      <c r="A23" s="46" t="s">
        <v>52</v>
      </c>
      <c r="B23" s="47">
        <v>140428218.61000001</v>
      </c>
      <c r="C23" s="47">
        <v>118915902.70000002</v>
      </c>
      <c r="D23" s="48" t="s">
        <v>53</v>
      </c>
      <c r="E23" s="48"/>
      <c r="F23" s="47">
        <v>0</v>
      </c>
      <c r="G23" s="49">
        <v>0</v>
      </c>
    </row>
    <row r="24" spans="1:7" ht="33" customHeight="1" x14ac:dyDescent="0.3">
      <c r="A24" s="401" t="s">
        <v>54</v>
      </c>
      <c r="B24" s="47">
        <v>4470875.2200000007</v>
      </c>
      <c r="C24" s="47">
        <v>4350428.2200000007</v>
      </c>
      <c r="D24" s="1056" t="s">
        <v>55</v>
      </c>
      <c r="E24" s="1056"/>
      <c r="F24" s="47">
        <v>0</v>
      </c>
      <c r="G24" s="49">
        <v>0</v>
      </c>
    </row>
    <row r="25" spans="1:7" x14ac:dyDescent="0.3">
      <c r="A25" s="50" t="s">
        <v>56</v>
      </c>
      <c r="B25" s="47">
        <v>-136925803.52000001</v>
      </c>
      <c r="C25" s="47">
        <v>-126979125.42</v>
      </c>
      <c r="D25" s="48" t="s">
        <v>57</v>
      </c>
      <c r="E25" s="48"/>
      <c r="F25" s="47">
        <v>795215763.63</v>
      </c>
      <c r="G25" s="49">
        <v>97044277.569999993</v>
      </c>
    </row>
    <row r="26" spans="1:7" x14ac:dyDescent="0.3">
      <c r="A26" s="46" t="s">
        <v>58</v>
      </c>
      <c r="B26" s="47">
        <v>3994359.4899999998</v>
      </c>
      <c r="C26" s="47">
        <v>3996924.4899999998</v>
      </c>
      <c r="D26" s="48"/>
      <c r="E26" s="48"/>
      <c r="F26" s="47"/>
      <c r="G26" s="49"/>
    </row>
    <row r="27" spans="1:7" x14ac:dyDescent="0.3">
      <c r="A27" s="50" t="s">
        <v>59</v>
      </c>
      <c r="B27" s="47">
        <v>0</v>
      </c>
      <c r="C27" s="47">
        <v>0</v>
      </c>
      <c r="F27" s="47"/>
      <c r="G27" s="49"/>
    </row>
    <row r="28" spans="1:7" x14ac:dyDescent="0.3">
      <c r="A28" s="46" t="s">
        <v>60</v>
      </c>
      <c r="B28" s="47">
        <v>0</v>
      </c>
      <c r="C28" s="47">
        <v>0</v>
      </c>
      <c r="F28" s="56"/>
      <c r="G28" s="57"/>
    </row>
    <row r="29" spans="1:7" x14ac:dyDescent="0.3">
      <c r="A29" s="58"/>
      <c r="B29" s="47"/>
      <c r="C29" s="47"/>
      <c r="F29" s="56"/>
      <c r="G29" s="57"/>
    </row>
    <row r="30" spans="1:7" x14ac:dyDescent="0.3">
      <c r="A30" s="41" t="s">
        <v>61</v>
      </c>
      <c r="B30" s="736">
        <f>SUM(B20:B28)</f>
        <v>2965607803.3199997</v>
      </c>
      <c r="C30" s="736">
        <f>SUM(C20:C28)</f>
        <v>847129711.81000018</v>
      </c>
      <c r="D30" s="44" t="s">
        <v>62</v>
      </c>
      <c r="E30" s="44"/>
      <c r="F30" s="736">
        <f>SUM(F20:F28)</f>
        <v>1009021696.79</v>
      </c>
      <c r="G30" s="738">
        <f>SUM(G20:G28)</f>
        <v>341783689.5</v>
      </c>
    </row>
    <row r="31" spans="1:7" x14ac:dyDescent="0.3">
      <c r="A31" s="58"/>
      <c r="B31" s="47"/>
      <c r="C31" s="47"/>
      <c r="F31" s="52"/>
      <c r="G31" s="59"/>
    </row>
    <row r="32" spans="1:7" x14ac:dyDescent="0.3">
      <c r="A32" s="41" t="s">
        <v>63</v>
      </c>
      <c r="B32" s="736">
        <f>B30+B17</f>
        <v>5175079466.1099997</v>
      </c>
      <c r="C32" s="736">
        <f>C30+C17</f>
        <v>2372981883.9000006</v>
      </c>
      <c r="D32" s="44" t="s">
        <v>64</v>
      </c>
      <c r="E32" s="44"/>
      <c r="F32" s="736">
        <f>F30+F17</f>
        <v>1413757632.75</v>
      </c>
      <c r="G32" s="738">
        <f>G30+G17</f>
        <v>683692470.62999988</v>
      </c>
    </row>
    <row r="33" spans="1:7" x14ac:dyDescent="0.3">
      <c r="A33" s="51"/>
      <c r="B33" s="60"/>
      <c r="C33" s="60"/>
      <c r="F33" s="56"/>
      <c r="G33" s="57"/>
    </row>
    <row r="34" spans="1:7" x14ac:dyDescent="0.3">
      <c r="A34" s="51"/>
      <c r="B34" s="47"/>
      <c r="C34" s="47"/>
      <c r="D34" s="746" t="s">
        <v>178</v>
      </c>
      <c r="E34" s="61"/>
      <c r="F34" s="52"/>
      <c r="G34" s="59"/>
    </row>
    <row r="35" spans="1:7" x14ac:dyDescent="0.3">
      <c r="A35" s="51"/>
      <c r="B35" s="52"/>
      <c r="C35" s="52"/>
      <c r="D35" s="44" t="s">
        <v>65</v>
      </c>
      <c r="E35" s="44"/>
      <c r="F35" s="739">
        <f>SUM(F36:F38)</f>
        <v>71807553.039999992</v>
      </c>
      <c r="G35" s="740">
        <f>SUM(G36:G38)</f>
        <v>71707551.039999992</v>
      </c>
    </row>
    <row r="36" spans="1:7" x14ac:dyDescent="0.3">
      <c r="A36" s="51"/>
      <c r="B36" s="52"/>
      <c r="C36" s="52"/>
      <c r="D36" s="48" t="s">
        <v>66</v>
      </c>
      <c r="E36" s="48"/>
      <c r="F36" s="47">
        <v>71807553.039999992</v>
      </c>
      <c r="G36" s="49">
        <v>71707551.039999992</v>
      </c>
    </row>
    <row r="37" spans="1:7" x14ac:dyDescent="0.3">
      <c r="A37" s="51"/>
      <c r="B37" s="52"/>
      <c r="C37" s="52"/>
      <c r="D37" s="48" t="s">
        <v>67</v>
      </c>
      <c r="E37" s="48"/>
      <c r="F37" s="47">
        <v>0</v>
      </c>
      <c r="G37" s="49"/>
    </row>
    <row r="38" spans="1:7" ht="33" x14ac:dyDescent="0.3">
      <c r="A38" s="51"/>
      <c r="B38" s="52"/>
      <c r="C38" s="52"/>
      <c r="D38" s="48" t="s">
        <v>68</v>
      </c>
      <c r="E38" s="48"/>
      <c r="F38" s="47"/>
      <c r="G38" s="49">
        <v>0</v>
      </c>
    </row>
    <row r="39" spans="1:7" x14ac:dyDescent="0.3">
      <c r="A39" s="58"/>
      <c r="B39" s="53"/>
      <c r="C39" s="53"/>
      <c r="D39" s="44" t="s">
        <v>69</v>
      </c>
      <c r="E39" s="44"/>
      <c r="F39" s="739">
        <f>SUM(F40:F44)</f>
        <v>3689514280.3200002</v>
      </c>
      <c r="G39" s="740">
        <f>SUM(G40:G44)</f>
        <v>1617581862.2300003</v>
      </c>
    </row>
    <row r="40" spans="1:7" x14ac:dyDescent="0.3">
      <c r="A40" s="58"/>
      <c r="B40" s="53"/>
      <c r="C40" s="53"/>
      <c r="D40" s="48" t="s">
        <v>70</v>
      </c>
      <c r="E40" s="48"/>
      <c r="F40" s="47">
        <v>2340417145.6900001</v>
      </c>
      <c r="G40" s="49">
        <v>1397815833.8500001</v>
      </c>
    </row>
    <row r="41" spans="1:7" x14ac:dyDescent="0.3">
      <c r="A41" s="58"/>
      <c r="B41" s="53"/>
      <c r="C41" s="53"/>
      <c r="D41" s="48" t="s">
        <v>71</v>
      </c>
      <c r="E41" s="48"/>
      <c r="F41" s="47">
        <v>1969257745.78</v>
      </c>
      <c r="G41" s="49">
        <v>571441911.93000007</v>
      </c>
    </row>
    <row r="42" spans="1:7" x14ac:dyDescent="0.3">
      <c r="A42" s="51"/>
      <c r="B42" s="52"/>
      <c r="C42" s="52"/>
      <c r="D42" s="48" t="s">
        <v>72</v>
      </c>
      <c r="E42" s="48"/>
      <c r="F42" s="47">
        <v>0</v>
      </c>
      <c r="G42" s="49">
        <v>0</v>
      </c>
    </row>
    <row r="43" spans="1:7" x14ac:dyDescent="0.3">
      <c r="A43" s="51"/>
      <c r="B43" s="52"/>
      <c r="C43" s="52"/>
      <c r="D43" s="48" t="s">
        <v>73</v>
      </c>
      <c r="E43" s="48"/>
      <c r="F43" s="47"/>
      <c r="G43" s="49">
        <v>0</v>
      </c>
    </row>
    <row r="44" spans="1:7" ht="33" x14ac:dyDescent="0.3">
      <c r="A44" s="51"/>
      <c r="B44" s="52"/>
      <c r="C44" s="52"/>
      <c r="D44" s="48" t="s">
        <v>74</v>
      </c>
      <c r="E44" s="48"/>
      <c r="F44" s="47">
        <v>-620160611.1500001</v>
      </c>
      <c r="G44" s="49">
        <v>-351675883.55000001</v>
      </c>
    </row>
    <row r="45" spans="1:7" ht="33" x14ac:dyDescent="0.3">
      <c r="A45" s="51"/>
      <c r="B45" s="52"/>
      <c r="C45" s="52"/>
      <c r="D45" s="741" t="s">
        <v>75</v>
      </c>
      <c r="E45" s="741"/>
      <c r="F45" s="742">
        <f>SUM(F46:F47)</f>
        <v>0</v>
      </c>
      <c r="G45" s="743">
        <f>SUM(G46:G47)</f>
        <v>0</v>
      </c>
    </row>
    <row r="46" spans="1:7" x14ac:dyDescent="0.3">
      <c r="A46" s="46"/>
      <c r="B46" s="52"/>
      <c r="C46" s="52"/>
      <c r="D46" s="48" t="s">
        <v>76</v>
      </c>
      <c r="E46" s="48"/>
      <c r="F46" s="47"/>
      <c r="G46" s="49">
        <v>0</v>
      </c>
    </row>
    <row r="47" spans="1:7" ht="33" x14ac:dyDescent="0.3">
      <c r="A47" s="62"/>
      <c r="B47" s="63"/>
      <c r="C47" s="63"/>
      <c r="D47" s="48" t="s">
        <v>77</v>
      </c>
      <c r="E47" s="48"/>
      <c r="F47" s="47">
        <v>0</v>
      </c>
      <c r="G47" s="49"/>
    </row>
    <row r="48" spans="1:7" x14ac:dyDescent="0.3">
      <c r="A48" s="51"/>
      <c r="B48" s="63"/>
      <c r="C48" s="63"/>
      <c r="D48" s="64"/>
      <c r="E48" s="64"/>
      <c r="F48" s="63"/>
      <c r="G48" s="65"/>
    </row>
    <row r="49" spans="1:8" x14ac:dyDescent="0.3">
      <c r="A49" s="46"/>
      <c r="B49" s="63"/>
      <c r="C49" s="63"/>
      <c r="D49" s="44" t="s">
        <v>78</v>
      </c>
      <c r="E49" s="44"/>
      <c r="F49" s="744">
        <f>F45+F39+F35</f>
        <v>3761321833.3600001</v>
      </c>
      <c r="G49" s="745">
        <f>G45+G39+G35</f>
        <v>1689289413.2700002</v>
      </c>
    </row>
    <row r="50" spans="1:8" x14ac:dyDescent="0.3">
      <c r="A50" s="62"/>
      <c r="B50" s="63"/>
      <c r="C50" s="63"/>
      <c r="D50" s="54"/>
      <c r="E50" s="54"/>
      <c r="F50" s="66"/>
      <c r="G50" s="67"/>
    </row>
    <row r="51" spans="1:8" ht="33" x14ac:dyDescent="0.3">
      <c r="A51" s="51"/>
      <c r="D51" s="44" t="s">
        <v>79</v>
      </c>
      <c r="E51" s="44"/>
      <c r="F51" s="744">
        <f>F49+F32</f>
        <v>5175079466.1100006</v>
      </c>
      <c r="G51" s="745">
        <f>G49+G32</f>
        <v>2372981883.9000001</v>
      </c>
      <c r="H51" s="594" t="str">
        <f>IF($B$32=$F$51,"","VALOR INCORRECTO!! TOTAL DE ACTIVOS TIENE QUE SER IGUAL AL TOTAL DE LA SUMA DE PASIVO Y HACIENDA")</f>
        <v/>
      </c>
    </row>
    <row r="52" spans="1:8" ht="17.25" thickBot="1" x14ac:dyDescent="0.35">
      <c r="A52" s="68"/>
      <c r="B52" s="69"/>
      <c r="C52" s="69"/>
      <c r="D52" s="70"/>
      <c r="E52" s="70"/>
      <c r="F52" s="71"/>
      <c r="G52" s="72"/>
      <c r="H52" s="594" t="str">
        <f>IF($C$32=$G$51,"","VALOR INCORRECTO!! TOTAL DE ACTIVOS TIENE QUE SER IGUAL AL TOTAL DE LA SUMA DE PASIVO Y HCIENDA")</f>
        <v/>
      </c>
    </row>
    <row r="53" spans="1:8" x14ac:dyDescent="0.3">
      <c r="A53" s="37" t="s">
        <v>80</v>
      </c>
      <c r="B53" s="63"/>
      <c r="C53" s="63"/>
      <c r="F53" s="334"/>
      <c r="G53" s="334"/>
      <c r="H53" s="594"/>
    </row>
    <row r="54" spans="1:8" x14ac:dyDescent="0.3">
      <c r="B54" s="63"/>
      <c r="C54" s="63"/>
      <c r="F54" s="334"/>
      <c r="G54" s="334"/>
      <c r="H54" s="594"/>
    </row>
    <row r="55" spans="1:8" x14ac:dyDescent="0.3">
      <c r="B55" s="63"/>
      <c r="C55" s="63"/>
      <c r="F55" s="334"/>
      <c r="G55" s="334"/>
      <c r="H55" s="594"/>
    </row>
    <row r="56" spans="1:8" x14ac:dyDescent="0.3">
      <c r="B56" s="63"/>
      <c r="C56" s="63"/>
      <c r="F56" s="334"/>
      <c r="G56" s="334"/>
      <c r="H56" s="594"/>
    </row>
    <row r="57" spans="1:8" x14ac:dyDescent="0.3">
      <c r="B57" s="63"/>
      <c r="C57" s="63"/>
      <c r="F57" s="334"/>
      <c r="G57" s="334"/>
      <c r="H57" s="594"/>
    </row>
    <row r="60" spans="1:8" x14ac:dyDescent="0.3">
      <c r="B60" s="74"/>
      <c r="C60" s="75"/>
    </row>
  </sheetData>
  <sheetProtection formatColumns="0" formatRows="0" insertHyperlinks="0"/>
  <mergeCells count="13">
    <mergeCell ref="D8:E8"/>
    <mergeCell ref="D9:E9"/>
    <mergeCell ref="D10:E10"/>
    <mergeCell ref="D11:E11"/>
    <mergeCell ref="A1:G1"/>
    <mergeCell ref="A2:G2"/>
    <mergeCell ref="A3:G3"/>
    <mergeCell ref="A4:G4"/>
    <mergeCell ref="D12:E12"/>
    <mergeCell ref="D13:E13"/>
    <mergeCell ref="D14:E14"/>
    <mergeCell ref="D15:E15"/>
    <mergeCell ref="D24:E24"/>
  </mergeCells>
  <printOptions horizontalCentered="1"/>
  <pageMargins left="0.27559055118110237" right="0.15748031496062992" top="0.39370078740157483" bottom="0.51181102362204722" header="0.31496062992125984" footer="0.31496062992125984"/>
  <pageSetup scale="6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4.9989318521683403E-2"/>
  </sheetPr>
  <dimension ref="A1:K73"/>
  <sheetViews>
    <sheetView view="pageBreakPreview" topLeftCell="A64" zoomScale="90" zoomScaleSheetLayoutView="90" workbookViewId="0">
      <selection activeCell="C56" sqref="C56"/>
    </sheetView>
  </sheetViews>
  <sheetFormatPr baseColWidth="10" defaultColWidth="11.42578125" defaultRowHeight="15" x14ac:dyDescent="0.25"/>
  <cols>
    <col min="1" max="1" width="40.28515625" customWidth="1"/>
    <col min="2" max="3" width="18" customWidth="1"/>
    <col min="4" max="4" width="1.28515625" customWidth="1"/>
    <col min="5" max="5" width="40.28515625" customWidth="1"/>
    <col min="6" max="6" width="17.85546875" customWidth="1"/>
    <col min="7" max="7" width="18.85546875" customWidth="1"/>
    <col min="11" max="11" width="14.85546875" bestFit="1" customWidth="1"/>
  </cols>
  <sheetData>
    <row r="1" spans="1:11" ht="15.75" x14ac:dyDescent="0.25">
      <c r="A1" s="1060" t="str">
        <f>'CPCA-I-01'!A1:G1</f>
        <v xml:space="preserve">Comision Estatal del Agua </v>
      </c>
      <c r="B1" s="1060"/>
      <c r="C1" s="1060"/>
      <c r="D1" s="1060"/>
      <c r="E1" s="1060"/>
      <c r="F1" s="1060"/>
      <c r="G1" s="1060"/>
    </row>
    <row r="2" spans="1:11" ht="14.25" customHeight="1" x14ac:dyDescent="0.25">
      <c r="A2" s="1057" t="s">
        <v>1669</v>
      </c>
      <c r="B2" s="1057"/>
      <c r="C2" s="1057"/>
      <c r="D2" s="1057"/>
      <c r="E2" s="1057"/>
      <c r="F2" s="1057"/>
      <c r="G2" s="1057"/>
    </row>
    <row r="3" spans="1:11" ht="12.75" customHeight="1" x14ac:dyDescent="0.25">
      <c r="A3" s="1061" t="s">
        <v>1899</v>
      </c>
      <c r="B3" s="1061"/>
      <c r="C3" s="1061"/>
      <c r="D3" s="1061"/>
      <c r="E3" s="1061"/>
      <c r="F3" s="1061"/>
      <c r="G3" s="1061"/>
    </row>
    <row r="4" spans="1:11" ht="12" customHeight="1" thickBot="1" x14ac:dyDescent="0.3">
      <c r="A4" s="1062" t="s">
        <v>82</v>
      </c>
      <c r="B4" s="1062"/>
      <c r="C4" s="1062"/>
      <c r="D4" s="1062"/>
      <c r="E4" s="1062"/>
      <c r="F4" s="1062"/>
      <c r="G4" s="1062"/>
    </row>
    <row r="5" spans="1:11" ht="15.75" thickBot="1" x14ac:dyDescent="0.3">
      <c r="A5" s="538" t="s">
        <v>83</v>
      </c>
      <c r="B5" s="630">
        <v>2023</v>
      </c>
      <c r="C5" s="630" t="s">
        <v>1657</v>
      </c>
      <c r="D5" s="539"/>
      <c r="E5" s="540" t="s">
        <v>83</v>
      </c>
      <c r="F5" s="630">
        <v>2023</v>
      </c>
      <c r="G5" s="630" t="s">
        <v>1657</v>
      </c>
    </row>
    <row r="6" spans="1:11" ht="15.75" customHeight="1" x14ac:dyDescent="0.25">
      <c r="A6" s="467" t="s">
        <v>23</v>
      </c>
      <c r="B6" s="544"/>
      <c r="C6" s="544"/>
      <c r="D6" s="545"/>
      <c r="E6" s="544" t="s">
        <v>24</v>
      </c>
      <c r="F6" s="544"/>
      <c r="G6" s="544"/>
    </row>
    <row r="7" spans="1:11" ht="10.5" customHeight="1" x14ac:dyDescent="0.25">
      <c r="A7" s="467" t="s">
        <v>25</v>
      </c>
      <c r="B7" s="546"/>
      <c r="C7" s="546"/>
      <c r="D7" s="545"/>
      <c r="E7" s="544" t="s">
        <v>26</v>
      </c>
      <c r="F7" s="546"/>
      <c r="G7" s="546"/>
    </row>
    <row r="8" spans="1:11" s="514" customFormat="1" ht="25.5" x14ac:dyDescent="0.25">
      <c r="A8" s="467" t="s">
        <v>84</v>
      </c>
      <c r="B8" s="522">
        <f>SUM(B9:B15)</f>
        <v>1090458060.23</v>
      </c>
      <c r="C8" s="522">
        <f>SUM(C9:C15)</f>
        <v>957189133.86000001</v>
      </c>
      <c r="D8" s="547"/>
      <c r="E8" s="544" t="s">
        <v>85</v>
      </c>
      <c r="F8" s="522">
        <f>SUM(F9:F17)</f>
        <v>403568884.20000005</v>
      </c>
      <c r="G8" s="522">
        <f>SUM(G9:G17)</f>
        <v>339451808.84000003</v>
      </c>
    </row>
    <row r="9" spans="1:11" x14ac:dyDescent="0.25">
      <c r="A9" s="548" t="s">
        <v>86</v>
      </c>
      <c r="B9" s="549">
        <v>184700</v>
      </c>
      <c r="C9" s="549">
        <v>166700</v>
      </c>
      <c r="D9" s="545"/>
      <c r="E9" s="546" t="s">
        <v>87</v>
      </c>
      <c r="F9" s="549">
        <v>862139.99</v>
      </c>
      <c r="G9" s="549">
        <v>1387956.64</v>
      </c>
    </row>
    <row r="10" spans="1:11" x14ac:dyDescent="0.25">
      <c r="A10" s="548" t="s">
        <v>88</v>
      </c>
      <c r="B10" s="549">
        <v>1071350020.26</v>
      </c>
      <c r="C10" s="549">
        <v>913388580.30000007</v>
      </c>
      <c r="D10" s="545"/>
      <c r="E10" s="546" t="s">
        <v>89</v>
      </c>
      <c r="F10" s="549">
        <v>9990786.3800000027</v>
      </c>
      <c r="G10" s="549">
        <v>9585892.6400000006</v>
      </c>
    </row>
    <row r="11" spans="1:11" x14ac:dyDescent="0.25">
      <c r="A11" s="548" t="s">
        <v>90</v>
      </c>
      <c r="B11" s="549">
        <v>0</v>
      </c>
      <c r="C11" s="549">
        <v>0</v>
      </c>
      <c r="D11" s="545"/>
      <c r="E11" s="858" t="s">
        <v>91</v>
      </c>
      <c r="F11" s="549">
        <v>24844894.620000001</v>
      </c>
      <c r="G11" s="549">
        <v>21142433.800000001</v>
      </c>
    </row>
    <row r="12" spans="1:11" x14ac:dyDescent="0.25">
      <c r="A12" s="548" t="s">
        <v>92</v>
      </c>
      <c r="B12" s="549">
        <v>18923339.969999999</v>
      </c>
      <c r="C12" s="549">
        <v>43633853.559999995</v>
      </c>
      <c r="D12" s="545"/>
      <c r="E12" s="858" t="s">
        <v>93</v>
      </c>
      <c r="F12" s="549">
        <v>0</v>
      </c>
      <c r="G12" s="549">
        <v>0</v>
      </c>
      <c r="K12" s="867"/>
    </row>
    <row r="13" spans="1:11" x14ac:dyDescent="0.25">
      <c r="A13" s="548" t="s">
        <v>94</v>
      </c>
      <c r="B13" s="549">
        <v>0</v>
      </c>
      <c r="C13" s="549">
        <v>0</v>
      </c>
      <c r="D13" s="545"/>
      <c r="E13" s="546" t="s">
        <v>95</v>
      </c>
      <c r="F13" s="549">
        <v>37403555.579999998</v>
      </c>
      <c r="G13" s="549">
        <v>40838877.380000003</v>
      </c>
    </row>
    <row r="14" spans="1:11" ht="25.5" x14ac:dyDescent="0.25">
      <c r="A14" s="548" t="s">
        <v>96</v>
      </c>
      <c r="B14" s="549">
        <v>0</v>
      </c>
      <c r="C14" s="549">
        <v>0</v>
      </c>
      <c r="D14" s="545"/>
      <c r="E14" s="546" t="s">
        <v>97</v>
      </c>
      <c r="F14" s="549">
        <v>48486612</v>
      </c>
      <c r="G14" s="549">
        <v>0</v>
      </c>
    </row>
    <row r="15" spans="1:11" x14ac:dyDescent="0.25">
      <c r="A15" s="548" t="s">
        <v>98</v>
      </c>
      <c r="B15" s="549">
        <v>0</v>
      </c>
      <c r="C15" s="549">
        <v>0</v>
      </c>
      <c r="D15" s="545"/>
      <c r="E15" s="858" t="s">
        <v>99</v>
      </c>
      <c r="F15" s="549">
        <v>65389426.020000003</v>
      </c>
      <c r="G15" s="549">
        <v>54753708.200000003</v>
      </c>
    </row>
    <row r="16" spans="1:11" ht="25.5" x14ac:dyDescent="0.25">
      <c r="A16" s="476" t="s">
        <v>100</v>
      </c>
      <c r="B16" s="522">
        <f>SUM(B17:B23)</f>
        <v>1395291888.1099999</v>
      </c>
      <c r="C16" s="522">
        <f>SUM(C17:C23)</f>
        <v>1015779646.89</v>
      </c>
      <c r="D16" s="545"/>
      <c r="E16" s="546" t="s">
        <v>101</v>
      </c>
      <c r="F16" s="549">
        <v>0</v>
      </c>
      <c r="G16" s="549">
        <v>0</v>
      </c>
    </row>
    <row r="17" spans="1:7" x14ac:dyDescent="0.25">
      <c r="A17" s="550" t="s">
        <v>102</v>
      </c>
      <c r="B17" s="549">
        <v>0</v>
      </c>
      <c r="C17" s="549">
        <v>0</v>
      </c>
      <c r="D17" s="545"/>
      <c r="E17" s="546" t="s">
        <v>103</v>
      </c>
      <c r="F17" s="549">
        <v>216591469.61000001</v>
      </c>
      <c r="G17" s="549">
        <v>211742940.18000001</v>
      </c>
    </row>
    <row r="18" spans="1:7" ht="19.5" customHeight="1" x14ac:dyDescent="0.25">
      <c r="A18" s="550" t="s">
        <v>104</v>
      </c>
      <c r="B18" s="549">
        <v>749243497.05999994</v>
      </c>
      <c r="C18" s="549">
        <v>710156347.97000003</v>
      </c>
      <c r="D18" s="545"/>
      <c r="E18" s="544" t="s">
        <v>105</v>
      </c>
      <c r="F18" s="522">
        <f>SUM(F19:F21)</f>
        <v>1167051.76</v>
      </c>
      <c r="G18" s="522">
        <f>SUM(G19:G21)</f>
        <v>2456972.27</v>
      </c>
    </row>
    <row r="19" spans="1:7" ht="15.75" customHeight="1" x14ac:dyDescent="0.25">
      <c r="A19" s="550" t="s">
        <v>106</v>
      </c>
      <c r="B19" s="549">
        <v>578270930.00999999</v>
      </c>
      <c r="C19" s="549">
        <v>289489698.59999996</v>
      </c>
      <c r="D19" s="545"/>
      <c r="E19" s="546" t="s">
        <v>107</v>
      </c>
      <c r="F19" s="549">
        <v>0</v>
      </c>
      <c r="G19" s="549">
        <v>0</v>
      </c>
    </row>
    <row r="20" spans="1:7" ht="25.5" x14ac:dyDescent="0.25">
      <c r="A20" s="550" t="s">
        <v>108</v>
      </c>
      <c r="B20" s="549">
        <v>0</v>
      </c>
      <c r="C20" s="549">
        <v>0</v>
      </c>
      <c r="D20" s="545"/>
      <c r="E20" s="546" t="s">
        <v>109</v>
      </c>
      <c r="F20" s="549">
        <v>0</v>
      </c>
      <c r="G20" s="549">
        <v>0</v>
      </c>
    </row>
    <row r="21" spans="1:7" ht="14.25" customHeight="1" x14ac:dyDescent="0.25">
      <c r="A21" s="855" t="s">
        <v>110</v>
      </c>
      <c r="B21" s="549">
        <v>0</v>
      </c>
      <c r="C21" s="549">
        <v>0</v>
      </c>
      <c r="D21" s="545"/>
      <c r="E21" s="546" t="s">
        <v>111</v>
      </c>
      <c r="F21" s="549">
        <v>1167051.76</v>
      </c>
      <c r="G21" s="549">
        <v>2456972.27</v>
      </c>
    </row>
    <row r="22" spans="1:7" ht="25.5" x14ac:dyDescent="0.25">
      <c r="A22" s="550" t="s">
        <v>112</v>
      </c>
      <c r="B22" s="549">
        <v>0</v>
      </c>
      <c r="C22" s="549">
        <v>0</v>
      </c>
      <c r="D22" s="545"/>
      <c r="E22" s="544" t="s">
        <v>113</v>
      </c>
      <c r="F22" s="522">
        <f>SUM(F23:F24)</f>
        <v>0</v>
      </c>
      <c r="G22" s="522">
        <f>SUM(G23:G24)</f>
        <v>0.02</v>
      </c>
    </row>
    <row r="23" spans="1:7" ht="25.5" x14ac:dyDescent="0.25">
      <c r="A23" s="550" t="s">
        <v>114</v>
      </c>
      <c r="B23" s="549">
        <v>67777461.039999992</v>
      </c>
      <c r="C23" s="549">
        <v>16133600.32</v>
      </c>
      <c r="D23" s="545"/>
      <c r="E23" s="546" t="s">
        <v>115</v>
      </c>
      <c r="F23" s="549">
        <v>0</v>
      </c>
      <c r="G23" s="549">
        <v>0.02</v>
      </c>
    </row>
    <row r="24" spans="1:7" ht="25.5" x14ac:dyDescent="0.25">
      <c r="A24" s="467" t="s">
        <v>116</v>
      </c>
      <c r="B24" s="522">
        <f>SUM(B25:B29)</f>
        <v>370852882.21999997</v>
      </c>
      <c r="C24" s="522">
        <f>SUM(C25:C29)</f>
        <v>124199491.25999999</v>
      </c>
      <c r="D24" s="545"/>
      <c r="E24" s="546" t="s">
        <v>117</v>
      </c>
      <c r="F24" s="549">
        <v>0</v>
      </c>
      <c r="G24" s="549">
        <v>0</v>
      </c>
    </row>
    <row r="25" spans="1:7" ht="25.5" x14ac:dyDescent="0.25">
      <c r="A25" s="550" t="s">
        <v>118</v>
      </c>
      <c r="B25" s="549">
        <v>5246.2</v>
      </c>
      <c r="C25" s="549">
        <v>159.18</v>
      </c>
      <c r="D25" s="545"/>
      <c r="E25" s="546" t="s">
        <v>119</v>
      </c>
      <c r="F25" s="549">
        <v>0</v>
      </c>
      <c r="G25" s="549">
        <v>0</v>
      </c>
    </row>
    <row r="26" spans="1:7" ht="25.5" x14ac:dyDescent="0.25">
      <c r="A26" s="550" t="s">
        <v>120</v>
      </c>
      <c r="B26" s="549">
        <v>5025059.7</v>
      </c>
      <c r="C26" s="549">
        <v>5025059.7</v>
      </c>
      <c r="D26" s="545"/>
      <c r="E26" s="544" t="s">
        <v>121</v>
      </c>
      <c r="F26" s="522">
        <f>SUM(F27:F29)</f>
        <v>0</v>
      </c>
      <c r="G26" s="522">
        <f>SUM(G27:G29)</f>
        <v>0</v>
      </c>
    </row>
    <row r="27" spans="1:7" ht="25.5" x14ac:dyDescent="0.25">
      <c r="A27" s="550" t="s">
        <v>122</v>
      </c>
      <c r="B27" s="549">
        <v>0</v>
      </c>
      <c r="C27" s="549">
        <v>0</v>
      </c>
      <c r="D27" s="545"/>
      <c r="E27" s="546" t="s">
        <v>123</v>
      </c>
      <c r="F27" s="549">
        <v>0</v>
      </c>
      <c r="G27" s="549">
        <v>0</v>
      </c>
    </row>
    <row r="28" spans="1:7" ht="17.25" customHeight="1" x14ac:dyDescent="0.25">
      <c r="A28" s="855" t="s">
        <v>124</v>
      </c>
      <c r="B28" s="549">
        <v>365822576.31999999</v>
      </c>
      <c r="C28" s="549">
        <v>119174272.38</v>
      </c>
      <c r="D28" s="545"/>
      <c r="E28" s="546" t="s">
        <v>125</v>
      </c>
      <c r="F28" s="549">
        <v>0</v>
      </c>
      <c r="G28" s="549">
        <v>0</v>
      </c>
    </row>
    <row r="29" spans="1:7" x14ac:dyDescent="0.25">
      <c r="A29" s="855" t="s">
        <v>126</v>
      </c>
      <c r="B29" s="549">
        <v>0</v>
      </c>
      <c r="C29" s="549">
        <v>0</v>
      </c>
      <c r="D29" s="545"/>
      <c r="E29" s="546" t="s">
        <v>127</v>
      </c>
      <c r="F29" s="549">
        <v>0</v>
      </c>
      <c r="G29" s="549">
        <v>0</v>
      </c>
    </row>
    <row r="30" spans="1:7" ht="25.5" x14ac:dyDescent="0.25">
      <c r="A30" s="467" t="s">
        <v>128</v>
      </c>
      <c r="B30" s="522">
        <f>SUM(B31:B35)</f>
        <v>0</v>
      </c>
      <c r="C30" s="522">
        <f>SUM(C31:C35)</f>
        <v>0</v>
      </c>
      <c r="D30" s="545"/>
      <c r="E30" s="544" t="s">
        <v>129</v>
      </c>
      <c r="F30" s="522">
        <f>SUM(F31:F36)</f>
        <v>0</v>
      </c>
      <c r="G30" s="522">
        <f>SUM(G31:G36)</f>
        <v>0</v>
      </c>
    </row>
    <row r="31" spans="1:7" ht="12.75" customHeight="1" x14ac:dyDescent="0.25">
      <c r="A31" s="550" t="s">
        <v>130</v>
      </c>
      <c r="B31" s="549">
        <v>0</v>
      </c>
      <c r="C31" s="549">
        <v>0</v>
      </c>
      <c r="D31" s="545"/>
      <c r="E31" s="546" t="s">
        <v>131</v>
      </c>
      <c r="F31" s="549">
        <v>0</v>
      </c>
      <c r="G31" s="549">
        <v>0</v>
      </c>
    </row>
    <row r="32" spans="1:7" ht="12.75" customHeight="1" x14ac:dyDescent="0.25">
      <c r="A32" s="550" t="s">
        <v>132</v>
      </c>
      <c r="B32" s="549">
        <v>0</v>
      </c>
      <c r="C32" s="549">
        <v>0</v>
      </c>
      <c r="D32" s="545"/>
      <c r="E32" s="546" t="s">
        <v>133</v>
      </c>
      <c r="F32" s="549">
        <v>0</v>
      </c>
      <c r="G32" s="549">
        <v>0</v>
      </c>
    </row>
    <row r="33" spans="1:7" ht="12.75" customHeight="1" x14ac:dyDescent="0.25">
      <c r="A33" s="550" t="s">
        <v>134</v>
      </c>
      <c r="B33" s="549">
        <v>0</v>
      </c>
      <c r="C33" s="549">
        <v>0</v>
      </c>
      <c r="D33" s="545"/>
      <c r="E33" s="546" t="s">
        <v>135</v>
      </c>
      <c r="F33" s="549">
        <v>0</v>
      </c>
      <c r="G33" s="549">
        <v>0</v>
      </c>
    </row>
    <row r="34" spans="1:7" ht="25.5" x14ac:dyDescent="0.25">
      <c r="A34" s="550" t="s">
        <v>136</v>
      </c>
      <c r="B34" s="549">
        <v>0</v>
      </c>
      <c r="C34" s="549">
        <v>0</v>
      </c>
      <c r="D34" s="545"/>
      <c r="E34" s="546" t="s">
        <v>137</v>
      </c>
      <c r="F34" s="549">
        <v>0</v>
      </c>
      <c r="G34" s="549">
        <v>0</v>
      </c>
    </row>
    <row r="35" spans="1:7" ht="25.5" x14ac:dyDescent="0.25">
      <c r="A35" s="550" t="s">
        <v>138</v>
      </c>
      <c r="B35" s="549">
        <v>0</v>
      </c>
      <c r="C35" s="549">
        <v>0</v>
      </c>
      <c r="D35" s="545"/>
      <c r="E35" s="546" t="s">
        <v>139</v>
      </c>
      <c r="F35" s="549">
        <v>0</v>
      </c>
      <c r="G35" s="549">
        <v>0</v>
      </c>
    </row>
    <row r="36" spans="1:7" ht="16.5" customHeight="1" thickBot="1" x14ac:dyDescent="0.3">
      <c r="A36" s="478" t="s">
        <v>140</v>
      </c>
      <c r="B36" s="552">
        <v>4302315.6899999995</v>
      </c>
      <c r="C36" s="552">
        <v>4728154.17</v>
      </c>
      <c r="D36" s="542"/>
      <c r="E36" s="543" t="s">
        <v>141</v>
      </c>
      <c r="F36" s="552">
        <v>0</v>
      </c>
      <c r="G36" s="552">
        <v>0</v>
      </c>
    </row>
    <row r="37" spans="1:7" ht="25.5" x14ac:dyDescent="0.25">
      <c r="A37" s="565" t="s">
        <v>142</v>
      </c>
      <c r="B37" s="566">
        <f>SUM(B38:B39)</f>
        <v>-651433483.46000004</v>
      </c>
      <c r="C37" s="566">
        <f>SUM(C38:C39)</f>
        <v>-576044254.09000003</v>
      </c>
      <c r="D37" s="567"/>
      <c r="E37" s="568" t="s">
        <v>143</v>
      </c>
      <c r="F37" s="566">
        <f>SUM(F38:F40)</f>
        <v>0</v>
      </c>
      <c r="G37" s="566">
        <f>SUM(G38:G40)</f>
        <v>0</v>
      </c>
    </row>
    <row r="38" spans="1:7" ht="25.5" x14ac:dyDescent="0.25">
      <c r="A38" s="550" t="s">
        <v>144</v>
      </c>
      <c r="B38" s="549">
        <v>-651433483.46000004</v>
      </c>
      <c r="C38" s="549">
        <v>-576044254.09000003</v>
      </c>
      <c r="D38" s="545"/>
      <c r="E38" s="546" t="s">
        <v>145</v>
      </c>
      <c r="F38" s="549">
        <v>0</v>
      </c>
      <c r="G38" s="549">
        <v>0</v>
      </c>
    </row>
    <row r="39" spans="1:7" x14ac:dyDescent="0.25">
      <c r="A39" s="550" t="s">
        <v>146</v>
      </c>
      <c r="B39" s="549">
        <v>0</v>
      </c>
      <c r="C39" s="549">
        <v>0</v>
      </c>
      <c r="D39" s="545"/>
      <c r="E39" s="546" t="s">
        <v>147</v>
      </c>
      <c r="F39" s="549">
        <v>0</v>
      </c>
      <c r="G39" s="549">
        <v>0</v>
      </c>
    </row>
    <row r="40" spans="1:7" ht="12" customHeight="1" x14ac:dyDescent="0.25">
      <c r="A40" s="467" t="s">
        <v>148</v>
      </c>
      <c r="B40" s="522">
        <f>SUM(B41:B44)</f>
        <v>0</v>
      </c>
      <c r="C40" s="522">
        <f>SUM(C41:C44)</f>
        <v>0</v>
      </c>
      <c r="D40" s="545"/>
      <c r="E40" s="546" t="s">
        <v>149</v>
      </c>
      <c r="F40" s="549">
        <v>0</v>
      </c>
      <c r="G40" s="549">
        <v>0</v>
      </c>
    </row>
    <row r="41" spans="1:7" ht="12" customHeight="1" x14ac:dyDescent="0.25">
      <c r="A41" s="550" t="s">
        <v>150</v>
      </c>
      <c r="B41" s="549">
        <v>0</v>
      </c>
      <c r="C41" s="549">
        <v>0</v>
      </c>
      <c r="D41" s="545"/>
      <c r="E41" s="544" t="s">
        <v>151</v>
      </c>
      <c r="F41" s="522">
        <f>SUM(F42:F44)</f>
        <v>0</v>
      </c>
      <c r="G41" s="522">
        <f>SUM(G42:G44)</f>
        <v>0</v>
      </c>
    </row>
    <row r="42" spans="1:7" ht="12" customHeight="1" x14ac:dyDescent="0.25">
      <c r="A42" s="550" t="s">
        <v>152</v>
      </c>
      <c r="B42" s="549">
        <v>0</v>
      </c>
      <c r="C42" s="549">
        <v>0</v>
      </c>
      <c r="D42" s="545"/>
      <c r="E42" s="546" t="s">
        <v>153</v>
      </c>
      <c r="F42" s="549">
        <v>0</v>
      </c>
      <c r="G42" s="549">
        <v>0</v>
      </c>
    </row>
    <row r="43" spans="1:7" ht="25.5" x14ac:dyDescent="0.25">
      <c r="A43" s="550" t="s">
        <v>154</v>
      </c>
      <c r="B43" s="549">
        <v>0</v>
      </c>
      <c r="C43" s="549">
        <v>0</v>
      </c>
      <c r="D43" s="545"/>
      <c r="E43" s="546" t="s">
        <v>155</v>
      </c>
      <c r="F43" s="549">
        <v>0</v>
      </c>
      <c r="G43" s="549">
        <v>0</v>
      </c>
    </row>
    <row r="44" spans="1:7" ht="13.5" customHeight="1" x14ac:dyDescent="0.25">
      <c r="A44" s="550" t="s">
        <v>156</v>
      </c>
      <c r="B44" s="549">
        <v>0</v>
      </c>
      <c r="C44" s="549">
        <v>0</v>
      </c>
      <c r="D44" s="545"/>
      <c r="E44" s="546" t="s">
        <v>157</v>
      </c>
      <c r="F44" s="549">
        <v>0</v>
      </c>
      <c r="G44" s="549">
        <v>0</v>
      </c>
    </row>
    <row r="45" spans="1:7" ht="24" customHeight="1" x14ac:dyDescent="0.25">
      <c r="A45" s="467" t="s">
        <v>158</v>
      </c>
      <c r="B45" s="522">
        <f>+B40+B36+B37+B30+B24+B16+B8</f>
        <v>2209471662.79</v>
      </c>
      <c r="C45" s="522">
        <f>+C40+C36+C37+C30+C24+C16+C8</f>
        <v>1525852172.0899999</v>
      </c>
      <c r="D45" s="545"/>
      <c r="E45" s="544" t="s">
        <v>159</v>
      </c>
      <c r="F45" s="522">
        <f>+F41+F37+F30+F26+F25+F22+F18+F8</f>
        <v>404735935.96000004</v>
      </c>
      <c r="G45" s="522">
        <f>+G41+G37+G30+G26+G25+G22+G18+G8</f>
        <v>341908781.13000005</v>
      </c>
    </row>
    <row r="46" spans="1:7" x14ac:dyDescent="0.25">
      <c r="A46" s="467" t="s">
        <v>44</v>
      </c>
      <c r="B46" s="551"/>
      <c r="C46" s="551"/>
      <c r="D46" s="545"/>
      <c r="E46" s="544" t="s">
        <v>45</v>
      </c>
      <c r="F46" s="551"/>
      <c r="G46" s="551"/>
    </row>
    <row r="47" spans="1:7" ht="12.75" customHeight="1" x14ac:dyDescent="0.25">
      <c r="A47" s="550" t="s">
        <v>160</v>
      </c>
      <c r="B47" s="549">
        <v>0</v>
      </c>
      <c r="C47" s="549">
        <v>0</v>
      </c>
      <c r="D47" s="545"/>
      <c r="E47" s="546" t="s">
        <v>161</v>
      </c>
      <c r="F47" s="549">
        <v>0</v>
      </c>
      <c r="G47" s="549">
        <v>0</v>
      </c>
    </row>
    <row r="48" spans="1:7" ht="12.75" customHeight="1" x14ac:dyDescent="0.25">
      <c r="A48" s="550" t="s">
        <v>162</v>
      </c>
      <c r="B48" s="549">
        <v>710832020.62</v>
      </c>
      <c r="C48" s="549">
        <v>0</v>
      </c>
      <c r="D48" s="545"/>
      <c r="E48" s="546" t="s">
        <v>163</v>
      </c>
      <c r="F48" s="549">
        <v>0</v>
      </c>
      <c r="G48" s="549">
        <v>0</v>
      </c>
    </row>
    <row r="49" spans="1:8" ht="15.75" customHeight="1" x14ac:dyDescent="0.25">
      <c r="A49" s="855" t="s">
        <v>164</v>
      </c>
      <c r="B49" s="549">
        <v>2242808132.9000001</v>
      </c>
      <c r="C49" s="549">
        <v>846845581.82000005</v>
      </c>
      <c r="D49" s="545"/>
      <c r="E49" s="546" t="s">
        <v>165</v>
      </c>
      <c r="F49" s="549">
        <v>213805933.16</v>
      </c>
      <c r="G49" s="549">
        <v>244739411.93000001</v>
      </c>
    </row>
    <row r="50" spans="1:8" ht="12" customHeight="1" x14ac:dyDescent="0.25">
      <c r="A50" s="550" t="s">
        <v>166</v>
      </c>
      <c r="B50" s="549">
        <v>140428218.61000001</v>
      </c>
      <c r="C50" s="549">
        <v>118915902.70000002</v>
      </c>
      <c r="D50" s="545"/>
      <c r="E50" s="546" t="s">
        <v>167</v>
      </c>
      <c r="F50" s="549">
        <v>0</v>
      </c>
      <c r="G50" s="549">
        <v>0</v>
      </c>
    </row>
    <row r="51" spans="1:8" ht="25.5" x14ac:dyDescent="0.25">
      <c r="A51" s="550" t="s">
        <v>168</v>
      </c>
      <c r="B51" s="549">
        <v>4470875.2200000007</v>
      </c>
      <c r="C51" s="549">
        <v>4350428.2200000007</v>
      </c>
      <c r="D51" s="545"/>
      <c r="E51" s="546" t="s">
        <v>169</v>
      </c>
      <c r="F51" s="549">
        <v>0</v>
      </c>
      <c r="G51" s="549">
        <v>0</v>
      </c>
    </row>
    <row r="52" spans="1:8" s="859" customFormat="1" x14ac:dyDescent="0.25">
      <c r="A52" s="855" t="s">
        <v>170</v>
      </c>
      <c r="B52" s="856">
        <v>-136925803.52000001</v>
      </c>
      <c r="C52" s="856">
        <v>-126979125.42</v>
      </c>
      <c r="D52" s="857"/>
      <c r="E52" s="858" t="s">
        <v>171</v>
      </c>
      <c r="F52" s="856">
        <v>795215763.63</v>
      </c>
      <c r="G52" s="856">
        <v>97044277.569999993</v>
      </c>
    </row>
    <row r="53" spans="1:8" ht="11.25" customHeight="1" x14ac:dyDescent="0.25">
      <c r="A53" s="550" t="s">
        <v>172</v>
      </c>
      <c r="B53" s="549">
        <v>3994359.4899999998</v>
      </c>
      <c r="C53" s="549">
        <v>3996924.4899999998</v>
      </c>
      <c r="D53" s="547"/>
      <c r="E53" s="544"/>
      <c r="F53" s="551"/>
      <c r="G53" s="551"/>
    </row>
    <row r="54" spans="1:8" ht="19.5" customHeight="1" x14ac:dyDescent="0.25">
      <c r="A54" s="550" t="s">
        <v>173</v>
      </c>
      <c r="B54" s="549">
        <v>0</v>
      </c>
      <c r="C54" s="549">
        <v>0</v>
      </c>
      <c r="D54" s="547"/>
      <c r="E54" s="544" t="s">
        <v>174</v>
      </c>
      <c r="F54" s="522">
        <f>SUM(F46:F52)</f>
        <v>1009021696.79</v>
      </c>
      <c r="G54" s="522">
        <f>SUM(G46:G52)</f>
        <v>341783689.5</v>
      </c>
    </row>
    <row r="55" spans="1:8" ht="13.5" customHeight="1" x14ac:dyDescent="0.25">
      <c r="A55" s="550" t="s">
        <v>175</v>
      </c>
      <c r="B55" s="549">
        <v>0</v>
      </c>
      <c r="C55" s="549">
        <v>0</v>
      </c>
      <c r="D55" s="545"/>
      <c r="E55" s="469"/>
      <c r="F55" s="551"/>
      <c r="G55" s="551"/>
    </row>
    <row r="56" spans="1:8" ht="25.5" x14ac:dyDescent="0.25">
      <c r="A56" s="467" t="s">
        <v>176</v>
      </c>
      <c r="B56" s="522">
        <f>SUM(B47:B55)</f>
        <v>2965607803.3199997</v>
      </c>
      <c r="C56" s="522">
        <f>SUM(C47:C55)</f>
        <v>847129711.81000018</v>
      </c>
      <c r="D56" s="545"/>
      <c r="E56" s="544" t="s">
        <v>177</v>
      </c>
      <c r="F56" s="522">
        <f>+F45+F54</f>
        <v>1413757632.75</v>
      </c>
      <c r="G56" s="522">
        <f>+G45+G54</f>
        <v>683692470.63000011</v>
      </c>
    </row>
    <row r="57" spans="1:8" ht="14.25" customHeight="1" x14ac:dyDescent="0.25">
      <c r="A57" s="550"/>
      <c r="B57" s="551"/>
      <c r="C57" s="551"/>
      <c r="D57" s="547"/>
      <c r="E57" s="544" t="s">
        <v>178</v>
      </c>
      <c r="F57" s="551"/>
      <c r="G57" s="551"/>
    </row>
    <row r="58" spans="1:8" ht="15" customHeight="1" x14ac:dyDescent="0.25">
      <c r="A58" s="467" t="s">
        <v>179</v>
      </c>
      <c r="B58" s="522">
        <f>+B45+B56</f>
        <v>5175079466.1099997</v>
      </c>
      <c r="C58" s="522">
        <f>+C45+C56</f>
        <v>2372981883.9000001</v>
      </c>
      <c r="D58" s="545"/>
      <c r="E58" s="860" t="s">
        <v>180</v>
      </c>
      <c r="F58" s="522">
        <f>SUM(F59:F61)</f>
        <v>71807553.039999992</v>
      </c>
      <c r="G58" s="522">
        <f>SUM(G59:G61)</f>
        <v>71707551.039999992</v>
      </c>
      <c r="H58" s="315" t="str">
        <f>IF(C58&lt;&gt;'CPCA-I-01'!C32,"ERROR!!!!! ELTOTAL DE ACTIVO, NO CONCUERDA CON LO REPORTADO EN EL ESTADO DE SITUACION FINANCIERA","")</f>
        <v/>
      </c>
    </row>
    <row r="59" spans="1:8" ht="12" customHeight="1" x14ac:dyDescent="0.25">
      <c r="A59" s="550"/>
      <c r="B59" s="553"/>
      <c r="C59" s="553"/>
      <c r="D59" s="545"/>
      <c r="E59" s="546" t="s">
        <v>181</v>
      </c>
      <c r="F59" s="549">
        <v>71807553.039999992</v>
      </c>
      <c r="G59" s="549">
        <v>71707551.039999992</v>
      </c>
      <c r="H59" s="315" t="str">
        <f>IF(B58&lt;&gt;'CPCA-I-01'!B32,"ERROR!!!!! ELTOTAL DE ACTIVO, NO CONCUERDA CON LO REPORTADO EN EL ESTADO DE SITUACION FINANCIERA","")</f>
        <v/>
      </c>
    </row>
    <row r="60" spans="1:8" ht="11.25" customHeight="1" x14ac:dyDescent="0.25">
      <c r="A60" s="550"/>
      <c r="B60" s="553"/>
      <c r="C60" s="553"/>
      <c r="D60" s="545"/>
      <c r="E60" s="546" t="s">
        <v>182</v>
      </c>
      <c r="F60" s="549">
        <v>0</v>
      </c>
      <c r="G60" s="549">
        <v>0</v>
      </c>
    </row>
    <row r="61" spans="1:8" ht="10.5" customHeight="1" x14ac:dyDescent="0.25">
      <c r="A61" s="550"/>
      <c r="B61" s="553"/>
      <c r="C61" s="553"/>
      <c r="D61" s="545"/>
      <c r="E61" s="546" t="s">
        <v>183</v>
      </c>
      <c r="F61" s="549">
        <v>0</v>
      </c>
      <c r="G61" s="549">
        <v>0</v>
      </c>
    </row>
    <row r="62" spans="1:8" ht="25.5" x14ac:dyDescent="0.25">
      <c r="A62" s="550"/>
      <c r="B62" s="553"/>
      <c r="C62" s="553"/>
      <c r="D62" s="545"/>
      <c r="E62" s="544" t="s">
        <v>184</v>
      </c>
      <c r="F62" s="522">
        <f>SUM(F63:F67)</f>
        <v>3689514280.3200002</v>
      </c>
      <c r="G62" s="522">
        <f>SUM(G63:G67)</f>
        <v>1617581862.2300003</v>
      </c>
    </row>
    <row r="63" spans="1:8" x14ac:dyDescent="0.25">
      <c r="A63" s="550"/>
      <c r="B63" s="553"/>
      <c r="C63" s="553"/>
      <c r="D63" s="545"/>
      <c r="E63" s="546" t="s">
        <v>185</v>
      </c>
      <c r="F63" s="549">
        <v>2340417145.6900001</v>
      </c>
      <c r="G63" s="549">
        <v>1397815833.8500001</v>
      </c>
    </row>
    <row r="64" spans="1:8" x14ac:dyDescent="0.25">
      <c r="A64" s="550"/>
      <c r="B64" s="553"/>
      <c r="C64" s="553"/>
      <c r="D64" s="545"/>
      <c r="E64" s="546" t="s">
        <v>186</v>
      </c>
      <c r="F64" s="549">
        <v>1969257745.78</v>
      </c>
      <c r="G64" s="549">
        <v>571441911.93000007</v>
      </c>
    </row>
    <row r="65" spans="1:8" ht="12.75" customHeight="1" x14ac:dyDescent="0.25">
      <c r="A65" s="550"/>
      <c r="B65" s="553"/>
      <c r="C65" s="553"/>
      <c r="D65" s="545"/>
      <c r="E65" s="546" t="s">
        <v>187</v>
      </c>
      <c r="F65" s="549">
        <v>0</v>
      </c>
      <c r="G65" s="549">
        <v>0</v>
      </c>
    </row>
    <row r="66" spans="1:8" ht="12" customHeight="1" x14ac:dyDescent="0.25">
      <c r="A66" s="550"/>
      <c r="B66" s="553"/>
      <c r="C66" s="553"/>
      <c r="D66" s="545"/>
      <c r="E66" s="546" t="s">
        <v>188</v>
      </c>
      <c r="F66" s="549">
        <v>0</v>
      </c>
      <c r="G66" s="549">
        <v>0</v>
      </c>
    </row>
    <row r="67" spans="1:8" ht="17.25" customHeight="1" x14ac:dyDescent="0.25">
      <c r="A67" s="550"/>
      <c r="B67" s="553"/>
      <c r="C67" s="553"/>
      <c r="D67" s="545"/>
      <c r="E67" s="858" t="s">
        <v>189</v>
      </c>
      <c r="F67" s="549">
        <v>-620160611.1500001</v>
      </c>
      <c r="G67" s="549">
        <v>-351675883.55000001</v>
      </c>
    </row>
    <row r="68" spans="1:8" ht="25.5" x14ac:dyDescent="0.25">
      <c r="A68" s="550"/>
      <c r="B68" s="553"/>
      <c r="C68" s="553"/>
      <c r="D68" s="545"/>
      <c r="E68" s="860" t="s">
        <v>190</v>
      </c>
      <c r="F68" s="522">
        <f>SUM(F69:F70)</f>
        <v>0</v>
      </c>
      <c r="G68" s="522">
        <f>SUM(G69:G70)</f>
        <v>0</v>
      </c>
    </row>
    <row r="69" spans="1:8" x14ac:dyDescent="0.25">
      <c r="A69" s="550"/>
      <c r="B69" s="553"/>
      <c r="C69" s="553"/>
      <c r="D69" s="545"/>
      <c r="E69" s="546" t="s">
        <v>191</v>
      </c>
      <c r="F69" s="549">
        <v>0</v>
      </c>
      <c r="G69" s="549">
        <v>0</v>
      </c>
    </row>
    <row r="70" spans="1:8" ht="14.25" customHeight="1" x14ac:dyDescent="0.25">
      <c r="A70" s="550"/>
      <c r="B70" s="553"/>
      <c r="C70" s="553"/>
      <c r="D70" s="545"/>
      <c r="E70" s="546" t="s">
        <v>192</v>
      </c>
      <c r="F70" s="549">
        <v>0</v>
      </c>
      <c r="G70" s="549">
        <v>0</v>
      </c>
    </row>
    <row r="71" spans="1:8" ht="15" customHeight="1" x14ac:dyDescent="0.25">
      <c r="A71" s="550"/>
      <c r="B71" s="553"/>
      <c r="C71" s="553"/>
      <c r="D71" s="545"/>
      <c r="E71" s="544" t="s">
        <v>193</v>
      </c>
      <c r="F71" s="522">
        <f>+F58+F62+F68</f>
        <v>3761321833.3600001</v>
      </c>
      <c r="G71" s="522">
        <f>+G58+G62+G68</f>
        <v>1689289413.2700002</v>
      </c>
    </row>
    <row r="72" spans="1:8" ht="19.5" customHeight="1" thickBot="1" x14ac:dyDescent="0.3">
      <c r="A72" s="478"/>
      <c r="B72" s="541"/>
      <c r="C72" s="541"/>
      <c r="D72" s="542"/>
      <c r="E72" s="479" t="s">
        <v>194</v>
      </c>
      <c r="F72" s="554">
        <f>+F56+F71</f>
        <v>5175079466.1100006</v>
      </c>
      <c r="G72" s="554">
        <f>+G56+G71</f>
        <v>2372981883.9000006</v>
      </c>
      <c r="H72" s="315" t="str">
        <f>IF((G72-'CPCA-I-01'!G51)&gt;0.9,"ERROR!!!!! ELTOTAL DE DEL PATRIMONIO Y HACIENDA PUBLICA, NO CONCUERDA CON LO REPORTADO EN EL ESTADO DE SITUACION FINANCIERA","")</f>
        <v/>
      </c>
    </row>
    <row r="73" spans="1:8" x14ac:dyDescent="0.25">
      <c r="H73" t="str">
        <f>IF(F72&lt;&gt;'CPCA-I-01'!F51,"ERROR!!!!! ELTOTAL DE DEL PATRIMONIO Y HACIENDA PUBLICA, NO CONCUERDA CON LO REPORTADO EN EL ESTADO DE SITUACION FINANCIERA","")</f>
        <v/>
      </c>
    </row>
  </sheetData>
  <sheetProtection formatColumns="0" formatRows="0" insertHyperlinks="0"/>
  <mergeCells count="4">
    <mergeCell ref="A1:G1"/>
    <mergeCell ref="A2:G2"/>
    <mergeCell ref="A3:G3"/>
    <mergeCell ref="A4:G4"/>
  </mergeCells>
  <printOptions horizontalCentered="1"/>
  <pageMargins left="0.23622047244094491" right="0.23622047244094491" top="0.23622047244094491" bottom="0.23622047244094491" header="0.31496062992125984" footer="0.31496062992125984"/>
  <pageSetup scale="85" orientation="landscape" r:id="rId1"/>
  <rowBreaks count="1" manualBreakCount="1">
    <brk id="36" max="6"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2">
    <tabColor theme="0" tint="-4.9989318521683403E-2"/>
    <pageSetUpPr fitToPage="1"/>
  </sheetPr>
  <dimension ref="A1:G68"/>
  <sheetViews>
    <sheetView view="pageBreakPreview" topLeftCell="A61" zoomScale="110" zoomScaleSheetLayoutView="110" workbookViewId="0">
      <selection activeCell="C56" sqref="C56"/>
    </sheetView>
  </sheetViews>
  <sheetFormatPr baseColWidth="10" defaultColWidth="11.28515625" defaultRowHeight="16.5" x14ac:dyDescent="0.3"/>
  <cols>
    <col min="1" max="1" width="1.7109375" style="77" customWidth="1"/>
    <col min="2" max="2" width="101.7109375" style="77" bestFit="1" customWidth="1"/>
    <col min="3" max="3" width="18.28515625" style="77" customWidth="1"/>
    <col min="4" max="4" width="18" style="329" customWidth="1"/>
    <col min="5" max="5" width="59.28515625" style="76" customWidth="1"/>
    <col min="6" max="6" width="22.7109375" style="76" customWidth="1"/>
    <col min="7" max="16384" width="11.28515625" style="76"/>
  </cols>
  <sheetData>
    <row r="1" spans="1:7" s="37" customFormat="1" ht="20.25" x14ac:dyDescent="0.3">
      <c r="A1" s="1060" t="str">
        <f>'CPCA-I-01'!A1</f>
        <v xml:space="preserve">Comision Estatal del Agua </v>
      </c>
      <c r="B1" s="1060"/>
      <c r="C1" s="1060"/>
      <c r="D1" s="1060"/>
      <c r="E1" s="319"/>
      <c r="G1" s="38"/>
    </row>
    <row r="2" spans="1:7" ht="15.75" x14ac:dyDescent="0.25">
      <c r="A2" s="1057" t="s">
        <v>1</v>
      </c>
      <c r="B2" s="1057"/>
      <c r="C2" s="1057"/>
      <c r="D2" s="1057"/>
    </row>
    <row r="3" spans="1:7" x14ac:dyDescent="0.25">
      <c r="A3" s="1058" t="s">
        <v>1900</v>
      </c>
      <c r="B3" s="1058"/>
      <c r="C3" s="1058"/>
      <c r="D3" s="1058"/>
    </row>
    <row r="4" spans="1:7" s="77" customFormat="1" ht="17.25" thickBot="1" x14ac:dyDescent="0.35">
      <c r="A4" s="1067" t="s">
        <v>1646</v>
      </c>
      <c r="B4" s="1067"/>
      <c r="C4" s="1067"/>
      <c r="D4" s="1067"/>
    </row>
    <row r="5" spans="1:7" ht="27.75" customHeight="1" thickBot="1" x14ac:dyDescent="0.3">
      <c r="A5" s="1065" t="s">
        <v>243</v>
      </c>
      <c r="B5" s="1066"/>
      <c r="C5" s="674">
        <v>2023</v>
      </c>
      <c r="D5" s="674">
        <v>2022</v>
      </c>
    </row>
    <row r="6" spans="1:7" ht="17.25" thickTop="1" x14ac:dyDescent="0.25">
      <c r="A6" s="78" t="s">
        <v>195</v>
      </c>
      <c r="B6" s="79"/>
      <c r="C6" s="80"/>
      <c r="D6" s="455"/>
    </row>
    <row r="7" spans="1:7" x14ac:dyDescent="0.25">
      <c r="A7" s="748" t="s">
        <v>891</v>
      </c>
      <c r="B7" s="749"/>
      <c r="C7" s="750">
        <f>SUM(C8:C14)</f>
        <v>336358675.07999998</v>
      </c>
      <c r="D7" s="751">
        <f>SUM(D8:D14)</f>
        <v>309944111.58000004</v>
      </c>
    </row>
    <row r="8" spans="1:7" x14ac:dyDescent="0.25">
      <c r="A8" s="81"/>
      <c r="B8" s="82" t="s">
        <v>196</v>
      </c>
      <c r="C8" s="407">
        <v>0</v>
      </c>
      <c r="D8" s="408">
        <v>0</v>
      </c>
    </row>
    <row r="9" spans="1:7" x14ac:dyDescent="0.25">
      <c r="A9" s="81"/>
      <c r="B9" s="82" t="s">
        <v>197</v>
      </c>
      <c r="C9" s="407">
        <v>0</v>
      </c>
      <c r="D9" s="408">
        <v>0</v>
      </c>
    </row>
    <row r="10" spans="1:7" x14ac:dyDescent="0.25">
      <c r="A10" s="81"/>
      <c r="B10" s="82" t="s">
        <v>198</v>
      </c>
      <c r="C10" s="407">
        <v>0</v>
      </c>
      <c r="D10" s="408">
        <v>0</v>
      </c>
    </row>
    <row r="11" spans="1:7" x14ac:dyDescent="0.25">
      <c r="A11" s="81"/>
      <c r="B11" s="82" t="s">
        <v>199</v>
      </c>
      <c r="C11" s="407">
        <v>0</v>
      </c>
      <c r="D11" s="408">
        <v>0</v>
      </c>
    </row>
    <row r="12" spans="1:7" x14ac:dyDescent="0.25">
      <c r="A12" s="81"/>
      <c r="B12" s="82" t="s">
        <v>877</v>
      </c>
      <c r="C12" s="407">
        <v>17582760.460000001</v>
      </c>
      <c r="D12" s="408">
        <v>1566328.38</v>
      </c>
    </row>
    <row r="13" spans="1:7" x14ac:dyDescent="0.25">
      <c r="A13" s="81"/>
      <c r="B13" s="82" t="s">
        <v>878</v>
      </c>
      <c r="C13" s="407">
        <v>0</v>
      </c>
      <c r="D13" s="408">
        <v>0</v>
      </c>
    </row>
    <row r="14" spans="1:7" x14ac:dyDescent="0.25">
      <c r="A14" s="81"/>
      <c r="B14" s="82" t="s">
        <v>892</v>
      </c>
      <c r="C14" s="407">
        <f>318742183.96+33730.66</f>
        <v>318775914.62</v>
      </c>
      <c r="D14" s="408">
        <v>308377783.20000005</v>
      </c>
    </row>
    <row r="15" spans="1:7" ht="33" customHeight="1" x14ac:dyDescent="0.25">
      <c r="A15" s="1063" t="s">
        <v>1658</v>
      </c>
      <c r="B15" s="1064"/>
      <c r="C15" s="750">
        <f>SUM(C16:C17)</f>
        <v>2693269071.2500005</v>
      </c>
      <c r="D15" s="751">
        <f>SUM(D16:D17)</f>
        <v>1661700334.1099999</v>
      </c>
    </row>
    <row r="16" spans="1:7" x14ac:dyDescent="0.25">
      <c r="A16" s="81"/>
      <c r="B16" s="82" t="s">
        <v>894</v>
      </c>
      <c r="C16" s="407">
        <v>2182114220.6600003</v>
      </c>
      <c r="D16" s="408">
        <v>1344792364.5500002</v>
      </c>
    </row>
    <row r="17" spans="1:4" x14ac:dyDescent="0.25">
      <c r="A17" s="81"/>
      <c r="B17" s="82" t="s">
        <v>893</v>
      </c>
      <c r="C17" s="407">
        <v>511154850.58999997</v>
      </c>
      <c r="D17" s="408">
        <v>316907969.55999976</v>
      </c>
    </row>
    <row r="18" spans="1:4" x14ac:dyDescent="0.25">
      <c r="A18" s="748" t="s">
        <v>201</v>
      </c>
      <c r="B18" s="749"/>
      <c r="C18" s="750">
        <f>SUM(C19:C23)</f>
        <v>51.04</v>
      </c>
      <c r="D18" s="751">
        <f>SUM(D19:D23)</f>
        <v>90792.31</v>
      </c>
    </row>
    <row r="19" spans="1:4" x14ac:dyDescent="0.25">
      <c r="A19" s="81"/>
      <c r="B19" s="82" t="s">
        <v>202</v>
      </c>
      <c r="C19" s="407">
        <v>0</v>
      </c>
      <c r="D19" s="408">
        <v>0</v>
      </c>
    </row>
    <row r="20" spans="1:4" x14ac:dyDescent="0.25">
      <c r="A20" s="81"/>
      <c r="B20" s="82" t="s">
        <v>203</v>
      </c>
      <c r="C20" s="407">
        <v>0</v>
      </c>
      <c r="D20" s="408">
        <v>0</v>
      </c>
    </row>
    <row r="21" spans="1:4" x14ac:dyDescent="0.25">
      <c r="A21" s="81"/>
      <c r="B21" s="82" t="s">
        <v>204</v>
      </c>
      <c r="C21" s="407">
        <v>0</v>
      </c>
      <c r="D21" s="408">
        <v>0</v>
      </c>
    </row>
    <row r="22" spans="1:4" x14ac:dyDescent="0.25">
      <c r="A22" s="81"/>
      <c r="B22" s="82" t="s">
        <v>205</v>
      </c>
      <c r="C22" s="407">
        <v>0</v>
      </c>
      <c r="D22" s="408">
        <v>0</v>
      </c>
    </row>
    <row r="23" spans="1:4" x14ac:dyDescent="0.25">
      <c r="A23" s="81"/>
      <c r="B23" s="82" t="s">
        <v>206</v>
      </c>
      <c r="C23" s="407">
        <v>51.04</v>
      </c>
      <c r="D23" s="408">
        <v>90792.31</v>
      </c>
    </row>
    <row r="24" spans="1:4" x14ac:dyDescent="0.25">
      <c r="A24" s="752" t="s">
        <v>207</v>
      </c>
      <c r="B24" s="753"/>
      <c r="C24" s="754">
        <f>C18+C15+C7</f>
        <v>3029627797.3700004</v>
      </c>
      <c r="D24" s="755">
        <f>D18+D15+D7</f>
        <v>1971735238</v>
      </c>
    </row>
    <row r="25" spans="1:4" x14ac:dyDescent="0.25">
      <c r="A25" s="81"/>
      <c r="B25" s="80"/>
      <c r="C25" s="407"/>
      <c r="D25" s="408"/>
    </row>
    <row r="26" spans="1:4" x14ac:dyDescent="0.25">
      <c r="A26" s="78" t="s">
        <v>208</v>
      </c>
      <c r="B26" s="79"/>
      <c r="C26" s="407"/>
      <c r="D26" s="408"/>
    </row>
    <row r="27" spans="1:4" x14ac:dyDescent="0.25">
      <c r="A27" s="748" t="s">
        <v>209</v>
      </c>
      <c r="B27" s="749"/>
      <c r="C27" s="750">
        <f>SUM(C28:C30)</f>
        <v>506374210.36000001</v>
      </c>
      <c r="D27" s="751">
        <f>SUM(D28:D30)</f>
        <v>398544827.99000001</v>
      </c>
    </row>
    <row r="28" spans="1:4" x14ac:dyDescent="0.25">
      <c r="A28" s="81"/>
      <c r="B28" s="82" t="s">
        <v>210</v>
      </c>
      <c r="C28" s="407">
        <v>239363617.06999999</v>
      </c>
      <c r="D28" s="408">
        <v>249421351.84999999</v>
      </c>
    </row>
    <row r="29" spans="1:4" x14ac:dyDescent="0.25">
      <c r="A29" s="81"/>
      <c r="B29" s="82" t="s">
        <v>211</v>
      </c>
      <c r="C29" s="407">
        <v>23978762.690000001</v>
      </c>
      <c r="D29" s="408">
        <v>17316687.530000001</v>
      </c>
    </row>
    <row r="30" spans="1:4" x14ac:dyDescent="0.25">
      <c r="A30" s="81"/>
      <c r="B30" s="82" t="s">
        <v>212</v>
      </c>
      <c r="C30" s="407">
        <v>243031830.60000002</v>
      </c>
      <c r="D30" s="408">
        <v>131806788.61000001</v>
      </c>
    </row>
    <row r="31" spans="1:4" x14ac:dyDescent="0.25">
      <c r="A31" s="748" t="s">
        <v>396</v>
      </c>
      <c r="B31" s="749"/>
      <c r="C31" s="750">
        <f>SUM(C32:C40)</f>
        <v>0</v>
      </c>
      <c r="D31" s="751">
        <f>SUM(D32:D40)</f>
        <v>0</v>
      </c>
    </row>
    <row r="32" spans="1:4" x14ac:dyDescent="0.25">
      <c r="A32" s="81"/>
      <c r="B32" s="82" t="s">
        <v>213</v>
      </c>
      <c r="C32" s="407">
        <v>0</v>
      </c>
      <c r="D32" s="408">
        <v>0</v>
      </c>
    </row>
    <row r="33" spans="1:4" x14ac:dyDescent="0.25">
      <c r="A33" s="81"/>
      <c r="B33" s="82" t="s">
        <v>214</v>
      </c>
      <c r="C33" s="407">
        <v>0</v>
      </c>
      <c r="D33" s="408">
        <v>0</v>
      </c>
    </row>
    <row r="34" spans="1:4" x14ac:dyDescent="0.25">
      <c r="A34" s="81"/>
      <c r="B34" s="82" t="s">
        <v>215</v>
      </c>
      <c r="C34" s="407">
        <v>0</v>
      </c>
      <c r="D34" s="408">
        <v>0</v>
      </c>
    </row>
    <row r="35" spans="1:4" x14ac:dyDescent="0.25">
      <c r="A35" s="81"/>
      <c r="B35" s="82" t="s">
        <v>216</v>
      </c>
      <c r="C35" s="407">
        <v>0</v>
      </c>
      <c r="D35" s="408">
        <v>0</v>
      </c>
    </row>
    <row r="36" spans="1:4" x14ac:dyDescent="0.25">
      <c r="A36" s="81"/>
      <c r="B36" s="82" t="s">
        <v>217</v>
      </c>
      <c r="C36" s="407">
        <v>0</v>
      </c>
      <c r="D36" s="408">
        <v>0</v>
      </c>
    </row>
    <row r="37" spans="1:4" x14ac:dyDescent="0.25">
      <c r="A37" s="81"/>
      <c r="B37" s="82" t="s">
        <v>218</v>
      </c>
      <c r="C37" s="407">
        <v>0</v>
      </c>
      <c r="D37" s="408">
        <v>0</v>
      </c>
    </row>
    <row r="38" spans="1:4" x14ac:dyDescent="0.25">
      <c r="A38" s="81"/>
      <c r="B38" s="82" t="s">
        <v>219</v>
      </c>
      <c r="C38" s="407">
        <v>0</v>
      </c>
      <c r="D38" s="408">
        <v>0</v>
      </c>
    </row>
    <row r="39" spans="1:4" x14ac:dyDescent="0.25">
      <c r="A39" s="81"/>
      <c r="B39" s="82" t="s">
        <v>220</v>
      </c>
      <c r="C39" s="407">
        <v>0</v>
      </c>
      <c r="D39" s="408">
        <v>0</v>
      </c>
    </row>
    <row r="40" spans="1:4" x14ac:dyDescent="0.25">
      <c r="A40" s="81"/>
      <c r="B40" s="82" t="s">
        <v>221</v>
      </c>
      <c r="C40" s="407">
        <v>0</v>
      </c>
      <c r="D40" s="408">
        <v>0</v>
      </c>
    </row>
    <row r="41" spans="1:4" x14ac:dyDescent="0.25">
      <c r="A41" s="748" t="s">
        <v>222</v>
      </c>
      <c r="B41" s="749"/>
      <c r="C41" s="750">
        <f>SUM(C42:C44)</f>
        <v>0</v>
      </c>
      <c r="D41" s="751">
        <f>SUM(D42:D44)</f>
        <v>0</v>
      </c>
    </row>
    <row r="42" spans="1:4" x14ac:dyDescent="0.25">
      <c r="A42" s="81"/>
      <c r="B42" s="82" t="s">
        <v>223</v>
      </c>
      <c r="C42" s="407">
        <v>0</v>
      </c>
      <c r="D42" s="408">
        <v>0</v>
      </c>
    </row>
    <row r="43" spans="1:4" x14ac:dyDescent="0.25">
      <c r="A43" s="81"/>
      <c r="B43" s="82" t="s">
        <v>66</v>
      </c>
      <c r="C43" s="407">
        <v>0</v>
      </c>
      <c r="D43" s="408">
        <v>0</v>
      </c>
    </row>
    <row r="44" spans="1:4" x14ac:dyDescent="0.25">
      <c r="A44" s="81"/>
      <c r="B44" s="82" t="s">
        <v>224</v>
      </c>
      <c r="C44" s="407">
        <v>0</v>
      </c>
      <c r="D44" s="408">
        <v>0</v>
      </c>
    </row>
    <row r="45" spans="1:4" x14ac:dyDescent="0.25">
      <c r="A45" s="748" t="s">
        <v>225</v>
      </c>
      <c r="B45" s="749"/>
      <c r="C45" s="750">
        <f>SUM(C46:C50)</f>
        <v>28432546.32</v>
      </c>
      <c r="D45" s="751">
        <f>SUM(D46:D50)</f>
        <v>22038577.649999999</v>
      </c>
    </row>
    <row r="46" spans="1:4" x14ac:dyDescent="0.25">
      <c r="A46" s="81"/>
      <c r="B46" s="82" t="s">
        <v>226</v>
      </c>
      <c r="C46" s="407">
        <v>28432546.32</v>
      </c>
      <c r="D46" s="408">
        <v>22038577.649999999</v>
      </c>
    </row>
    <row r="47" spans="1:4" x14ac:dyDescent="0.25">
      <c r="A47" s="81"/>
      <c r="B47" s="82" t="s">
        <v>227</v>
      </c>
      <c r="C47" s="407">
        <v>0</v>
      </c>
      <c r="D47" s="408">
        <v>0</v>
      </c>
    </row>
    <row r="48" spans="1:4" x14ac:dyDescent="0.25">
      <c r="A48" s="81"/>
      <c r="B48" s="82" t="s">
        <v>228</v>
      </c>
      <c r="C48" s="407">
        <v>0</v>
      </c>
      <c r="D48" s="408">
        <v>0</v>
      </c>
    </row>
    <row r="49" spans="1:5" x14ac:dyDescent="0.25">
      <c r="A49" s="81"/>
      <c r="B49" s="82" t="s">
        <v>229</v>
      </c>
      <c r="C49" s="407">
        <v>0</v>
      </c>
      <c r="D49" s="408">
        <v>0</v>
      </c>
    </row>
    <row r="50" spans="1:5" x14ac:dyDescent="0.25">
      <c r="A50" s="81"/>
      <c r="B50" s="82" t="s">
        <v>230</v>
      </c>
      <c r="C50" s="407">
        <v>0</v>
      </c>
      <c r="D50" s="408">
        <v>0</v>
      </c>
    </row>
    <row r="51" spans="1:5" x14ac:dyDescent="0.25">
      <c r="A51" s="748" t="s">
        <v>231</v>
      </c>
      <c r="B51" s="749"/>
      <c r="C51" s="754">
        <f>SUM(C52:C55)</f>
        <v>86224631.700000003</v>
      </c>
      <c r="D51" s="755">
        <f>SUM(D52:D55)</f>
        <v>66906173.140000008</v>
      </c>
    </row>
    <row r="52" spans="1:5" x14ac:dyDescent="0.25">
      <c r="A52" s="81"/>
      <c r="B52" s="82" t="s">
        <v>232</v>
      </c>
      <c r="C52" s="407">
        <v>10393151.369999999</v>
      </c>
      <c r="D52" s="408">
        <v>7610820.2400000002</v>
      </c>
    </row>
    <row r="53" spans="1:5" x14ac:dyDescent="0.25">
      <c r="A53" s="81"/>
      <c r="B53" s="82" t="s">
        <v>233</v>
      </c>
      <c r="C53" s="407">
        <v>75831480.329999998</v>
      </c>
      <c r="D53" s="408">
        <v>59295352.900000006</v>
      </c>
    </row>
    <row r="54" spans="1:5" x14ac:dyDescent="0.25">
      <c r="A54" s="81"/>
      <c r="B54" s="82" t="s">
        <v>234</v>
      </c>
      <c r="C54" s="407">
        <v>0</v>
      </c>
      <c r="D54" s="408">
        <v>0</v>
      </c>
    </row>
    <row r="55" spans="1:5" x14ac:dyDescent="0.25">
      <c r="A55" s="81"/>
      <c r="B55" s="82" t="s">
        <v>235</v>
      </c>
      <c r="C55" s="407">
        <v>0</v>
      </c>
      <c r="D55" s="408">
        <v>0</v>
      </c>
    </row>
    <row r="56" spans="1:5" x14ac:dyDescent="0.25">
      <c r="A56" s="748" t="s">
        <v>236</v>
      </c>
      <c r="B56" s="749"/>
      <c r="C56" s="754">
        <f>C57</f>
        <v>68179263.299999997</v>
      </c>
      <c r="D56" s="755">
        <f>D57</f>
        <v>86429825.36999999</v>
      </c>
    </row>
    <row r="57" spans="1:5" x14ac:dyDescent="0.25">
      <c r="A57" s="81"/>
      <c r="B57" s="82" t="s">
        <v>237</v>
      </c>
      <c r="C57" s="407">
        <v>68179263.299999997</v>
      </c>
      <c r="D57" s="408">
        <v>86429825.36999999</v>
      </c>
    </row>
    <row r="58" spans="1:5" x14ac:dyDescent="0.25">
      <c r="A58" s="81"/>
      <c r="B58" s="83"/>
      <c r="C58" s="407"/>
      <c r="D58" s="408"/>
    </row>
    <row r="59" spans="1:5" x14ac:dyDescent="0.25">
      <c r="A59" s="748" t="s">
        <v>238</v>
      </c>
      <c r="B59" s="749"/>
      <c r="C59" s="754">
        <f>C56+C51+C45+C31+C27+C41</f>
        <v>689210651.68000007</v>
      </c>
      <c r="D59" s="755">
        <f>D56+D51+D45+D31+D27+D41</f>
        <v>573919404.14999998</v>
      </c>
    </row>
    <row r="60" spans="1:5" x14ac:dyDescent="0.25">
      <c r="A60" s="81"/>
      <c r="B60" s="83"/>
      <c r="C60" s="407"/>
      <c r="D60" s="408"/>
    </row>
    <row r="61" spans="1:5" ht="20.25" x14ac:dyDescent="0.3">
      <c r="A61" s="748" t="s">
        <v>239</v>
      </c>
      <c r="B61" s="749"/>
      <c r="C61" s="754">
        <f>C24-C59</f>
        <v>2340417145.6900005</v>
      </c>
      <c r="D61" s="755">
        <f>D24-D59</f>
        <v>1397815833.8499999</v>
      </c>
      <c r="E61" s="330" t="str">
        <f>IF((C61-'CPCA-I-01'!F40)&gt;0.9,"ERROR!!!, NO COINCIDEN LOS MONTOS CON LO REPORTADO EN EL FORMATO ETCA-I-01","")</f>
        <v/>
      </c>
    </row>
    <row r="62" spans="1:5" ht="21" thickBot="1" x14ac:dyDescent="0.35">
      <c r="A62" s="84"/>
      <c r="B62" s="85"/>
      <c r="C62" s="85"/>
      <c r="D62" s="326"/>
      <c r="E62" s="330" t="str">
        <f>IF((D61-'CPCA-I-01'!G40)&gt;0.9,"ERROR!!!, NO COINCIDEN LOS MONTOS CON LO REPORTADO EN EL FORMATO ETCA-I-01","")</f>
        <v/>
      </c>
    </row>
    <row r="63" spans="1:5" s="321" customFormat="1" ht="16.5" customHeight="1" x14ac:dyDescent="0.25">
      <c r="A63" s="83"/>
      <c r="B63" s="334" t="s">
        <v>240</v>
      </c>
      <c r="C63" s="83"/>
      <c r="D63" s="371"/>
    </row>
    <row r="64" spans="1:5" s="321" customFormat="1" ht="16.5" customHeight="1" x14ac:dyDescent="0.25">
      <c r="A64" s="83"/>
      <c r="B64" s="83"/>
      <c r="C64" s="868"/>
      <c r="D64" s="371"/>
    </row>
    <row r="65" spans="1:4" s="321" customFormat="1" ht="16.5" customHeight="1" x14ac:dyDescent="0.25">
      <c r="A65" s="83"/>
      <c r="B65" s="83" t="s">
        <v>241</v>
      </c>
      <c r="C65" s="83" t="s">
        <v>241</v>
      </c>
      <c r="D65" s="371"/>
    </row>
    <row r="66" spans="1:4" s="321" customFormat="1" ht="16.5" customHeight="1" x14ac:dyDescent="0.25">
      <c r="A66" s="83"/>
      <c r="B66" s="83"/>
      <c r="C66" s="83"/>
      <c r="D66" s="371"/>
    </row>
    <row r="67" spans="1:4" s="321" customFormat="1" ht="16.5" customHeight="1" x14ac:dyDescent="0.3">
      <c r="A67" s="320"/>
      <c r="B67" s="37" t="s">
        <v>241</v>
      </c>
      <c r="C67" s="320"/>
      <c r="D67" s="327"/>
    </row>
    <row r="68" spans="1:4" x14ac:dyDescent="0.3">
      <c r="C68" s="74"/>
      <c r="D68" s="328" t="s">
        <v>81</v>
      </c>
    </row>
  </sheetData>
  <sheetProtection formatColumns="0" formatRows="0" insertHyperlinks="0"/>
  <mergeCells count="6">
    <mergeCell ref="A1:D1"/>
    <mergeCell ref="A15:B15"/>
    <mergeCell ref="A5:B5"/>
    <mergeCell ref="A2:D2"/>
    <mergeCell ref="A3:D3"/>
    <mergeCell ref="A4:D4"/>
  </mergeCells>
  <printOptions horizontalCentered="1"/>
  <pageMargins left="0.47244094488188981" right="0.19685039370078741" top="0.39370078740157483" bottom="0.19685039370078741" header="0.31496062992125984" footer="0.19685039370078741"/>
  <pageSetup scale="65"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4.9989318521683403E-2"/>
  </sheetPr>
  <dimension ref="A1:I43"/>
  <sheetViews>
    <sheetView view="pageBreakPreview" topLeftCell="A24" zoomScaleSheetLayoutView="100" workbookViewId="0">
      <selection activeCell="C56" sqref="C56"/>
    </sheetView>
  </sheetViews>
  <sheetFormatPr baseColWidth="10" defaultRowHeight="15" x14ac:dyDescent="0.25"/>
  <cols>
    <col min="1" max="1" width="41.5703125" customWidth="1"/>
    <col min="2" max="2" width="19.42578125" customWidth="1"/>
    <col min="3" max="3" width="17.140625" customWidth="1"/>
    <col min="4" max="4" width="15.140625" customWidth="1"/>
    <col min="5" max="5" width="19" customWidth="1"/>
    <col min="6" max="6" width="14.42578125" customWidth="1"/>
    <col min="9" max="9" width="14.140625" bestFit="1" customWidth="1"/>
  </cols>
  <sheetData>
    <row r="1" spans="1:9" x14ac:dyDescent="0.25">
      <c r="A1" s="1068" t="str">
        <f>'CPCA-I-01'!$A$1:$G$2</f>
        <v xml:space="preserve">Comision Estatal del Agua </v>
      </c>
      <c r="B1" s="1069"/>
      <c r="C1" s="1069"/>
      <c r="D1" s="1069"/>
      <c r="E1" s="1069"/>
      <c r="F1" s="1070"/>
    </row>
    <row r="2" spans="1:9" x14ac:dyDescent="0.25">
      <c r="A2" s="1071" t="s">
        <v>242</v>
      </c>
      <c r="B2" s="1072"/>
      <c r="C2" s="1072"/>
      <c r="D2" s="1072"/>
      <c r="E2" s="1072"/>
      <c r="F2" s="1073"/>
    </row>
    <row r="3" spans="1:9" x14ac:dyDescent="0.25">
      <c r="A3" s="1071" t="str">
        <f>'CPCA-I-03'!A3:D3</f>
        <v xml:space="preserve">Del  01 de Enero de 2023 al 31 de Diciembre de 2023 </v>
      </c>
      <c r="B3" s="1072"/>
      <c r="C3" s="1072"/>
      <c r="D3" s="1072"/>
      <c r="E3" s="1072"/>
      <c r="F3" s="1073"/>
    </row>
    <row r="4" spans="1:9" ht="15.75" thickBot="1" x14ac:dyDescent="0.3">
      <c r="A4" s="1074" t="str">
        <f>'CPCA-I-01'!A4:G4</f>
        <v>(Cifras en Pesos)</v>
      </c>
      <c r="B4" s="1075"/>
      <c r="C4" s="1075"/>
      <c r="D4" s="1075"/>
      <c r="E4" s="1075"/>
      <c r="F4" s="1076"/>
    </row>
    <row r="5" spans="1:9" ht="64.5" thickBot="1" x14ac:dyDescent="0.3">
      <c r="A5" s="679" t="s">
        <v>243</v>
      </c>
      <c r="B5" s="680" t="s">
        <v>244</v>
      </c>
      <c r="C5" s="680" t="s">
        <v>866</v>
      </c>
      <c r="D5" s="680" t="s">
        <v>245</v>
      </c>
      <c r="E5" s="680" t="s">
        <v>867</v>
      </c>
      <c r="F5" s="681" t="s">
        <v>246</v>
      </c>
    </row>
    <row r="6" spans="1:9" x14ac:dyDescent="0.25">
      <c r="A6" s="682"/>
      <c r="B6" s="683"/>
      <c r="C6" s="683"/>
      <c r="D6" s="683"/>
      <c r="E6" s="684"/>
      <c r="F6" s="684"/>
    </row>
    <row r="7" spans="1:9" ht="22.5" x14ac:dyDescent="0.25">
      <c r="A7" s="685" t="s">
        <v>1661</v>
      </c>
      <c r="B7" s="686">
        <f>B8+B9+B10</f>
        <v>71707551.039999992</v>
      </c>
      <c r="C7" s="687"/>
      <c r="D7" s="687"/>
      <c r="E7" s="688"/>
      <c r="F7" s="689">
        <f>SUM(B7:E7)</f>
        <v>71707551.039999992</v>
      </c>
      <c r="I7" s="882"/>
    </row>
    <row r="8" spans="1:9" x14ac:dyDescent="0.25">
      <c r="A8" s="690" t="s">
        <v>66</v>
      </c>
      <c r="B8" s="691">
        <v>71707551.039999992</v>
      </c>
      <c r="C8" s="692"/>
      <c r="D8" s="692"/>
      <c r="E8" s="693"/>
      <c r="F8" s="689">
        <f t="shared" ref="F8:F41" si="0">SUM(B8:E8)</f>
        <v>71707551.039999992</v>
      </c>
      <c r="I8" s="867"/>
    </row>
    <row r="9" spans="1:9" x14ac:dyDescent="0.25">
      <c r="A9" s="690" t="s">
        <v>67</v>
      </c>
      <c r="B9" s="691"/>
      <c r="C9" s="692"/>
      <c r="D9" s="692"/>
      <c r="E9" s="693"/>
      <c r="F9" s="689">
        <f t="shared" si="0"/>
        <v>0</v>
      </c>
    </row>
    <row r="10" spans="1:9" x14ac:dyDescent="0.25">
      <c r="A10" s="690" t="s">
        <v>68</v>
      </c>
      <c r="B10" s="691"/>
      <c r="C10" s="692"/>
      <c r="D10" s="692"/>
      <c r="E10" s="693"/>
      <c r="F10" s="689">
        <f t="shared" si="0"/>
        <v>0</v>
      </c>
    </row>
    <row r="11" spans="1:9" x14ac:dyDescent="0.25">
      <c r="A11" s="685"/>
      <c r="B11" s="694"/>
      <c r="C11" s="694"/>
      <c r="D11" s="694"/>
      <c r="E11" s="695"/>
      <c r="F11" s="695"/>
    </row>
    <row r="12" spans="1:9" ht="22.5" x14ac:dyDescent="0.25">
      <c r="A12" s="685" t="s">
        <v>1662</v>
      </c>
      <c r="B12" s="687"/>
      <c r="C12" s="686">
        <f>C14+C15+C16+C17</f>
        <v>219766028.37999994</v>
      </c>
      <c r="D12" s="686">
        <f>D13</f>
        <v>1397815833.8500001</v>
      </c>
      <c r="E12" s="688"/>
      <c r="F12" s="689">
        <f t="shared" si="0"/>
        <v>1617581862.23</v>
      </c>
    </row>
    <row r="13" spans="1:9" x14ac:dyDescent="0.25">
      <c r="A13" s="690" t="s">
        <v>239</v>
      </c>
      <c r="B13" s="692"/>
      <c r="C13" s="692"/>
      <c r="D13" s="691">
        <v>1397815833.8500001</v>
      </c>
      <c r="E13" s="693"/>
      <c r="F13" s="689">
        <f t="shared" si="0"/>
        <v>1397815833.8500001</v>
      </c>
    </row>
    <row r="14" spans="1:9" x14ac:dyDescent="0.25">
      <c r="A14" s="690" t="s">
        <v>71</v>
      </c>
      <c r="B14" s="692"/>
      <c r="C14" s="691">
        <v>571441911.92999995</v>
      </c>
      <c r="D14" s="692"/>
      <c r="E14" s="693"/>
      <c r="F14" s="689">
        <f t="shared" si="0"/>
        <v>571441911.92999995</v>
      </c>
    </row>
    <row r="15" spans="1:9" x14ac:dyDescent="0.25">
      <c r="A15" s="690" t="s">
        <v>72</v>
      </c>
      <c r="B15" s="692"/>
      <c r="C15" s="691"/>
      <c r="D15" s="692"/>
      <c r="E15" s="693"/>
      <c r="F15" s="689">
        <f t="shared" si="0"/>
        <v>0</v>
      </c>
    </row>
    <row r="16" spans="1:9" x14ac:dyDescent="0.25">
      <c r="A16" s="690" t="s">
        <v>73</v>
      </c>
      <c r="B16" s="692"/>
      <c r="C16" s="691"/>
      <c r="D16" s="692"/>
      <c r="E16" s="693"/>
      <c r="F16" s="689">
        <f t="shared" si="0"/>
        <v>0</v>
      </c>
    </row>
    <row r="17" spans="1:7" x14ac:dyDescent="0.25">
      <c r="A17" s="690" t="s">
        <v>74</v>
      </c>
      <c r="B17" s="692"/>
      <c r="C17" s="691">
        <v>-351675883.55000001</v>
      </c>
      <c r="D17" s="692"/>
      <c r="E17" s="693"/>
      <c r="F17" s="689">
        <f t="shared" si="0"/>
        <v>-351675883.55000001</v>
      </c>
    </row>
    <row r="18" spans="1:7" x14ac:dyDescent="0.25">
      <c r="A18" s="685"/>
      <c r="B18" s="694"/>
      <c r="C18" s="694"/>
      <c r="D18" s="694"/>
      <c r="E18" s="695"/>
      <c r="F18" s="695"/>
    </row>
    <row r="19" spans="1:7" ht="38.25" customHeight="1" x14ac:dyDescent="0.25">
      <c r="A19" s="685" t="s">
        <v>1663</v>
      </c>
      <c r="B19" s="692"/>
      <c r="C19" s="692"/>
      <c r="D19" s="692"/>
      <c r="E19" s="689">
        <f>E20+E21</f>
        <v>0</v>
      </c>
      <c r="F19" s="689">
        <f t="shared" si="0"/>
        <v>0</v>
      </c>
    </row>
    <row r="20" spans="1:7" x14ac:dyDescent="0.25">
      <c r="A20" s="690" t="s">
        <v>76</v>
      </c>
      <c r="B20" s="692"/>
      <c r="C20" s="692"/>
      <c r="D20" s="692"/>
      <c r="E20" s="696"/>
      <c r="F20" s="689">
        <f t="shared" si="0"/>
        <v>0</v>
      </c>
    </row>
    <row r="21" spans="1:7" x14ac:dyDescent="0.25">
      <c r="A21" s="690" t="s">
        <v>77</v>
      </c>
      <c r="B21" s="692"/>
      <c r="C21" s="692"/>
      <c r="D21" s="692"/>
      <c r="E21" s="696"/>
      <c r="F21" s="689">
        <f t="shared" si="0"/>
        <v>0</v>
      </c>
    </row>
    <row r="22" spans="1:7" x14ac:dyDescent="0.25">
      <c r="A22" s="690"/>
      <c r="B22" s="697"/>
      <c r="C22" s="697"/>
      <c r="D22" s="697"/>
      <c r="E22" s="698"/>
      <c r="F22" s="698"/>
    </row>
    <row r="23" spans="1:7" ht="28.5" customHeight="1" x14ac:dyDescent="0.25">
      <c r="A23" s="706" t="s">
        <v>1656</v>
      </c>
      <c r="B23" s="686">
        <f>B7</f>
        <v>71707551.039999992</v>
      </c>
      <c r="C23" s="686">
        <f>C12</f>
        <v>219766028.37999994</v>
      </c>
      <c r="D23" s="686">
        <f>D12</f>
        <v>1397815833.8500001</v>
      </c>
      <c r="E23" s="689">
        <f>E19</f>
        <v>0</v>
      </c>
      <c r="F23" s="689">
        <f t="shared" si="0"/>
        <v>1689289413.27</v>
      </c>
      <c r="G23" t="str">
        <f>IF((F23-'CPCA-I-01'!G49)&gt;0.99,"ERROR: DEBERÁ SER IGUAL QUE TOTAL HACIENDA PÚBLICA/PATRIMONIO DEL FORMATO ETCA-I-01","")</f>
        <v/>
      </c>
    </row>
    <row r="24" spans="1:7" x14ac:dyDescent="0.25">
      <c r="A24" s="685"/>
      <c r="B24" s="694"/>
      <c r="C24" s="694"/>
      <c r="D24" s="694"/>
      <c r="E24" s="695"/>
      <c r="F24" s="695"/>
    </row>
    <row r="25" spans="1:7" ht="22.5" x14ac:dyDescent="0.25">
      <c r="A25" s="685" t="s">
        <v>1664</v>
      </c>
      <c r="B25" s="686">
        <f>B26+B27+B28</f>
        <v>100002</v>
      </c>
      <c r="C25" s="687"/>
      <c r="D25" s="687"/>
      <c r="E25" s="688"/>
      <c r="F25" s="689">
        <f t="shared" si="0"/>
        <v>100002</v>
      </c>
    </row>
    <row r="26" spans="1:7" x14ac:dyDescent="0.25">
      <c r="A26" s="690" t="s">
        <v>66</v>
      </c>
      <c r="B26" s="691">
        <v>100002</v>
      </c>
      <c r="C26" s="692"/>
      <c r="D26" s="692"/>
      <c r="E26" s="693"/>
      <c r="F26" s="689">
        <f t="shared" si="0"/>
        <v>100002</v>
      </c>
    </row>
    <row r="27" spans="1:7" x14ac:dyDescent="0.25">
      <c r="A27" s="690" t="s">
        <v>67</v>
      </c>
      <c r="B27" s="691"/>
      <c r="C27" s="692"/>
      <c r="D27" s="692"/>
      <c r="E27" s="693"/>
      <c r="F27" s="689">
        <f t="shared" si="0"/>
        <v>0</v>
      </c>
    </row>
    <row r="28" spans="1:7" x14ac:dyDescent="0.25">
      <c r="A28" s="690" t="s">
        <v>68</v>
      </c>
      <c r="B28" s="691"/>
      <c r="C28" s="692"/>
      <c r="D28" s="692"/>
      <c r="E28" s="693"/>
      <c r="F28" s="689">
        <f t="shared" si="0"/>
        <v>0</v>
      </c>
    </row>
    <row r="29" spans="1:7" x14ac:dyDescent="0.25">
      <c r="A29" s="685"/>
      <c r="B29" s="694"/>
      <c r="C29" s="694"/>
      <c r="D29" s="694"/>
      <c r="E29" s="695"/>
      <c r="F29" s="695"/>
    </row>
    <row r="30" spans="1:7" ht="22.5" x14ac:dyDescent="0.25">
      <c r="A30" s="685" t="s">
        <v>1665</v>
      </c>
      <c r="B30" s="687"/>
      <c r="C30" s="686">
        <f>C32</f>
        <v>571441911.92999995</v>
      </c>
      <c r="D30" s="686">
        <f>D31+D32+D33+D34+D35</f>
        <v>1500490506.1600003</v>
      </c>
      <c r="E30" s="688"/>
      <c r="F30" s="689">
        <f t="shared" si="0"/>
        <v>2071932418.0900002</v>
      </c>
    </row>
    <row r="31" spans="1:7" x14ac:dyDescent="0.25">
      <c r="A31" s="690" t="s">
        <v>239</v>
      </c>
      <c r="B31" s="692"/>
      <c r="C31" s="692"/>
      <c r="D31" s="691">
        <v>2340417145.6900001</v>
      </c>
      <c r="E31" s="693"/>
      <c r="F31" s="689">
        <f t="shared" si="0"/>
        <v>2340417145.6900001</v>
      </c>
    </row>
    <row r="32" spans="1:7" x14ac:dyDescent="0.25">
      <c r="A32" s="690" t="s">
        <v>71</v>
      </c>
      <c r="B32" s="692"/>
      <c r="C32" s="691">
        <v>571441911.92999995</v>
      </c>
      <c r="D32" s="691">
        <v>-571441911.92999995</v>
      </c>
      <c r="E32" s="693"/>
      <c r="F32" s="689">
        <f t="shared" si="0"/>
        <v>0</v>
      </c>
    </row>
    <row r="33" spans="1:7" x14ac:dyDescent="0.25">
      <c r="A33" s="690" t="s">
        <v>72</v>
      </c>
      <c r="B33" s="692"/>
      <c r="C33" s="692"/>
      <c r="D33" s="691"/>
      <c r="E33" s="693"/>
      <c r="F33" s="689">
        <f t="shared" si="0"/>
        <v>0</v>
      </c>
    </row>
    <row r="34" spans="1:7" x14ac:dyDescent="0.25">
      <c r="A34" s="690" t="s">
        <v>73</v>
      </c>
      <c r="B34" s="692"/>
      <c r="C34" s="692"/>
      <c r="D34" s="691"/>
      <c r="E34" s="693"/>
      <c r="F34" s="689">
        <f t="shared" si="0"/>
        <v>0</v>
      </c>
    </row>
    <row r="35" spans="1:7" x14ac:dyDescent="0.25">
      <c r="A35" s="690" t="s">
        <v>74</v>
      </c>
      <c r="B35" s="687"/>
      <c r="C35" s="687"/>
      <c r="D35" s="691">
        <v>-268484727.60000002</v>
      </c>
      <c r="E35" s="688"/>
      <c r="F35" s="689">
        <f t="shared" si="0"/>
        <v>-268484727.60000002</v>
      </c>
    </row>
    <row r="36" spans="1:7" x14ac:dyDescent="0.25">
      <c r="A36" s="690"/>
      <c r="B36" s="697"/>
      <c r="C36" s="697"/>
      <c r="D36" s="697"/>
      <c r="E36" s="698"/>
      <c r="F36" s="698"/>
    </row>
    <row r="37" spans="1:7" ht="33.75" x14ac:dyDescent="0.25">
      <c r="A37" s="685" t="s">
        <v>1666</v>
      </c>
      <c r="B37" s="692"/>
      <c r="C37" s="692"/>
      <c r="D37" s="692"/>
      <c r="E37" s="689">
        <f>E38+E39</f>
        <v>0</v>
      </c>
      <c r="F37" s="689">
        <f t="shared" si="0"/>
        <v>0</v>
      </c>
    </row>
    <row r="38" spans="1:7" x14ac:dyDescent="0.25">
      <c r="A38" s="690" t="s">
        <v>76</v>
      </c>
      <c r="B38" s="692"/>
      <c r="C38" s="692"/>
      <c r="D38" s="692"/>
      <c r="E38" s="696"/>
      <c r="F38" s="689">
        <f t="shared" si="0"/>
        <v>0</v>
      </c>
    </row>
    <row r="39" spans="1:7" x14ac:dyDescent="0.25">
      <c r="A39" s="690" t="s">
        <v>77</v>
      </c>
      <c r="B39" s="687"/>
      <c r="C39" s="687"/>
      <c r="D39" s="687"/>
      <c r="E39" s="696"/>
      <c r="F39" s="689">
        <f t="shared" si="0"/>
        <v>0</v>
      </c>
    </row>
    <row r="40" spans="1:7" ht="15.75" thickBot="1" x14ac:dyDescent="0.3">
      <c r="A40" s="699"/>
      <c r="B40" s="700"/>
      <c r="C40" s="700"/>
      <c r="D40" s="700"/>
      <c r="E40" s="701"/>
      <c r="F40" s="701"/>
    </row>
    <row r="41" spans="1:7" ht="20.25" customHeight="1" thickBot="1" x14ac:dyDescent="0.3">
      <c r="A41" s="705" t="s">
        <v>1667</v>
      </c>
      <c r="B41" s="702">
        <f>B23+B25</f>
        <v>71807553.039999992</v>
      </c>
      <c r="C41" s="702">
        <f>C23+C30</f>
        <v>791207940.30999994</v>
      </c>
      <c r="D41" s="702">
        <f>D23+D30</f>
        <v>2898306340.0100002</v>
      </c>
      <c r="E41" s="703">
        <f>E23+E37</f>
        <v>0</v>
      </c>
      <c r="F41" s="703">
        <f t="shared" si="0"/>
        <v>3761321833.3600001</v>
      </c>
      <c r="G41" t="str">
        <f>IF((F41-'CPCA-I-01'!F49)&gt;0.99,"ERROR: DEBERÁ SER IGUAL QUE TOTAL HACIENDA PÚBLICA/PATRIMONIO DEL FORMATO ETCA-I-01","")</f>
        <v/>
      </c>
    </row>
    <row r="42" spans="1:7" x14ac:dyDescent="0.25">
      <c r="A42" s="704" t="s">
        <v>1647</v>
      </c>
      <c r="F42" s="883"/>
    </row>
    <row r="43" spans="1:7" x14ac:dyDescent="0.25">
      <c r="F43" s="867"/>
    </row>
  </sheetData>
  <sheetProtection formatColumns="0" formatRows="0"/>
  <mergeCells count="4">
    <mergeCell ref="A1:F1"/>
    <mergeCell ref="A2:F2"/>
    <mergeCell ref="A3:F3"/>
    <mergeCell ref="A4:F4"/>
  </mergeCells>
  <pageMargins left="0.7" right="0.7" top="0.75" bottom="0.75" header="0.3" footer="0.3"/>
  <pageSetup scale="7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4.9989318521683403E-2"/>
  </sheetPr>
  <dimension ref="A1:D72"/>
  <sheetViews>
    <sheetView view="pageBreakPreview" topLeftCell="A13" zoomScale="90" zoomScaleSheetLayoutView="90" workbookViewId="0">
      <selection activeCell="C56" sqref="C56"/>
    </sheetView>
  </sheetViews>
  <sheetFormatPr baseColWidth="10" defaultColWidth="11.28515625" defaultRowHeight="16.5" x14ac:dyDescent="0.3"/>
  <cols>
    <col min="1" max="1" width="80.85546875" style="37" bestFit="1" customWidth="1"/>
    <col min="2" max="3" width="17" style="37" customWidth="1"/>
    <col min="4" max="16384" width="11.28515625" style="37"/>
  </cols>
  <sheetData>
    <row r="1" spans="1:4" x14ac:dyDescent="0.3">
      <c r="A1" s="1060" t="str">
        <f>'CPCA-I-01'!A1:G1</f>
        <v xml:space="preserve">Comision Estatal del Agua </v>
      </c>
      <c r="B1" s="1060"/>
      <c r="C1" s="1060"/>
    </row>
    <row r="2" spans="1:4" s="76" customFormat="1" ht="15.75" x14ac:dyDescent="0.25">
      <c r="A2" s="1057" t="s">
        <v>3</v>
      </c>
      <c r="B2" s="1057"/>
      <c r="C2" s="1057"/>
    </row>
    <row r="3" spans="1:4" s="76" customFormat="1" x14ac:dyDescent="0.25">
      <c r="A3" s="1077" t="str">
        <f>'CPCA-I-03'!A3:D3</f>
        <v xml:space="preserve">Del  01 de Enero de 2023 al 31 de Diciembre de 2023 </v>
      </c>
      <c r="B3" s="1077"/>
      <c r="C3" s="1077"/>
    </row>
    <row r="4" spans="1:4" s="76" customFormat="1" ht="17.25" thickBot="1" x14ac:dyDescent="0.3">
      <c r="A4" s="1078" t="str">
        <f>'CPCA-I-01'!A4:G4</f>
        <v>(Cifras en Pesos)</v>
      </c>
      <c r="B4" s="1078"/>
      <c r="C4" s="1078"/>
    </row>
    <row r="5" spans="1:4" ht="30" customHeight="1" thickBot="1" x14ac:dyDescent="0.35">
      <c r="A5" s="756" t="s">
        <v>243</v>
      </c>
      <c r="B5" s="89" t="s">
        <v>247</v>
      </c>
      <c r="C5" s="90" t="s">
        <v>248</v>
      </c>
    </row>
    <row r="6" spans="1:4" ht="17.25" thickTop="1" x14ac:dyDescent="0.3">
      <c r="A6" s="409" t="s">
        <v>23</v>
      </c>
      <c r="B6" s="410">
        <f>B7+B16</f>
        <v>85764310.950000018</v>
      </c>
      <c r="C6" s="411">
        <f>C7+C16</f>
        <v>2887861893.1599998</v>
      </c>
    </row>
    <row r="7" spans="1:4" x14ac:dyDescent="0.3">
      <c r="A7" s="412" t="s">
        <v>25</v>
      </c>
      <c r="B7" s="413">
        <f>SUM(B8:B14)</f>
        <v>75815067.850000009</v>
      </c>
      <c r="C7" s="414">
        <f>SUM(C8:C14)</f>
        <v>759434558.55000019</v>
      </c>
    </row>
    <row r="8" spans="1:4" s="87" customFormat="1" ht="13.5" x14ac:dyDescent="0.25">
      <c r="A8" s="415" t="s">
        <v>27</v>
      </c>
      <c r="B8" s="416"/>
      <c r="C8" s="417">
        <v>133268926.37</v>
      </c>
      <c r="D8" s="333"/>
    </row>
    <row r="9" spans="1:4" s="87" customFormat="1" ht="13.5" x14ac:dyDescent="0.25">
      <c r="A9" s="415" t="s">
        <v>29</v>
      </c>
      <c r="B9" s="416"/>
      <c r="C9" s="417">
        <v>379512241.22000015</v>
      </c>
    </row>
    <row r="10" spans="1:4" s="87" customFormat="1" ht="13.5" x14ac:dyDescent="0.25">
      <c r="A10" s="415" t="s">
        <v>31</v>
      </c>
      <c r="B10" s="416"/>
      <c r="C10" s="417">
        <v>246653390.95999998</v>
      </c>
    </row>
    <row r="11" spans="1:4" s="87" customFormat="1" ht="13.5" x14ac:dyDescent="0.25">
      <c r="A11" s="415" t="s">
        <v>33</v>
      </c>
      <c r="B11" s="416"/>
      <c r="C11" s="417"/>
    </row>
    <row r="12" spans="1:4" s="87" customFormat="1" ht="13.5" x14ac:dyDescent="0.25">
      <c r="A12" s="415" t="s">
        <v>35</v>
      </c>
      <c r="B12" s="416">
        <v>425838.48</v>
      </c>
      <c r="C12" s="417"/>
    </row>
    <row r="13" spans="1:4" s="87" customFormat="1" ht="13.5" x14ac:dyDescent="0.25">
      <c r="A13" s="415" t="s">
        <v>37</v>
      </c>
      <c r="B13" s="416">
        <v>75389229.370000005</v>
      </c>
      <c r="C13" s="417"/>
    </row>
    <row r="14" spans="1:4" s="87" customFormat="1" ht="13.5" x14ac:dyDescent="0.25">
      <c r="A14" s="415" t="s">
        <v>39</v>
      </c>
      <c r="B14" s="416"/>
      <c r="C14" s="417"/>
    </row>
    <row r="15" spans="1:4" ht="5.25" customHeight="1" x14ac:dyDescent="0.3">
      <c r="A15" s="409"/>
      <c r="B15" s="418"/>
      <c r="C15" s="419"/>
    </row>
    <row r="16" spans="1:4" x14ac:dyDescent="0.3">
      <c r="A16" s="412" t="s">
        <v>44</v>
      </c>
      <c r="B16" s="413">
        <f>SUM(B17:B25)</f>
        <v>9949243.1000000108</v>
      </c>
      <c r="C16" s="414">
        <f>SUM(C17:C25)</f>
        <v>2128427334.6099999</v>
      </c>
    </row>
    <row r="17" spans="1:3" s="87" customFormat="1" ht="13.5" x14ac:dyDescent="0.25">
      <c r="A17" s="415" t="s">
        <v>46</v>
      </c>
      <c r="B17" s="416"/>
      <c r="C17" s="417"/>
    </row>
    <row r="18" spans="1:3" s="87" customFormat="1" ht="13.5" x14ac:dyDescent="0.25">
      <c r="A18" s="415" t="s">
        <v>48</v>
      </c>
      <c r="B18" s="416"/>
      <c r="C18" s="417">
        <v>710832020.62</v>
      </c>
    </row>
    <row r="19" spans="1:3" s="87" customFormat="1" ht="13.5" x14ac:dyDescent="0.25">
      <c r="A19" s="415" t="s">
        <v>50</v>
      </c>
      <c r="B19" s="416"/>
      <c r="C19" s="417">
        <v>1395962551.0799999</v>
      </c>
    </row>
    <row r="20" spans="1:3" s="87" customFormat="1" ht="13.5" x14ac:dyDescent="0.25">
      <c r="A20" s="415" t="s">
        <v>52</v>
      </c>
      <c r="B20" s="416"/>
      <c r="C20" s="417">
        <v>21512315.909999996</v>
      </c>
    </row>
    <row r="21" spans="1:3" s="87" customFormat="1" ht="13.5" x14ac:dyDescent="0.25">
      <c r="A21" s="415" t="s">
        <v>54</v>
      </c>
      <c r="B21" s="416"/>
      <c r="C21" s="417">
        <v>120447</v>
      </c>
    </row>
    <row r="22" spans="1:3" s="87" customFormat="1" ht="13.5" x14ac:dyDescent="0.25">
      <c r="A22" s="415" t="s">
        <v>56</v>
      </c>
      <c r="B22" s="416">
        <v>9946678.1000000108</v>
      </c>
      <c r="C22" s="417"/>
    </row>
    <row r="23" spans="1:3" s="87" customFormat="1" ht="13.5" x14ac:dyDescent="0.25">
      <c r="A23" s="415" t="s">
        <v>58</v>
      </c>
      <c r="B23" s="416">
        <v>2565</v>
      </c>
      <c r="C23" s="417"/>
    </row>
    <row r="24" spans="1:3" s="87" customFormat="1" ht="13.5" x14ac:dyDescent="0.25">
      <c r="A24" s="415" t="s">
        <v>59</v>
      </c>
      <c r="B24" s="416"/>
      <c r="C24" s="417"/>
    </row>
    <row r="25" spans="1:3" s="87" customFormat="1" ht="13.5" x14ac:dyDescent="0.25">
      <c r="A25" s="415" t="s">
        <v>60</v>
      </c>
      <c r="B25" s="416"/>
      <c r="C25" s="417"/>
    </row>
    <row r="26" spans="1:3" ht="6.75" customHeight="1" x14ac:dyDescent="0.3">
      <c r="A26" s="420"/>
      <c r="B26" s="418"/>
      <c r="C26" s="419"/>
    </row>
    <row r="27" spans="1:3" x14ac:dyDescent="0.3">
      <c r="A27" s="409" t="s">
        <v>24</v>
      </c>
      <c r="B27" s="410">
        <f>B28+B38</f>
        <v>762288561.41999984</v>
      </c>
      <c r="C27" s="411">
        <f>C28+C38</f>
        <v>32223399.300000001</v>
      </c>
    </row>
    <row r="28" spans="1:3" x14ac:dyDescent="0.3">
      <c r="A28" s="412" t="s">
        <v>26</v>
      </c>
      <c r="B28" s="413">
        <f>SUM(B29:B36)</f>
        <v>64117075.359999955</v>
      </c>
      <c r="C28" s="414">
        <f>SUM(C29:C36)</f>
        <v>1289920.53</v>
      </c>
    </row>
    <row r="29" spans="1:3" s="87" customFormat="1" ht="13.5" x14ac:dyDescent="0.25">
      <c r="A29" s="415" t="s">
        <v>28</v>
      </c>
      <c r="B29" s="416">
        <v>64117075.359999955</v>
      </c>
      <c r="C29" s="417"/>
    </row>
    <row r="30" spans="1:3" s="87" customFormat="1" ht="13.5" x14ac:dyDescent="0.25">
      <c r="A30" s="415" t="s">
        <v>30</v>
      </c>
      <c r="B30" s="416"/>
      <c r="C30" s="417">
        <v>1289920.51</v>
      </c>
    </row>
    <row r="31" spans="1:3" s="87" customFormat="1" ht="13.5" x14ac:dyDescent="0.25">
      <c r="A31" s="415" t="s">
        <v>32</v>
      </c>
      <c r="B31" s="416"/>
      <c r="C31" s="417">
        <v>0.02</v>
      </c>
    </row>
    <row r="32" spans="1:3" s="87" customFormat="1" ht="13.5" x14ac:dyDescent="0.25">
      <c r="A32" s="415" t="s">
        <v>34</v>
      </c>
      <c r="B32" s="416"/>
      <c r="C32" s="417"/>
    </row>
    <row r="33" spans="1:3" s="87" customFormat="1" ht="13.5" x14ac:dyDescent="0.25">
      <c r="A33" s="415" t="s">
        <v>36</v>
      </c>
      <c r="B33" s="416"/>
      <c r="C33" s="417"/>
    </row>
    <row r="34" spans="1:3" s="87" customFormat="1" ht="13.5" x14ac:dyDescent="0.25">
      <c r="A34" s="415" t="s">
        <v>38</v>
      </c>
      <c r="B34" s="416"/>
      <c r="C34" s="417"/>
    </row>
    <row r="35" spans="1:3" s="87" customFormat="1" ht="13.5" x14ac:dyDescent="0.25">
      <c r="A35" s="415" t="s">
        <v>40</v>
      </c>
      <c r="B35" s="416"/>
      <c r="C35" s="417"/>
    </row>
    <row r="36" spans="1:3" s="87" customFormat="1" ht="13.5" x14ac:dyDescent="0.25">
      <c r="A36" s="415" t="s">
        <v>41</v>
      </c>
      <c r="B36" s="416"/>
      <c r="C36" s="417"/>
    </row>
    <row r="37" spans="1:3" ht="6" customHeight="1" x14ac:dyDescent="0.3">
      <c r="A37" s="409"/>
      <c r="B37" s="421"/>
      <c r="C37" s="422"/>
    </row>
    <row r="38" spans="1:3" x14ac:dyDescent="0.3">
      <c r="A38" s="412" t="s">
        <v>45</v>
      </c>
      <c r="B38" s="413">
        <f>SUM(B39:B44)</f>
        <v>698171486.05999994</v>
      </c>
      <c r="C38" s="414">
        <f>SUM(C39:C44)</f>
        <v>30933478.77</v>
      </c>
    </row>
    <row r="39" spans="1:3" s="87" customFormat="1" ht="13.5" x14ac:dyDescent="0.25">
      <c r="A39" s="415" t="s">
        <v>47</v>
      </c>
      <c r="B39" s="416"/>
      <c r="C39" s="417"/>
    </row>
    <row r="40" spans="1:3" s="87" customFormat="1" ht="13.5" x14ac:dyDescent="0.25">
      <c r="A40" s="415" t="s">
        <v>49</v>
      </c>
      <c r="B40" s="416"/>
      <c r="C40" s="417"/>
    </row>
    <row r="41" spans="1:3" s="87" customFormat="1" ht="13.5" x14ac:dyDescent="0.25">
      <c r="A41" s="415" t="s">
        <v>51</v>
      </c>
      <c r="B41" s="416"/>
      <c r="C41" s="417">
        <v>30933478.77</v>
      </c>
    </row>
    <row r="42" spans="1:3" s="87" customFormat="1" ht="13.5" x14ac:dyDescent="0.25">
      <c r="A42" s="415" t="s">
        <v>53</v>
      </c>
      <c r="B42" s="416"/>
      <c r="C42" s="417"/>
    </row>
    <row r="43" spans="1:3" s="87" customFormat="1" ht="13.5" x14ac:dyDescent="0.25">
      <c r="A43" s="415" t="s">
        <v>55</v>
      </c>
      <c r="B43" s="416"/>
      <c r="C43" s="417"/>
    </row>
    <row r="44" spans="1:3" s="87" customFormat="1" ht="13.5" x14ac:dyDescent="0.25">
      <c r="A44" s="415" t="s">
        <v>57</v>
      </c>
      <c r="B44" s="416">
        <v>698171486.05999994</v>
      </c>
      <c r="C44" s="417"/>
    </row>
    <row r="45" spans="1:3" x14ac:dyDescent="0.3">
      <c r="A45" s="423"/>
      <c r="B45" s="418"/>
      <c r="C45" s="419"/>
    </row>
    <row r="46" spans="1:3" x14ac:dyDescent="0.3">
      <c r="A46" s="409" t="s">
        <v>249</v>
      </c>
      <c r="B46" s="410">
        <f>B47+B52</f>
        <v>2340517147.6899996</v>
      </c>
      <c r="C46" s="411">
        <f>C47+C52</f>
        <v>268484727.60000002</v>
      </c>
    </row>
    <row r="47" spans="1:3" x14ac:dyDescent="0.3">
      <c r="A47" s="412" t="s">
        <v>65</v>
      </c>
      <c r="B47" s="413">
        <f>SUM(B48:B50)</f>
        <v>100002.0000000149</v>
      </c>
      <c r="C47" s="414">
        <f>SUM(C48:C50)</f>
        <v>0</v>
      </c>
    </row>
    <row r="48" spans="1:3" s="87" customFormat="1" ht="13.5" x14ac:dyDescent="0.25">
      <c r="A48" s="415" t="s">
        <v>66</v>
      </c>
      <c r="B48" s="416">
        <v>100002.0000000149</v>
      </c>
      <c r="C48" s="417"/>
    </row>
    <row r="49" spans="1:3" s="87" customFormat="1" ht="13.5" x14ac:dyDescent="0.25">
      <c r="A49" s="415" t="s">
        <v>67</v>
      </c>
      <c r="B49" s="416"/>
      <c r="C49" s="417"/>
    </row>
    <row r="50" spans="1:3" s="87" customFormat="1" ht="13.5" x14ac:dyDescent="0.25">
      <c r="A50" s="415" t="s">
        <v>68</v>
      </c>
      <c r="B50" s="416"/>
      <c r="C50" s="417"/>
    </row>
    <row r="51" spans="1:3" ht="6" customHeight="1" x14ac:dyDescent="0.3">
      <c r="A51" s="412"/>
      <c r="B51" s="421"/>
      <c r="C51" s="422"/>
    </row>
    <row r="52" spans="1:3" ht="15.75" customHeight="1" x14ac:dyDescent="0.3">
      <c r="A52" s="412" t="s">
        <v>69</v>
      </c>
      <c r="B52" s="413">
        <f>SUM(B53:B57)</f>
        <v>2340417145.6899996</v>
      </c>
      <c r="C52" s="414">
        <f>SUM(C53:C57)</f>
        <v>268484727.60000002</v>
      </c>
    </row>
    <row r="53" spans="1:3" s="87" customFormat="1" ht="13.5" x14ac:dyDescent="0.25">
      <c r="A53" s="415" t="s">
        <v>70</v>
      </c>
      <c r="B53" s="416">
        <v>942601311.83999991</v>
      </c>
      <c r="C53" s="417"/>
    </row>
    <row r="54" spans="1:3" s="87" customFormat="1" ht="13.5" x14ac:dyDescent="0.25">
      <c r="A54" s="415" t="s">
        <v>71</v>
      </c>
      <c r="B54" s="416">
        <v>1397815833.8499999</v>
      </c>
      <c r="C54" s="417"/>
    </row>
    <row r="55" spans="1:3" s="87" customFormat="1" ht="13.5" x14ac:dyDescent="0.25">
      <c r="A55" s="415" t="s">
        <v>72</v>
      </c>
      <c r="B55" s="416"/>
      <c r="C55" s="417"/>
    </row>
    <row r="56" spans="1:3" s="87" customFormat="1" ht="13.5" x14ac:dyDescent="0.25">
      <c r="A56" s="415" t="s">
        <v>73</v>
      </c>
      <c r="B56" s="416"/>
      <c r="C56" s="417"/>
    </row>
    <row r="57" spans="1:3" s="87" customFormat="1" ht="13.5" x14ac:dyDescent="0.25">
      <c r="A57" s="415" t="s">
        <v>74</v>
      </c>
      <c r="B57" s="416"/>
      <c r="C57" s="417">
        <v>268484727.60000002</v>
      </c>
    </row>
    <row r="58" spans="1:3" ht="7.5" customHeight="1" x14ac:dyDescent="0.3">
      <c r="A58" s="412"/>
      <c r="B58" s="418"/>
      <c r="C58" s="419"/>
    </row>
    <row r="59" spans="1:3" x14ac:dyDescent="0.3">
      <c r="A59" s="412" t="s">
        <v>250</v>
      </c>
      <c r="B59" s="413">
        <f>SUM(B60:B61)</f>
        <v>0</v>
      </c>
      <c r="C59" s="414">
        <f>SUM(C60:C61)</f>
        <v>0</v>
      </c>
    </row>
    <row r="60" spans="1:3" s="87" customFormat="1" ht="13.5" x14ac:dyDescent="0.25">
      <c r="A60" s="415" t="s">
        <v>76</v>
      </c>
      <c r="B60" s="416"/>
      <c r="C60" s="417"/>
    </row>
    <row r="61" spans="1:3" s="87" customFormat="1" ht="14.25" thickBot="1" x14ac:dyDescent="0.3">
      <c r="A61" s="424" t="s">
        <v>77</v>
      </c>
      <c r="B61" s="425"/>
      <c r="C61" s="426"/>
    </row>
    <row r="62" spans="1:3" s="87" customFormat="1" ht="13.5" x14ac:dyDescent="0.25">
      <c r="A62" s="87" t="s">
        <v>1647</v>
      </c>
      <c r="B62" s="416"/>
      <c r="C62" s="416"/>
    </row>
    <row r="63" spans="1:3" s="87" customFormat="1" ht="13.5" x14ac:dyDescent="0.25">
      <c r="B63" s="416"/>
      <c r="C63" s="416"/>
    </row>
    <row r="64" spans="1:3" s="87" customFormat="1" ht="13.5" x14ac:dyDescent="0.25">
      <c r="B64" s="416"/>
      <c r="C64" s="416"/>
    </row>
    <row r="65" spans="1:3" s="87" customFormat="1" ht="13.5" x14ac:dyDescent="0.25">
      <c r="A65" s="427"/>
      <c r="B65" s="416"/>
      <c r="C65" s="416"/>
    </row>
    <row r="66" spans="1:3" s="87" customFormat="1" ht="13.5" x14ac:dyDescent="0.25">
      <c r="A66" s="427" t="s">
        <v>241</v>
      </c>
      <c r="B66" s="416"/>
      <c r="C66" s="416"/>
    </row>
    <row r="67" spans="1:3" s="87" customFormat="1" ht="13.5" x14ac:dyDescent="0.25">
      <c r="A67" s="427" t="s">
        <v>241</v>
      </c>
      <c r="B67" s="416"/>
      <c r="C67" s="416"/>
    </row>
    <row r="68" spans="1:3" x14ac:dyDescent="0.3">
      <c r="A68" s="87" t="s">
        <v>241</v>
      </c>
    </row>
    <row r="72" spans="1:3" x14ac:dyDescent="0.3">
      <c r="B72" s="884"/>
      <c r="C72" s="884"/>
    </row>
  </sheetData>
  <sheetProtection formatColumns="0" formatRows="0"/>
  <mergeCells count="4">
    <mergeCell ref="A1:C1"/>
    <mergeCell ref="A2:C2"/>
    <mergeCell ref="A3:C3"/>
    <mergeCell ref="A4:C4"/>
  </mergeCells>
  <pageMargins left="0.70866141732283472" right="0.70866141732283472" top="0.74803149606299213" bottom="0.74803149606299213" header="0.31496062992125984" footer="0.31496062992125984"/>
  <pageSetup scale="71" orientation="portrait"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3">
    <tabColor theme="0" tint="-4.9989318521683403E-2"/>
    <pageSetUpPr fitToPage="1"/>
  </sheetPr>
  <dimension ref="A1:E70"/>
  <sheetViews>
    <sheetView view="pageBreakPreview" topLeftCell="A4" zoomScale="140" zoomScaleSheetLayoutView="140" workbookViewId="0">
      <selection activeCell="C9" sqref="C9:C53"/>
    </sheetView>
  </sheetViews>
  <sheetFormatPr baseColWidth="10" defaultColWidth="11.28515625" defaultRowHeight="16.5" x14ac:dyDescent="0.3"/>
  <cols>
    <col min="1" max="1" width="1.5703125" style="37" customWidth="1"/>
    <col min="2" max="2" width="70.85546875" style="37" customWidth="1"/>
    <col min="3" max="4" width="12.7109375" style="37" customWidth="1"/>
    <col min="5" max="16384" width="11.28515625" style="37"/>
  </cols>
  <sheetData>
    <row r="1" spans="1:4" x14ac:dyDescent="0.3">
      <c r="A1" s="1081" t="str">
        <f>'CPCA-I-01'!A1</f>
        <v xml:space="preserve">Comision Estatal del Agua </v>
      </c>
      <c r="B1" s="1081"/>
      <c r="C1" s="1081"/>
      <c r="D1" s="1081"/>
    </row>
    <row r="2" spans="1:4" x14ac:dyDescent="0.3">
      <c r="A2" s="1058" t="s">
        <v>4</v>
      </c>
      <c r="B2" s="1058"/>
      <c r="C2" s="1058"/>
      <c r="D2" s="1058"/>
    </row>
    <row r="3" spans="1:4" x14ac:dyDescent="0.3">
      <c r="A3" s="1077" t="str">
        <f>'CPCA-I-03'!A3:G3</f>
        <v xml:space="preserve">Del  01 de Enero de 2023 al 31 de Diciembre de 2023 </v>
      </c>
      <c r="B3" s="1077"/>
      <c r="C3" s="1077"/>
      <c r="D3" s="1077"/>
    </row>
    <row r="4" spans="1:4" ht="17.25" thickBot="1" x14ac:dyDescent="0.35">
      <c r="A4" s="1084" t="str">
        <f>'CPCA-I-01'!A4:G4</f>
        <v>(Cifras en Pesos)</v>
      </c>
      <c r="B4" s="1084"/>
      <c r="C4" s="1084"/>
      <c r="D4" s="1084"/>
    </row>
    <row r="5" spans="1:4" ht="23.25" customHeight="1" thickBot="1" x14ac:dyDescent="0.35">
      <c r="A5" s="1082" t="s">
        <v>243</v>
      </c>
      <c r="B5" s="1083"/>
      <c r="C5" s="123">
        <v>2023</v>
      </c>
      <c r="D5" s="124">
        <v>2022</v>
      </c>
    </row>
    <row r="6" spans="1:4" s="92" customFormat="1" ht="12" customHeight="1" thickTop="1" x14ac:dyDescent="0.25">
      <c r="A6" s="1079" t="s">
        <v>251</v>
      </c>
      <c r="B6" s="1080"/>
      <c r="C6" s="1080"/>
      <c r="D6" s="91"/>
    </row>
    <row r="7" spans="1:4" s="92" customFormat="1" ht="12.75" customHeight="1" x14ac:dyDescent="0.25">
      <c r="A7" s="93"/>
      <c r="B7" s="94" t="s">
        <v>247</v>
      </c>
      <c r="C7" s="109">
        <f>SUM(C8:C17)</f>
        <v>3441425286.6599998</v>
      </c>
      <c r="D7" s="110">
        <f>SUM(D8:D17)</f>
        <v>2027880873.5143113</v>
      </c>
    </row>
    <row r="8" spans="1:4" s="96" customFormat="1" ht="11.1" customHeight="1" x14ac:dyDescent="0.25">
      <c r="A8" s="95"/>
      <c r="B8" s="107" t="s">
        <v>196</v>
      </c>
      <c r="C8" s="111"/>
      <c r="D8" s="112"/>
    </row>
    <row r="9" spans="1:4" s="96" customFormat="1" ht="11.1" customHeight="1" x14ac:dyDescent="0.25">
      <c r="A9" s="95"/>
      <c r="B9" s="107" t="s">
        <v>197</v>
      </c>
      <c r="C9" s="1038"/>
      <c r="D9" s="112"/>
    </row>
    <row r="10" spans="1:4" s="96" customFormat="1" ht="11.1" customHeight="1" x14ac:dyDescent="0.25">
      <c r="A10" s="95"/>
      <c r="B10" s="107" t="s">
        <v>390</v>
      </c>
      <c r="C10" s="1038"/>
      <c r="D10" s="112"/>
    </row>
    <row r="11" spans="1:4" s="96" customFormat="1" ht="11.1" customHeight="1" x14ac:dyDescent="0.25">
      <c r="A11" s="95"/>
      <c r="B11" s="107" t="s">
        <v>199</v>
      </c>
      <c r="C11" s="1038"/>
      <c r="D11" s="112"/>
    </row>
    <row r="12" spans="1:4" s="96" customFormat="1" ht="11.1" customHeight="1" x14ac:dyDescent="0.25">
      <c r="A12" s="95"/>
      <c r="B12" s="107" t="s">
        <v>391</v>
      </c>
      <c r="C12" s="1038">
        <v>17883398.41</v>
      </c>
      <c r="D12" s="112">
        <v>1566328.38</v>
      </c>
    </row>
    <row r="13" spans="1:4" s="96" customFormat="1" ht="11.1" customHeight="1" x14ac:dyDescent="0.25">
      <c r="A13" s="95"/>
      <c r="B13" s="107" t="s">
        <v>878</v>
      </c>
      <c r="C13" s="1038"/>
      <c r="D13" s="112"/>
    </row>
    <row r="14" spans="1:4" s="96" customFormat="1" ht="11.1" customHeight="1" x14ac:dyDescent="0.25">
      <c r="A14" s="95"/>
      <c r="B14" s="107" t="s">
        <v>892</v>
      </c>
      <c r="C14" s="1038">
        <v>232326377.46999997</v>
      </c>
      <c r="D14" s="112">
        <v>205594725.67000005</v>
      </c>
    </row>
    <row r="15" spans="1:4" s="96" customFormat="1" ht="25.5" customHeight="1" x14ac:dyDescent="0.25">
      <c r="A15" s="95"/>
      <c r="B15" s="107" t="s">
        <v>879</v>
      </c>
      <c r="C15" s="1038">
        <v>2182114220.6599998</v>
      </c>
      <c r="D15" s="112">
        <v>1250522657.0799999</v>
      </c>
    </row>
    <row r="16" spans="1:4" s="96" customFormat="1" ht="12" customHeight="1" x14ac:dyDescent="0.25">
      <c r="A16" s="95"/>
      <c r="B16" s="107" t="s">
        <v>887</v>
      </c>
      <c r="C16" s="1038">
        <v>511154850.60000002</v>
      </c>
      <c r="D16" s="112">
        <v>411177677.03431153</v>
      </c>
    </row>
    <row r="17" spans="1:4" s="96" customFormat="1" ht="12" customHeight="1" x14ac:dyDescent="0.25">
      <c r="A17" s="95"/>
      <c r="B17" s="107" t="s">
        <v>252</v>
      </c>
      <c r="C17" s="1038">
        <v>497946439.51999998</v>
      </c>
      <c r="D17" s="112">
        <v>159019485.34999999</v>
      </c>
    </row>
    <row r="18" spans="1:4" s="92" customFormat="1" ht="13.5" customHeight="1" x14ac:dyDescent="0.25">
      <c r="A18" s="93"/>
      <c r="B18" s="94" t="s">
        <v>248</v>
      </c>
      <c r="C18" s="1039">
        <f>SUM(C19:C34)</f>
        <v>1336158791.25</v>
      </c>
      <c r="D18" s="110">
        <f>SUM(D19:D34)</f>
        <v>661563877.70000005</v>
      </c>
    </row>
    <row r="19" spans="1:4" s="92" customFormat="1" ht="11.1" customHeight="1" x14ac:dyDescent="0.25">
      <c r="A19" s="93"/>
      <c r="B19" s="107" t="s">
        <v>210</v>
      </c>
      <c r="C19" s="1038">
        <v>236451307.05000001</v>
      </c>
      <c r="D19" s="112">
        <v>227333900.41999999</v>
      </c>
    </row>
    <row r="20" spans="1:4" s="92" customFormat="1" ht="11.1" customHeight="1" x14ac:dyDescent="0.25">
      <c r="A20" s="93"/>
      <c r="B20" s="107" t="s">
        <v>211</v>
      </c>
      <c r="C20" s="1038">
        <v>24745633.309999999</v>
      </c>
      <c r="D20" s="112">
        <v>19850170.109999999</v>
      </c>
    </row>
    <row r="21" spans="1:4" s="92" customFormat="1" ht="11.1" customHeight="1" x14ac:dyDescent="0.25">
      <c r="A21" s="93"/>
      <c r="B21" s="107" t="s">
        <v>212</v>
      </c>
      <c r="C21" s="1038">
        <v>239134501.09999999</v>
      </c>
      <c r="D21" s="112">
        <v>132979663.93000001</v>
      </c>
    </row>
    <row r="22" spans="1:4" s="92" customFormat="1" ht="12.75" customHeight="1" x14ac:dyDescent="0.25">
      <c r="A22" s="93"/>
      <c r="B22" s="107" t="s">
        <v>213</v>
      </c>
      <c r="C22" s="1038">
        <v>26152859.82</v>
      </c>
      <c r="D22" s="112">
        <v>22561354.140000001</v>
      </c>
    </row>
    <row r="23" spans="1:4" s="92" customFormat="1" ht="11.1" customHeight="1" x14ac:dyDescent="0.25">
      <c r="A23" s="93"/>
      <c r="B23" s="107" t="s">
        <v>253</v>
      </c>
      <c r="C23" s="1038">
        <v>0</v>
      </c>
      <c r="D23" s="112">
        <v>0</v>
      </c>
    </row>
    <row r="24" spans="1:4" s="92" customFormat="1" ht="11.1" customHeight="1" x14ac:dyDescent="0.25">
      <c r="A24" s="93"/>
      <c r="B24" s="107" t="s">
        <v>254</v>
      </c>
      <c r="C24" s="1038"/>
      <c r="D24" s="112"/>
    </row>
    <row r="25" spans="1:4" s="92" customFormat="1" ht="11.1" customHeight="1" x14ac:dyDescent="0.25">
      <c r="A25" s="93"/>
      <c r="B25" s="107" t="s">
        <v>216</v>
      </c>
      <c r="C25" s="1038"/>
      <c r="D25" s="112"/>
    </row>
    <row r="26" spans="1:4" s="92" customFormat="1" ht="11.1" customHeight="1" x14ac:dyDescent="0.25">
      <c r="A26" s="93"/>
      <c r="B26" s="107" t="s">
        <v>217</v>
      </c>
      <c r="C26" s="1038"/>
      <c r="D26" s="112"/>
    </row>
    <row r="27" spans="1:4" s="92" customFormat="1" ht="11.1" customHeight="1" x14ac:dyDescent="0.25">
      <c r="A27" s="93"/>
      <c r="B27" s="107" t="s">
        <v>218</v>
      </c>
      <c r="C27" s="1038"/>
      <c r="D27" s="112"/>
    </row>
    <row r="28" spans="1:4" s="92" customFormat="1" ht="11.1" customHeight="1" x14ac:dyDescent="0.25">
      <c r="A28" s="93"/>
      <c r="B28" s="107" t="s">
        <v>219</v>
      </c>
      <c r="C28" s="1038"/>
      <c r="D28" s="112"/>
    </row>
    <row r="29" spans="1:4" s="92" customFormat="1" ht="11.1" customHeight="1" x14ac:dyDescent="0.25">
      <c r="A29" s="93"/>
      <c r="B29" s="107" t="s">
        <v>220</v>
      </c>
      <c r="C29" s="1038"/>
      <c r="D29" s="112"/>
    </row>
    <row r="30" spans="1:4" s="92" customFormat="1" ht="11.1" customHeight="1" x14ac:dyDescent="0.25">
      <c r="A30" s="93"/>
      <c r="B30" s="107" t="s">
        <v>221</v>
      </c>
      <c r="C30" s="1038"/>
      <c r="D30" s="112"/>
    </row>
    <row r="31" spans="1:4" s="92" customFormat="1" ht="11.1" customHeight="1" x14ac:dyDescent="0.25">
      <c r="A31" s="93"/>
      <c r="B31" s="107" t="s">
        <v>255</v>
      </c>
      <c r="C31" s="1038"/>
      <c r="D31" s="112"/>
    </row>
    <row r="32" spans="1:4" s="92" customFormat="1" ht="11.1" customHeight="1" x14ac:dyDescent="0.25">
      <c r="A32" s="93"/>
      <c r="B32" s="107" t="s">
        <v>66</v>
      </c>
      <c r="C32" s="1038"/>
      <c r="D32" s="112"/>
    </row>
    <row r="33" spans="1:4" s="92" customFormat="1" ht="11.1" customHeight="1" x14ac:dyDescent="0.25">
      <c r="A33" s="93"/>
      <c r="B33" s="107" t="s">
        <v>224</v>
      </c>
      <c r="C33" s="1038"/>
      <c r="D33" s="112"/>
    </row>
    <row r="34" spans="1:4" s="92" customFormat="1" ht="11.1" customHeight="1" x14ac:dyDescent="0.25">
      <c r="A34" s="93"/>
      <c r="B34" s="107" t="s">
        <v>256</v>
      </c>
      <c r="C34" s="1038">
        <v>809674489.97000003</v>
      </c>
      <c r="D34" s="112">
        <v>258838789.10000002</v>
      </c>
    </row>
    <row r="35" spans="1:4" s="92" customFormat="1" ht="12" customHeight="1" x14ac:dyDescent="0.25">
      <c r="A35" s="97" t="s">
        <v>257</v>
      </c>
      <c r="B35" s="98"/>
      <c r="C35" s="1040">
        <f>C7-C18</f>
        <v>2105266495.4099998</v>
      </c>
      <c r="D35" s="114">
        <f>D7-D18</f>
        <v>1366316995.8143113</v>
      </c>
    </row>
    <row r="36" spans="1:4" s="92" customFormat="1" ht="4.5" customHeight="1" x14ac:dyDescent="0.25">
      <c r="A36" s="99"/>
      <c r="B36" s="100"/>
      <c r="C36" s="1041"/>
      <c r="D36" s="115"/>
    </row>
    <row r="37" spans="1:4" s="92" customFormat="1" ht="12.75" x14ac:dyDescent="0.25">
      <c r="A37" s="101" t="s">
        <v>258</v>
      </c>
      <c r="B37" s="94"/>
      <c r="C37" s="1042"/>
      <c r="D37" s="116"/>
    </row>
    <row r="38" spans="1:4" s="92" customFormat="1" ht="10.5" customHeight="1" x14ac:dyDescent="0.25">
      <c r="A38" s="93"/>
      <c r="B38" s="94" t="s">
        <v>247</v>
      </c>
      <c r="C38" s="1039">
        <f>SUM(C39:C41)</f>
        <v>0</v>
      </c>
      <c r="D38" s="110">
        <f>SUM(D39:D41)</f>
        <v>0</v>
      </c>
    </row>
    <row r="39" spans="1:4" s="92" customFormat="1" ht="11.1" customHeight="1" x14ac:dyDescent="0.25">
      <c r="A39" s="93"/>
      <c r="B39" s="108" t="s">
        <v>50</v>
      </c>
      <c r="C39" s="1038"/>
      <c r="D39" s="112"/>
    </row>
    <row r="40" spans="1:4" s="92" customFormat="1" ht="11.1" customHeight="1" x14ac:dyDescent="0.25">
      <c r="A40" s="93"/>
      <c r="B40" s="108" t="s">
        <v>52</v>
      </c>
      <c r="C40" s="1038"/>
      <c r="D40" s="112"/>
    </row>
    <row r="41" spans="1:4" s="92" customFormat="1" ht="11.1" customHeight="1" x14ac:dyDescent="0.25">
      <c r="A41" s="93"/>
      <c r="B41" s="108" t="s">
        <v>259</v>
      </c>
      <c r="C41" s="1038"/>
      <c r="D41" s="112"/>
    </row>
    <row r="42" spans="1:4" s="92" customFormat="1" ht="10.5" customHeight="1" x14ac:dyDescent="0.25">
      <c r="A42" s="93"/>
      <c r="B42" s="94" t="s">
        <v>248</v>
      </c>
      <c r="C42" s="1039">
        <f>SUM(C43:C45)</f>
        <v>1903298618.23</v>
      </c>
      <c r="D42" s="110">
        <f>SUM(D43:D45)</f>
        <v>447793912.14000005</v>
      </c>
    </row>
    <row r="43" spans="1:4" s="92" customFormat="1" ht="11.1" customHeight="1" x14ac:dyDescent="0.25">
      <c r="A43" s="93"/>
      <c r="B43" s="108" t="s">
        <v>50</v>
      </c>
      <c r="C43" s="1038">
        <v>1882674905.8399999</v>
      </c>
      <c r="D43" s="112">
        <v>441804754.10000002</v>
      </c>
    </row>
    <row r="44" spans="1:4" s="92" customFormat="1" ht="11.1" customHeight="1" x14ac:dyDescent="0.25">
      <c r="A44" s="93"/>
      <c r="B44" s="108" t="s">
        <v>52</v>
      </c>
      <c r="C44" s="1038">
        <v>20623712.390000001</v>
      </c>
      <c r="D44" s="112">
        <v>5989158.04</v>
      </c>
    </row>
    <row r="45" spans="1:4" s="92" customFormat="1" ht="11.1" customHeight="1" x14ac:dyDescent="0.25">
      <c r="A45" s="93"/>
      <c r="B45" s="108" t="s">
        <v>260</v>
      </c>
      <c r="C45" s="1038"/>
      <c r="D45" s="112"/>
    </row>
    <row r="46" spans="1:4" s="92" customFormat="1" ht="12" customHeight="1" x14ac:dyDescent="0.25">
      <c r="A46" s="97" t="s">
        <v>261</v>
      </c>
      <c r="B46" s="98"/>
      <c r="C46" s="1040">
        <f>C38-C42</f>
        <v>-1903298618.23</v>
      </c>
      <c r="D46" s="114">
        <f>D38-D42</f>
        <v>-447793912.14000005</v>
      </c>
    </row>
    <row r="47" spans="1:4" s="92" customFormat="1" ht="2.25" customHeight="1" x14ac:dyDescent="0.25">
      <c r="A47" s="99"/>
      <c r="B47" s="100"/>
      <c r="C47" s="1043"/>
      <c r="D47" s="118"/>
    </row>
    <row r="48" spans="1:4" s="92" customFormat="1" ht="12" customHeight="1" x14ac:dyDescent="0.25">
      <c r="A48" s="101" t="s">
        <v>262</v>
      </c>
      <c r="B48" s="94"/>
      <c r="C48" s="1042"/>
      <c r="D48" s="116"/>
    </row>
    <row r="49" spans="1:5" s="92" customFormat="1" ht="12.75" x14ac:dyDescent="0.25">
      <c r="A49" s="93"/>
      <c r="B49" s="94" t="s">
        <v>247</v>
      </c>
      <c r="C49" s="1039">
        <f>C50+C53</f>
        <v>0</v>
      </c>
      <c r="D49" s="110">
        <f>D50+D53</f>
        <v>0</v>
      </c>
    </row>
    <row r="50" spans="1:5" s="92" customFormat="1" ht="11.1" customHeight="1" x14ac:dyDescent="0.25">
      <c r="A50" s="93"/>
      <c r="B50" s="108" t="s">
        <v>263</v>
      </c>
      <c r="C50" s="1038">
        <f>C51+C52</f>
        <v>0</v>
      </c>
      <c r="D50" s="112">
        <f>D51+D52</f>
        <v>0</v>
      </c>
    </row>
    <row r="51" spans="1:5" s="92" customFormat="1" ht="11.1" customHeight="1" x14ac:dyDescent="0.25">
      <c r="A51" s="93"/>
      <c r="B51" s="108" t="s">
        <v>895</v>
      </c>
      <c r="C51" s="1038">
        <v>0</v>
      </c>
      <c r="D51" s="112">
        <v>0</v>
      </c>
    </row>
    <row r="52" spans="1:5" s="92" customFormat="1" ht="11.1" customHeight="1" x14ac:dyDescent="0.25">
      <c r="A52" s="93"/>
      <c r="B52" s="108" t="s">
        <v>896</v>
      </c>
      <c r="C52" s="1038">
        <v>0</v>
      </c>
      <c r="D52" s="112">
        <v>0</v>
      </c>
    </row>
    <row r="53" spans="1:5" s="92" customFormat="1" ht="11.1" customHeight="1" x14ac:dyDescent="0.25">
      <c r="A53" s="93"/>
      <c r="B53" s="108" t="s">
        <v>264</v>
      </c>
      <c r="C53" s="1038">
        <v>0</v>
      </c>
      <c r="D53" s="112">
        <v>0</v>
      </c>
    </row>
    <row r="54" spans="1:5" s="92" customFormat="1" ht="11.25" customHeight="1" x14ac:dyDescent="0.25">
      <c r="A54" s="93"/>
      <c r="B54" s="94" t="s">
        <v>248</v>
      </c>
      <c r="C54" s="109">
        <f>C55+C58</f>
        <v>68698950.810000002</v>
      </c>
      <c r="D54" s="110">
        <f>D55+D58</f>
        <v>62775989.620000005</v>
      </c>
    </row>
    <row r="55" spans="1:5" s="92" customFormat="1" ht="11.1" customHeight="1" x14ac:dyDescent="0.25">
      <c r="A55" s="93"/>
      <c r="B55" s="108" t="s">
        <v>265</v>
      </c>
      <c r="C55" s="111">
        <f>C56+C57</f>
        <v>9332925.6999999993</v>
      </c>
      <c r="D55" s="112">
        <f>D56+D57</f>
        <v>14110053.239999998</v>
      </c>
    </row>
    <row r="56" spans="1:5" s="92" customFormat="1" ht="11.1" customHeight="1" x14ac:dyDescent="0.25">
      <c r="A56" s="93"/>
      <c r="B56" s="108" t="s">
        <v>895</v>
      </c>
      <c r="C56" s="111">
        <v>9332925.6999999993</v>
      </c>
      <c r="D56" s="112">
        <v>14110053.239999998</v>
      </c>
    </row>
    <row r="57" spans="1:5" s="92" customFormat="1" ht="11.1" customHeight="1" x14ac:dyDescent="0.25">
      <c r="A57" s="93"/>
      <c r="B57" s="108" t="s">
        <v>896</v>
      </c>
      <c r="C57" s="111"/>
      <c r="D57" s="112"/>
    </row>
    <row r="58" spans="1:5" s="92" customFormat="1" ht="11.1" customHeight="1" x14ac:dyDescent="0.25">
      <c r="A58" s="93"/>
      <c r="B58" s="108" t="s">
        <v>266</v>
      </c>
      <c r="C58" s="111">
        <v>59366025.109999999</v>
      </c>
      <c r="D58" s="112">
        <v>48665936.380000003</v>
      </c>
    </row>
    <row r="59" spans="1:5" s="92" customFormat="1" ht="12" customHeight="1" x14ac:dyDescent="0.25">
      <c r="A59" s="97" t="s">
        <v>267</v>
      </c>
      <c r="B59" s="98"/>
      <c r="C59" s="113">
        <f>C49-C54</f>
        <v>-68698950.810000002</v>
      </c>
      <c r="D59" s="114">
        <f>D49-D54</f>
        <v>-62775989.620000005</v>
      </c>
    </row>
    <row r="60" spans="1:5" s="92" customFormat="1" ht="2.25" customHeight="1" x14ac:dyDescent="0.25">
      <c r="A60" s="99"/>
      <c r="B60" s="100"/>
      <c r="C60" s="117"/>
      <c r="D60" s="118"/>
    </row>
    <row r="61" spans="1:5" s="92" customFormat="1" ht="12" customHeight="1" x14ac:dyDescent="0.25">
      <c r="A61" s="97" t="s">
        <v>268</v>
      </c>
      <c r="B61" s="102"/>
      <c r="C61" s="119">
        <f>C59+C46+C35</f>
        <v>133268926.36999989</v>
      </c>
      <c r="D61" s="120">
        <f>D59+D46+D35</f>
        <v>855747094.05431128</v>
      </c>
    </row>
    <row r="62" spans="1:5" ht="2.25" customHeight="1" x14ac:dyDescent="0.3">
      <c r="A62" s="103"/>
      <c r="B62" s="104"/>
      <c r="C62" s="117"/>
      <c r="D62" s="118"/>
    </row>
    <row r="63" spans="1:5" s="92" customFormat="1" ht="12" customHeight="1" x14ac:dyDescent="0.25">
      <c r="A63" s="97" t="s">
        <v>269</v>
      </c>
      <c r="B63" s="98"/>
      <c r="C63" s="111">
        <v>957189133.86000001</v>
      </c>
      <c r="D63" s="112">
        <v>101442039.81</v>
      </c>
      <c r="E63" s="332" t="str">
        <f>IF(C63-'CPCA-I-01'!C8&gt;0.99,"ERROR!!!, NO COINCIDEN LOS MONTOS CON LO REPORTADO EN EL FORMATO ETCA-I-01 EN EL EJERCICIO 2015","")</f>
        <v/>
      </c>
    </row>
    <row r="64" spans="1:5" s="92" customFormat="1" ht="12" customHeight="1" thickBot="1" x14ac:dyDescent="0.3">
      <c r="A64" s="106" t="s">
        <v>270</v>
      </c>
      <c r="B64" s="105"/>
      <c r="C64" s="121">
        <f>C63+C61</f>
        <v>1090458060.23</v>
      </c>
      <c r="D64" s="122">
        <f>D63+D61</f>
        <v>957189133.86431122</v>
      </c>
      <c r="E64" s="332" t="str">
        <f>IF(C64-'CPCA-I-01'!B8&gt;0.99,"ERROR!!!, NO COINCIDEN LOS MONTOS CON LO REPORTADO EN EL FORMATO ETCA-I-01","")</f>
        <v/>
      </c>
    </row>
    <row r="65" spans="1:5" s="92" customFormat="1" ht="12" customHeight="1" x14ac:dyDescent="0.25">
      <c r="A65" s="92" t="s">
        <v>240</v>
      </c>
      <c r="D65" s="881"/>
      <c r="E65" s="456"/>
    </row>
    <row r="66" spans="1:5" s="92" customFormat="1" ht="12" customHeight="1" x14ac:dyDescent="0.25">
      <c r="E66" s="456"/>
    </row>
    <row r="67" spans="1:5" s="92" customFormat="1" ht="12" customHeight="1" x14ac:dyDescent="0.25">
      <c r="A67" s="98"/>
      <c r="B67" s="102"/>
      <c r="C67" s="119"/>
      <c r="D67" s="119"/>
      <c r="E67" s="332"/>
    </row>
    <row r="68" spans="1:5" s="92" customFormat="1" ht="12" customHeight="1" x14ac:dyDescent="0.25">
      <c r="A68" s="98"/>
      <c r="B68" s="102"/>
      <c r="C68" s="119"/>
      <c r="D68" s="119"/>
      <c r="E68" s="332"/>
    </row>
    <row r="69" spans="1:5" s="92" customFormat="1" ht="12" customHeight="1" x14ac:dyDescent="0.25">
      <c r="A69" s="98"/>
      <c r="B69" s="102"/>
      <c r="C69" s="119"/>
      <c r="D69" s="119"/>
      <c r="E69" s="332"/>
    </row>
    <row r="70" spans="1:5" ht="12" customHeight="1" x14ac:dyDescent="0.3">
      <c r="A70" s="87" t="s">
        <v>241</v>
      </c>
    </row>
  </sheetData>
  <sheetProtection insertHyperlinks="0"/>
  <mergeCells count="6">
    <mergeCell ref="A6:C6"/>
    <mergeCell ref="A1:D1"/>
    <mergeCell ref="A2:D2"/>
    <mergeCell ref="A3:D3"/>
    <mergeCell ref="A5:B5"/>
    <mergeCell ref="A4:D4"/>
  </mergeCells>
  <printOptions horizontalCentered="1"/>
  <pageMargins left="0.39370078740157483" right="0.39370078740157483" top="0.39370078740157483" bottom="0.39370078740157483" header="0.31496062992125984" footer="0.31496062992125984"/>
  <pageSetup scale="93"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theme="0" tint="-4.9989318521683403E-2"/>
    <pageSetUpPr fitToPage="1"/>
  </sheetPr>
  <dimension ref="A1:H33"/>
  <sheetViews>
    <sheetView view="pageBreakPreview" topLeftCell="A13" zoomScaleSheetLayoutView="100" workbookViewId="0">
      <selection activeCell="C56" sqref="C56"/>
    </sheetView>
  </sheetViews>
  <sheetFormatPr baseColWidth="10" defaultColWidth="11.28515625" defaultRowHeight="16.5" x14ac:dyDescent="0.25"/>
  <cols>
    <col min="1" max="1" width="1.28515625" style="88" customWidth="1"/>
    <col min="2" max="2" width="43" style="88" customWidth="1"/>
    <col min="3" max="5" width="12.7109375" style="88" customWidth="1"/>
    <col min="6" max="6" width="14.85546875" style="88" customWidth="1"/>
    <col min="7" max="7" width="14" style="88" customWidth="1"/>
    <col min="8" max="8" width="63.85546875" style="88" customWidth="1"/>
    <col min="9" max="16384" width="11.28515625" style="88"/>
  </cols>
  <sheetData>
    <row r="1" spans="1:8" x14ac:dyDescent="0.25">
      <c r="A1" s="1087" t="str">
        <f>'CPCA-I-01'!A1</f>
        <v xml:space="preserve">Comision Estatal del Agua </v>
      </c>
      <c r="B1" s="1087"/>
      <c r="C1" s="1087"/>
      <c r="D1" s="1087"/>
      <c r="E1" s="1087"/>
      <c r="F1" s="1087"/>
      <c r="G1" s="1087"/>
    </row>
    <row r="2" spans="1:8" s="125" customFormat="1" ht="18" x14ac:dyDescent="0.25">
      <c r="A2" s="1087" t="s">
        <v>5</v>
      </c>
      <c r="B2" s="1087"/>
      <c r="C2" s="1087"/>
      <c r="D2" s="1087"/>
      <c r="E2" s="1087"/>
      <c r="F2" s="1087"/>
      <c r="G2" s="1087"/>
      <c r="H2" s="323"/>
    </row>
    <row r="3" spans="1:8" s="125" customFormat="1" x14ac:dyDescent="0.25">
      <c r="A3" s="1088" t="str">
        <f>'CPCA-I-03'!A3:D3</f>
        <v xml:space="preserve">Del  01 de Enero de 2023 al 31 de Diciembre de 2023 </v>
      </c>
      <c r="B3" s="1088"/>
      <c r="C3" s="1088"/>
      <c r="D3" s="1088"/>
      <c r="E3" s="1088"/>
      <c r="F3" s="1088"/>
      <c r="G3" s="1088"/>
    </row>
    <row r="4" spans="1:8" s="127" customFormat="1" ht="17.25" thickBot="1" x14ac:dyDescent="0.3">
      <c r="A4" s="126"/>
      <c r="B4" s="1059" t="s">
        <v>1645</v>
      </c>
      <c r="C4" s="1059"/>
      <c r="D4" s="1059"/>
      <c r="E4" s="1059"/>
      <c r="F4" s="1059"/>
      <c r="G4" s="1059"/>
    </row>
    <row r="5" spans="1:8" s="128" customFormat="1" ht="50.25" thickBot="1" x14ac:dyDescent="0.3">
      <c r="A5" s="1085" t="s">
        <v>243</v>
      </c>
      <c r="B5" s="1086"/>
      <c r="C5" s="131" t="s">
        <v>1670</v>
      </c>
      <c r="D5" s="131" t="s">
        <v>1671</v>
      </c>
      <c r="E5" s="131" t="s">
        <v>1672</v>
      </c>
      <c r="F5" s="131" t="s">
        <v>1673</v>
      </c>
      <c r="G5" s="132" t="s">
        <v>1674</v>
      </c>
    </row>
    <row r="6" spans="1:8" ht="20.100000000000001" customHeight="1" x14ac:dyDescent="0.25">
      <c r="A6" s="428"/>
      <c r="B6" s="429"/>
      <c r="C6" s="430"/>
      <c r="D6" s="430"/>
      <c r="E6" s="430"/>
      <c r="F6" s="430"/>
      <c r="G6" s="431"/>
    </row>
    <row r="7" spans="1:8" ht="20.100000000000001" customHeight="1" x14ac:dyDescent="0.25">
      <c r="A7" s="432" t="s">
        <v>23</v>
      </c>
      <c r="B7" s="433"/>
      <c r="C7" s="434">
        <f>C9+C18</f>
        <v>2372981883.9000001</v>
      </c>
      <c r="D7" s="434">
        <f>D9+D18</f>
        <v>8264952773.1399994</v>
      </c>
      <c r="E7" s="434">
        <f>E9+E18</f>
        <v>5462855190.9300013</v>
      </c>
      <c r="F7" s="434">
        <f>F9+F18</f>
        <v>5175079466.1099977</v>
      </c>
      <c r="G7" s="678">
        <f>G9+G18</f>
        <v>2802097582.2099977</v>
      </c>
      <c r="H7" s="315" t="str">
        <f>IF(F7&lt;&gt;'CPCA-I-01'!B32,"ERROR!!!!! EL MONTO NO COINCIDE CON LO REPORTADO EN EL FORMATO ETCA-I-01 EN EL TOTAL ","")</f>
        <v/>
      </c>
    </row>
    <row r="8" spans="1:8" ht="20.100000000000001" customHeight="1" x14ac:dyDescent="0.25">
      <c r="A8" s="437"/>
      <c r="B8" s="438"/>
      <c r="C8" s="439"/>
      <c r="D8" s="439"/>
      <c r="E8" s="439"/>
      <c r="F8" s="439"/>
      <c r="G8" s="440"/>
    </row>
    <row r="9" spans="1:8" ht="20.100000000000001" customHeight="1" x14ac:dyDescent="0.25">
      <c r="A9" s="437"/>
      <c r="B9" s="438" t="s">
        <v>25</v>
      </c>
      <c r="C9" s="434">
        <f>SUM(C10:C16)</f>
        <v>1525852172.0900002</v>
      </c>
      <c r="D9" s="434">
        <f>SUM(D10:D16)</f>
        <v>5806790816.3699989</v>
      </c>
      <c r="E9" s="434">
        <f>SUM(E10:E16)</f>
        <v>5123171325.670001</v>
      </c>
      <c r="F9" s="435">
        <f>C9+D9-E9</f>
        <v>2209471662.7899981</v>
      </c>
      <c r="G9" s="436">
        <f>F9-C9</f>
        <v>683619490.6999979</v>
      </c>
      <c r="H9" s="315" t="str">
        <f>IF(F9&lt;&gt;'CPCA-I-01'!B17,"ERROR!!!!! EL MONTO NO COINCIDE CON LO REPORTADO EN EL FORMATO ETCA-I-01 EN EL TOTAL","")</f>
        <v/>
      </c>
    </row>
    <row r="10" spans="1:8" ht="20.100000000000001" customHeight="1" x14ac:dyDescent="0.25">
      <c r="A10" s="441"/>
      <c r="B10" s="442" t="s">
        <v>27</v>
      </c>
      <c r="C10" s="439">
        <v>957189133.86000001</v>
      </c>
      <c r="D10" s="439">
        <v>4014712979.4200001</v>
      </c>
      <c r="E10" s="439">
        <v>3881444053.0500002</v>
      </c>
      <c r="F10" s="443">
        <f>C10+D10-E10</f>
        <v>1090458060.2299995</v>
      </c>
      <c r="G10" s="444">
        <f>F10-C10</f>
        <v>133268926.36999953</v>
      </c>
    </row>
    <row r="11" spans="1:8" ht="20.100000000000001" customHeight="1" x14ac:dyDescent="0.25">
      <c r="A11" s="441"/>
      <c r="B11" s="442" t="s">
        <v>29</v>
      </c>
      <c r="C11" s="439">
        <v>1015779646.89</v>
      </c>
      <c r="D11" s="439">
        <v>1091286229.4000001</v>
      </c>
      <c r="E11" s="439">
        <v>711773988.17999995</v>
      </c>
      <c r="F11" s="443">
        <f t="shared" ref="F11:F16" si="0">C11+D11-E11</f>
        <v>1395291888.1100001</v>
      </c>
      <c r="G11" s="444">
        <f t="shared" ref="G11:G16" si="1">F11-C11</f>
        <v>379512241.22000015</v>
      </c>
    </row>
    <row r="12" spans="1:8" ht="20.100000000000001" customHeight="1" x14ac:dyDescent="0.25">
      <c r="A12" s="441"/>
      <c r="B12" s="442" t="s">
        <v>31</v>
      </c>
      <c r="C12" s="439">
        <v>124199491.26000001</v>
      </c>
      <c r="D12" s="439">
        <v>696179859.05999994</v>
      </c>
      <c r="E12" s="439">
        <v>449526468.10000002</v>
      </c>
      <c r="F12" s="443">
        <f t="shared" si="0"/>
        <v>370852882.21999991</v>
      </c>
      <c r="G12" s="444">
        <f t="shared" si="1"/>
        <v>246653390.95999992</v>
      </c>
    </row>
    <row r="13" spans="1:8" ht="20.100000000000001" customHeight="1" x14ac:dyDescent="0.25">
      <c r="A13" s="441"/>
      <c r="B13" s="442" t="s">
        <v>33</v>
      </c>
      <c r="C13" s="439">
        <v>0</v>
      </c>
      <c r="D13" s="439">
        <v>0</v>
      </c>
      <c r="E13" s="439">
        <v>0</v>
      </c>
      <c r="F13" s="443">
        <f t="shared" si="0"/>
        <v>0</v>
      </c>
      <c r="G13" s="444">
        <f t="shared" si="1"/>
        <v>0</v>
      </c>
    </row>
    <row r="14" spans="1:8" ht="20.100000000000001" customHeight="1" x14ac:dyDescent="0.25">
      <c r="A14" s="441"/>
      <c r="B14" s="442" t="s">
        <v>35</v>
      </c>
      <c r="C14" s="439">
        <v>4728154.17</v>
      </c>
      <c r="D14" s="439">
        <v>4611748.49</v>
      </c>
      <c r="E14" s="439">
        <v>5037586.97</v>
      </c>
      <c r="F14" s="443">
        <f t="shared" si="0"/>
        <v>4302315.6900000004</v>
      </c>
      <c r="G14" s="444">
        <f t="shared" si="1"/>
        <v>-425838.47999999952</v>
      </c>
    </row>
    <row r="15" spans="1:8" x14ac:dyDescent="0.25">
      <c r="A15" s="441"/>
      <c r="B15" s="442" t="s">
        <v>37</v>
      </c>
      <c r="C15" s="439">
        <v>-576044254.09000003</v>
      </c>
      <c r="D15" s="439">
        <v>0</v>
      </c>
      <c r="E15" s="439">
        <v>75389229.36999999</v>
      </c>
      <c r="F15" s="443">
        <f t="shared" si="0"/>
        <v>-651433483.46000004</v>
      </c>
      <c r="G15" s="444">
        <f t="shared" si="1"/>
        <v>-75389229.370000005</v>
      </c>
    </row>
    <row r="16" spans="1:8" ht="20.100000000000001" customHeight="1" x14ac:dyDescent="0.25">
      <c r="A16" s="441"/>
      <c r="B16" s="442" t="s">
        <v>39</v>
      </c>
      <c r="C16" s="439">
        <v>0</v>
      </c>
      <c r="D16" s="439">
        <v>0</v>
      </c>
      <c r="E16" s="439">
        <v>0</v>
      </c>
      <c r="F16" s="443">
        <f t="shared" si="0"/>
        <v>0</v>
      </c>
      <c r="G16" s="444">
        <f t="shared" si="1"/>
        <v>0</v>
      </c>
    </row>
    <row r="17" spans="1:8" ht="20.100000000000001" customHeight="1" x14ac:dyDescent="0.25">
      <c r="A17" s="437"/>
      <c r="B17" s="438"/>
      <c r="C17" s="439"/>
      <c r="D17" s="439"/>
      <c r="E17" s="439"/>
      <c r="F17" s="439"/>
      <c r="G17" s="440"/>
    </row>
    <row r="18" spans="1:8" ht="20.100000000000001" customHeight="1" x14ac:dyDescent="0.25">
      <c r="A18" s="437"/>
      <c r="B18" s="438" t="s">
        <v>44</v>
      </c>
      <c r="C18" s="434">
        <f>SUM(C19:C27)</f>
        <v>847129711.81000006</v>
      </c>
      <c r="D18" s="434">
        <f>SUM(D19:D27)</f>
        <v>2458161956.77</v>
      </c>
      <c r="E18" s="434">
        <f>SUM(E19:E27)</f>
        <v>339683865.26000005</v>
      </c>
      <c r="F18" s="435">
        <f>C18+D18-E18</f>
        <v>2965607803.3199997</v>
      </c>
      <c r="G18" s="436">
        <f>F18-C18</f>
        <v>2118478091.5099998</v>
      </c>
      <c r="H18" s="315" t="str">
        <f>IF(F18&lt;&gt;'CPCA-I-01'!B30,"ERROR!!!!! EL MONTO NO COINCIDE CON LO REPORTADO EN EL FORMATO ETCA-I-01 EN EL TOTAL","")</f>
        <v/>
      </c>
    </row>
    <row r="19" spans="1:8" ht="20.100000000000001" customHeight="1" x14ac:dyDescent="0.25">
      <c r="A19" s="441"/>
      <c r="B19" s="442" t="s">
        <v>46</v>
      </c>
      <c r="C19" s="439"/>
      <c r="D19" s="439"/>
      <c r="E19" s="439"/>
      <c r="F19" s="443">
        <f>C19+D19-E19</f>
        <v>0</v>
      </c>
      <c r="G19" s="444">
        <f>F19-C19</f>
        <v>0</v>
      </c>
    </row>
    <row r="20" spans="1:8" x14ac:dyDescent="0.25">
      <c r="A20" s="441"/>
      <c r="B20" s="442" t="s">
        <v>48</v>
      </c>
      <c r="C20" s="439">
        <v>0</v>
      </c>
      <c r="D20" s="439">
        <v>789866584</v>
      </c>
      <c r="E20" s="439">
        <v>79034563.379999995</v>
      </c>
      <c r="F20" s="443">
        <f t="shared" ref="F20:F25" si="2">C20+D20-E20</f>
        <v>710832020.62</v>
      </c>
      <c r="G20" s="444">
        <f t="shared" ref="G20:G25" si="3">F20-C20</f>
        <v>710832020.62</v>
      </c>
    </row>
    <row r="21" spans="1:8" ht="25.5" x14ac:dyDescent="0.25">
      <c r="A21" s="441"/>
      <c r="B21" s="442" t="s">
        <v>50</v>
      </c>
      <c r="C21" s="439">
        <v>846845581.81999993</v>
      </c>
      <c r="D21" s="439">
        <v>1644833737.79</v>
      </c>
      <c r="E21" s="439">
        <v>248871186.71000001</v>
      </c>
      <c r="F21" s="443">
        <f t="shared" si="2"/>
        <v>2242808132.8999996</v>
      </c>
      <c r="G21" s="444">
        <f t="shared" si="3"/>
        <v>1395962551.0799997</v>
      </c>
    </row>
    <row r="22" spans="1:8" ht="20.100000000000001" customHeight="1" x14ac:dyDescent="0.25">
      <c r="A22" s="441"/>
      <c r="B22" s="442" t="s">
        <v>52</v>
      </c>
      <c r="C22" s="439">
        <v>118915902.70000002</v>
      </c>
      <c r="D22" s="439">
        <v>22780311.479999997</v>
      </c>
      <c r="E22" s="439">
        <v>1267995.57</v>
      </c>
      <c r="F22" s="443">
        <f t="shared" si="2"/>
        <v>140428218.61000001</v>
      </c>
      <c r="G22" s="444">
        <f t="shared" si="3"/>
        <v>21512315.909999996</v>
      </c>
    </row>
    <row r="23" spans="1:8" ht="20.100000000000001" customHeight="1" x14ac:dyDescent="0.25">
      <c r="A23" s="441"/>
      <c r="B23" s="442" t="s">
        <v>54</v>
      </c>
      <c r="C23" s="439">
        <v>4350428.2200000007</v>
      </c>
      <c r="D23" s="439">
        <v>120447</v>
      </c>
      <c r="E23" s="439">
        <v>0</v>
      </c>
      <c r="F23" s="443">
        <f t="shared" si="2"/>
        <v>4470875.2200000007</v>
      </c>
      <c r="G23" s="444">
        <f t="shared" si="3"/>
        <v>120447</v>
      </c>
    </row>
    <row r="24" spans="1:8" ht="25.5" x14ac:dyDescent="0.25">
      <c r="A24" s="441"/>
      <c r="B24" s="442" t="s">
        <v>56</v>
      </c>
      <c r="C24" s="439">
        <v>-126979125.41999999</v>
      </c>
      <c r="D24" s="439">
        <v>558441.5</v>
      </c>
      <c r="E24" s="439">
        <v>10505119.6</v>
      </c>
      <c r="F24" s="443">
        <f t="shared" si="2"/>
        <v>-136925803.51999998</v>
      </c>
      <c r="G24" s="444">
        <f t="shared" si="3"/>
        <v>-9946678.099999994</v>
      </c>
    </row>
    <row r="25" spans="1:8" ht="20.100000000000001" customHeight="1" x14ac:dyDescent="0.25">
      <c r="A25" s="441"/>
      <c r="B25" s="442" t="s">
        <v>58</v>
      </c>
      <c r="C25" s="439">
        <v>3996924.49</v>
      </c>
      <c r="D25" s="439">
        <v>2435</v>
      </c>
      <c r="E25" s="439">
        <v>5000</v>
      </c>
      <c r="F25" s="443">
        <f t="shared" si="2"/>
        <v>3994359.49</v>
      </c>
      <c r="G25" s="444">
        <f t="shared" si="3"/>
        <v>-2565</v>
      </c>
    </row>
    <row r="26" spans="1:8" ht="25.5" x14ac:dyDescent="0.25">
      <c r="A26" s="441"/>
      <c r="B26" s="442" t="s">
        <v>59</v>
      </c>
      <c r="C26" s="439">
        <v>0</v>
      </c>
      <c r="D26" s="439">
        <v>0</v>
      </c>
      <c r="E26" s="439">
        <v>0</v>
      </c>
      <c r="F26" s="443">
        <f>C26+D26-E26</f>
        <v>0</v>
      </c>
      <c r="G26" s="444">
        <f>F26-C26</f>
        <v>0</v>
      </c>
    </row>
    <row r="27" spans="1:8" ht="20.100000000000001" customHeight="1" x14ac:dyDescent="0.25">
      <c r="A27" s="441"/>
      <c r="B27" s="442" t="s">
        <v>60</v>
      </c>
      <c r="C27" s="439">
        <v>0</v>
      </c>
      <c r="D27" s="439">
        <v>0</v>
      </c>
      <c r="E27" s="439">
        <v>0</v>
      </c>
      <c r="F27" s="443">
        <f>C27+D27-E27</f>
        <v>0</v>
      </c>
      <c r="G27" s="444">
        <f>F27-C27</f>
        <v>0</v>
      </c>
    </row>
    <row r="28" spans="1:8" ht="20.100000000000001" customHeight="1" thickBot="1" x14ac:dyDescent="0.3">
      <c r="A28" s="445"/>
      <c r="B28" s="446"/>
      <c r="C28" s="447"/>
      <c r="D28" s="447"/>
      <c r="E28" s="447"/>
      <c r="F28" s="447"/>
      <c r="G28" s="448"/>
    </row>
    <row r="29" spans="1:8" ht="20.100000000000001" customHeight="1" x14ac:dyDescent="0.25">
      <c r="A29" s="457" t="s">
        <v>240</v>
      </c>
      <c r="C29" s="386"/>
      <c r="D29" s="386"/>
      <c r="E29" s="386"/>
      <c r="F29" s="386"/>
      <c r="G29" s="386"/>
    </row>
    <row r="30" spans="1:8" ht="20.100000000000001" customHeight="1" x14ac:dyDescent="0.25">
      <c r="A30" s="380"/>
      <c r="B30" s="380"/>
      <c r="C30" s="386"/>
      <c r="D30" s="386"/>
      <c r="E30" s="386"/>
      <c r="F30" s="386"/>
      <c r="G30" s="386"/>
    </row>
    <row r="31" spans="1:8" ht="20.100000000000001" customHeight="1" x14ac:dyDescent="0.25">
      <c r="A31" s="380"/>
      <c r="B31" s="380" t="s">
        <v>241</v>
      </c>
      <c r="C31" s="386"/>
      <c r="D31" s="386" t="s">
        <v>241</v>
      </c>
      <c r="E31" s="386"/>
      <c r="F31" s="386"/>
      <c r="G31" s="386"/>
    </row>
    <row r="32" spans="1:8" ht="20.100000000000001" customHeight="1" x14ac:dyDescent="0.25">
      <c r="A32" s="380"/>
      <c r="B32" s="380"/>
      <c r="C32" s="386"/>
      <c r="D32" s="386"/>
      <c r="E32" s="386"/>
      <c r="F32" s="386"/>
      <c r="G32" s="386"/>
    </row>
    <row r="33" spans="1:1" x14ac:dyDescent="0.25">
      <c r="A33" s="88" t="s">
        <v>241</v>
      </c>
    </row>
  </sheetData>
  <sheetProtection formatColumns="0" formatRows="0" insertHyperlinks="0"/>
  <mergeCells count="5">
    <mergeCell ref="A5:B5"/>
    <mergeCell ref="A1:G1"/>
    <mergeCell ref="A2:G2"/>
    <mergeCell ref="A3:G3"/>
    <mergeCell ref="B4:G4"/>
  </mergeCells>
  <printOptions horizontalCentered="1"/>
  <pageMargins left="0.39370078740157483" right="0.39370078740157483" top="0.74803149606299213" bottom="0.74803149606299213" header="0.31496062992125984" footer="0.31496062992125984"/>
  <pageSetup scale="88"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4.9989318521683403E-2"/>
  </sheetPr>
  <dimension ref="A1:G50"/>
  <sheetViews>
    <sheetView view="pageBreakPreview" zoomScale="90" zoomScaleSheetLayoutView="90" workbookViewId="0">
      <selection activeCell="G38" sqref="G38"/>
    </sheetView>
  </sheetViews>
  <sheetFormatPr baseColWidth="10" defaultColWidth="11.28515625" defaultRowHeight="16.5" x14ac:dyDescent="0.3"/>
  <cols>
    <col min="1" max="1" width="2.140625" style="37" customWidth="1"/>
    <col min="2" max="2" width="28.28515625" style="37" customWidth="1"/>
    <col min="3" max="6" width="16.7109375" style="37" customWidth="1"/>
    <col min="7" max="7" width="79" style="37" customWidth="1"/>
    <col min="8" max="16384" width="11.28515625" style="37"/>
  </cols>
  <sheetData>
    <row r="1" spans="1:7" s="88" customFormat="1" ht="18" x14ac:dyDescent="0.25">
      <c r="A1" s="1087" t="str">
        <f>'CPCA-I-01'!A1</f>
        <v xml:space="preserve">Comision Estatal del Agua </v>
      </c>
      <c r="B1" s="1087"/>
      <c r="C1" s="1087"/>
      <c r="D1" s="1087"/>
      <c r="E1" s="1087"/>
      <c r="F1" s="1087"/>
      <c r="G1" s="323"/>
    </row>
    <row r="2" spans="1:7" s="125" customFormat="1" ht="15.75" x14ac:dyDescent="0.25">
      <c r="A2" s="1087" t="s">
        <v>6</v>
      </c>
      <c r="B2" s="1087"/>
      <c r="C2" s="1087"/>
      <c r="D2" s="1087"/>
      <c r="E2" s="1087"/>
      <c r="F2" s="1087"/>
    </row>
    <row r="3" spans="1:7" s="125" customFormat="1" x14ac:dyDescent="0.25">
      <c r="A3" s="1088" t="str">
        <f>'CPCA-I-03'!A3:D3</f>
        <v xml:space="preserve">Del  01 de Enero de 2023 al 31 de Diciembre de 2023 </v>
      </c>
      <c r="B3" s="1088"/>
      <c r="C3" s="1088"/>
      <c r="D3" s="1088"/>
      <c r="E3" s="1088"/>
      <c r="F3" s="1088"/>
    </row>
    <row r="4" spans="1:7" s="127" customFormat="1" ht="17.25" thickBot="1" x14ac:dyDescent="0.3">
      <c r="A4" s="126"/>
      <c r="B4" s="126"/>
      <c r="C4" s="1091" t="s">
        <v>1645</v>
      </c>
      <c r="D4" s="1091"/>
      <c r="E4" s="38"/>
      <c r="F4" s="126"/>
    </row>
    <row r="5" spans="1:7" s="135" customFormat="1" ht="37.5" customHeight="1" thickBot="1" x14ac:dyDescent="0.35">
      <c r="A5" s="1089" t="s">
        <v>1675</v>
      </c>
      <c r="B5" s="1090"/>
      <c r="C5" s="133" t="s">
        <v>1772</v>
      </c>
      <c r="D5" s="133" t="s">
        <v>1773</v>
      </c>
      <c r="E5" s="133" t="s">
        <v>1774</v>
      </c>
      <c r="F5" s="134" t="s">
        <v>1775</v>
      </c>
    </row>
    <row r="6" spans="1:7" x14ac:dyDescent="0.3">
      <c r="A6" s="1096"/>
      <c r="B6" s="1097"/>
      <c r="C6" s="136"/>
      <c r="D6" s="136"/>
      <c r="E6" s="137"/>
      <c r="F6" s="138"/>
    </row>
    <row r="7" spans="1:7" x14ac:dyDescent="0.3">
      <c r="A7" s="1098" t="s">
        <v>271</v>
      </c>
      <c r="B7" s="1099"/>
      <c r="C7" s="139"/>
      <c r="D7" s="139"/>
      <c r="E7" s="139"/>
      <c r="F7" s="140"/>
    </row>
    <row r="8" spans="1:7" x14ac:dyDescent="0.3">
      <c r="A8" s="1100" t="s">
        <v>272</v>
      </c>
      <c r="B8" s="1101"/>
      <c r="C8" s="139"/>
      <c r="D8" s="139"/>
      <c r="E8" s="139"/>
      <c r="F8" s="140"/>
    </row>
    <row r="9" spans="1:7" x14ac:dyDescent="0.3">
      <c r="A9" s="1092" t="s">
        <v>273</v>
      </c>
      <c r="B9" s="1093"/>
      <c r="C9" s="141"/>
      <c r="D9" s="141"/>
      <c r="E9" s="154">
        <f>SUM(E10:E12)</f>
        <v>0.02</v>
      </c>
      <c r="F9" s="155">
        <f>SUM(F10:F12)</f>
        <v>0</v>
      </c>
    </row>
    <row r="10" spans="1:7" x14ac:dyDescent="0.3">
      <c r="A10" s="675"/>
      <c r="B10" s="143" t="s">
        <v>274</v>
      </c>
      <c r="C10" s="141" t="s">
        <v>1901</v>
      </c>
      <c r="D10" s="141" t="s">
        <v>1902</v>
      </c>
      <c r="E10" s="141">
        <v>0.02</v>
      </c>
      <c r="F10" s="142">
        <v>0</v>
      </c>
    </row>
    <row r="11" spans="1:7" x14ac:dyDescent="0.3">
      <c r="A11" s="144"/>
      <c r="B11" s="143" t="s">
        <v>275</v>
      </c>
      <c r="C11" s="145"/>
      <c r="D11" s="145"/>
      <c r="E11" s="145"/>
      <c r="F11" s="146"/>
    </row>
    <row r="12" spans="1:7" x14ac:dyDescent="0.3">
      <c r="A12" s="144"/>
      <c r="B12" s="143" t="s">
        <v>276</v>
      </c>
      <c r="C12" s="145"/>
      <c r="D12" s="145"/>
      <c r="E12" s="145"/>
      <c r="F12" s="146"/>
    </row>
    <row r="13" spans="1:7" x14ac:dyDescent="0.3">
      <c r="A13" s="144"/>
      <c r="B13" s="147"/>
      <c r="C13" s="145"/>
      <c r="D13" s="145"/>
      <c r="E13" s="145"/>
      <c r="F13" s="146"/>
    </row>
    <row r="14" spans="1:7" x14ac:dyDescent="0.3">
      <c r="A14" s="1092" t="s">
        <v>277</v>
      </c>
      <c r="B14" s="1093"/>
      <c r="C14" s="141"/>
      <c r="D14" s="141"/>
      <c r="E14" s="154">
        <f>SUM(E15:E18)</f>
        <v>0</v>
      </c>
      <c r="F14" s="155">
        <f>SUM(F15:F18)</f>
        <v>0</v>
      </c>
    </row>
    <row r="15" spans="1:7" x14ac:dyDescent="0.3">
      <c r="A15" s="144"/>
      <c r="B15" s="143" t="s">
        <v>278</v>
      </c>
      <c r="C15" s="145"/>
      <c r="D15" s="145"/>
      <c r="E15" s="145">
        <v>0</v>
      </c>
      <c r="F15" s="146"/>
    </row>
    <row r="16" spans="1:7" x14ac:dyDescent="0.3">
      <c r="A16" s="675"/>
      <c r="B16" s="143" t="s">
        <v>279</v>
      </c>
      <c r="C16" s="145"/>
      <c r="D16" s="145"/>
      <c r="E16" s="145"/>
      <c r="F16" s="146"/>
    </row>
    <row r="17" spans="1:7" x14ac:dyDescent="0.3">
      <c r="A17" s="675"/>
      <c r="B17" s="143" t="s">
        <v>275</v>
      </c>
      <c r="C17" s="141"/>
      <c r="D17" s="141"/>
      <c r="E17" s="141"/>
      <c r="F17" s="142"/>
    </row>
    <row r="18" spans="1:7" x14ac:dyDescent="0.3">
      <c r="A18" s="144"/>
      <c r="B18" s="143" t="s">
        <v>276</v>
      </c>
      <c r="C18" s="145"/>
      <c r="D18" s="145"/>
      <c r="E18" s="145"/>
      <c r="F18" s="146"/>
    </row>
    <row r="19" spans="1:7" x14ac:dyDescent="0.3">
      <c r="A19" s="675"/>
      <c r="B19" s="676"/>
      <c r="C19" s="141"/>
      <c r="D19" s="141"/>
      <c r="E19" s="141"/>
      <c r="F19" s="142"/>
    </row>
    <row r="20" spans="1:7" ht="33" x14ac:dyDescent="0.3">
      <c r="A20" s="148"/>
      <c r="B20" s="149" t="s">
        <v>1776</v>
      </c>
      <c r="C20" s="139"/>
      <c r="D20" s="139"/>
      <c r="E20" s="156">
        <f>E9+E14</f>
        <v>0.02</v>
      </c>
      <c r="F20" s="157">
        <f>F9+F14</f>
        <v>0</v>
      </c>
      <c r="G20" s="3"/>
    </row>
    <row r="21" spans="1:7" x14ac:dyDescent="0.3">
      <c r="A21" s="148"/>
      <c r="B21" s="149"/>
      <c r="C21" s="150"/>
      <c r="D21" s="150"/>
      <c r="E21" s="150"/>
      <c r="F21" s="151"/>
    </row>
    <row r="22" spans="1:7" x14ac:dyDescent="0.3">
      <c r="A22" s="1100" t="s">
        <v>280</v>
      </c>
      <c r="B22" s="1101"/>
      <c r="C22" s="139"/>
      <c r="D22" s="139"/>
      <c r="E22" s="139"/>
      <c r="F22" s="140"/>
    </row>
    <row r="23" spans="1:7" x14ac:dyDescent="0.3">
      <c r="A23" s="1092" t="s">
        <v>273</v>
      </c>
      <c r="B23" s="1093"/>
      <c r="C23" s="141"/>
      <c r="D23" s="141"/>
      <c r="E23" s="154">
        <f>SUM(E24:E26)</f>
        <v>244739411.93000001</v>
      </c>
      <c r="F23" s="155">
        <f>SUM(F24:F26)</f>
        <v>213805933.16</v>
      </c>
    </row>
    <row r="24" spans="1:7" x14ac:dyDescent="0.3">
      <c r="A24" s="675"/>
      <c r="B24" s="143" t="s">
        <v>274</v>
      </c>
      <c r="C24" s="141" t="s">
        <v>1901</v>
      </c>
      <c r="D24" s="141" t="s">
        <v>1902</v>
      </c>
      <c r="E24" s="141">
        <v>244739411.93000001</v>
      </c>
      <c r="F24" s="142">
        <v>213805933.16</v>
      </c>
    </row>
    <row r="25" spans="1:7" x14ac:dyDescent="0.3">
      <c r="A25" s="144"/>
      <c r="B25" s="143" t="s">
        <v>275</v>
      </c>
      <c r="C25" s="145"/>
      <c r="D25" s="145"/>
      <c r="E25" s="145"/>
      <c r="F25" s="146"/>
    </row>
    <row r="26" spans="1:7" x14ac:dyDescent="0.3">
      <c r="A26" s="144"/>
      <c r="B26" s="143" t="s">
        <v>276</v>
      </c>
      <c r="C26" s="145"/>
      <c r="D26" s="145"/>
      <c r="E26" s="145"/>
      <c r="F26" s="146"/>
    </row>
    <row r="27" spans="1:7" x14ac:dyDescent="0.3">
      <c r="A27" s="144"/>
      <c r="B27" s="147"/>
      <c r="C27" s="145"/>
      <c r="D27" s="145"/>
      <c r="E27" s="145"/>
      <c r="F27" s="146"/>
    </row>
    <row r="28" spans="1:7" x14ac:dyDescent="0.3">
      <c r="A28" s="1092" t="s">
        <v>277</v>
      </c>
      <c r="B28" s="1093"/>
      <c r="C28" s="141"/>
      <c r="D28" s="141"/>
      <c r="E28" s="154">
        <f>SUM(E29:E32)</f>
        <v>0</v>
      </c>
      <c r="F28" s="155">
        <f>SUM(F29:F32)</f>
        <v>0</v>
      </c>
    </row>
    <row r="29" spans="1:7" x14ac:dyDescent="0.3">
      <c r="A29" s="144"/>
      <c r="B29" s="143" t="s">
        <v>278</v>
      </c>
      <c r="C29" s="145"/>
      <c r="D29" s="145"/>
      <c r="E29" s="145"/>
      <c r="F29" s="146"/>
    </row>
    <row r="30" spans="1:7" x14ac:dyDescent="0.3">
      <c r="A30" s="675"/>
      <c r="B30" s="143" t="s">
        <v>279</v>
      </c>
      <c r="C30" s="145"/>
      <c r="D30" s="145"/>
      <c r="E30" s="145"/>
      <c r="F30" s="146"/>
    </row>
    <row r="31" spans="1:7" x14ac:dyDescent="0.3">
      <c r="A31" s="675"/>
      <c r="B31" s="143" t="s">
        <v>275</v>
      </c>
      <c r="C31" s="141"/>
      <c r="D31" s="141"/>
      <c r="E31" s="141"/>
      <c r="F31" s="142"/>
    </row>
    <row r="32" spans="1:7" x14ac:dyDescent="0.3">
      <c r="A32" s="144"/>
      <c r="B32" s="143" t="s">
        <v>276</v>
      </c>
      <c r="C32" s="145"/>
      <c r="D32" s="145"/>
      <c r="E32" s="145"/>
      <c r="F32" s="146"/>
    </row>
    <row r="33" spans="1:7" x14ac:dyDescent="0.3">
      <c r="A33" s="675"/>
      <c r="B33" s="676"/>
      <c r="C33" s="141"/>
      <c r="D33" s="141"/>
      <c r="E33" s="141"/>
      <c r="F33" s="142"/>
    </row>
    <row r="34" spans="1:7" ht="33" x14ac:dyDescent="0.3">
      <c r="A34" s="148"/>
      <c r="B34" s="149" t="s">
        <v>1676</v>
      </c>
      <c r="C34" s="139"/>
      <c r="D34" s="139"/>
      <c r="E34" s="156">
        <f>E23+E28</f>
        <v>244739411.93000001</v>
      </c>
      <c r="F34" s="157">
        <f>F23+F28</f>
        <v>213805933.16</v>
      </c>
      <c r="G34" s="3"/>
    </row>
    <row r="35" spans="1:7" x14ac:dyDescent="0.3">
      <c r="A35" s="144"/>
      <c r="B35" s="147"/>
      <c r="C35" s="145"/>
      <c r="D35" s="145"/>
      <c r="E35" s="145"/>
      <c r="F35" s="146"/>
    </row>
    <row r="36" spans="1:7" x14ac:dyDescent="0.3">
      <c r="A36" s="144"/>
      <c r="B36" s="143" t="s">
        <v>1677</v>
      </c>
      <c r="C36" s="145" t="s">
        <v>1901</v>
      </c>
      <c r="D36" s="145" t="s">
        <v>1903</v>
      </c>
      <c r="E36" s="145">
        <v>438953058.68000001</v>
      </c>
      <c r="F36" s="146">
        <v>1199951699.5899999</v>
      </c>
    </row>
    <row r="37" spans="1:7" x14ac:dyDescent="0.3">
      <c r="A37" s="144"/>
      <c r="B37" s="147"/>
      <c r="C37" s="145"/>
      <c r="D37" s="145"/>
      <c r="E37" s="145"/>
      <c r="F37" s="146"/>
    </row>
    <row r="38" spans="1:7" ht="33" x14ac:dyDescent="0.3">
      <c r="A38" s="675"/>
      <c r="B38" s="676" t="s">
        <v>1678</v>
      </c>
      <c r="C38" s="139"/>
      <c r="D38" s="139"/>
      <c r="E38" s="156">
        <f>E36+E34+E20</f>
        <v>683692470.63</v>
      </c>
      <c r="F38" s="157">
        <f>F36+F34+F20</f>
        <v>1413757632.75</v>
      </c>
      <c r="G38" s="3" t="str">
        <f>IF((F38-'CPCA-I-01'!F32)&gt;0.9,"ERROR!!!!!, NO COINCIDE CON LO REPORTADO EN EL ETCA-I-01 EN EL MISMO RUBRO","")</f>
        <v/>
      </c>
    </row>
    <row r="39" spans="1:7" ht="5.25" customHeight="1" thickBot="1" x14ac:dyDescent="0.35">
      <c r="A39" s="1094"/>
      <c r="B39" s="1095"/>
      <c r="C39" s="152"/>
      <c r="D39" s="152"/>
      <c r="E39" s="152"/>
      <c r="F39" s="153"/>
    </row>
    <row r="40" spans="1:7" ht="11.1" customHeight="1" x14ac:dyDescent="0.3">
      <c r="A40" s="87" t="s">
        <v>240</v>
      </c>
      <c r="F40" s="372"/>
    </row>
    <row r="41" spans="1:7" ht="11.1" customHeight="1" x14ac:dyDescent="0.3">
      <c r="A41" s="87"/>
      <c r="F41" s="372"/>
    </row>
    <row r="42" spans="1:7" ht="11.1" customHeight="1" x14ac:dyDescent="0.3">
      <c r="A42" s="87"/>
      <c r="F42" s="372"/>
    </row>
    <row r="43" spans="1:7" ht="11.1" customHeight="1" x14ac:dyDescent="0.3">
      <c r="A43" s="372"/>
      <c r="B43" s="372"/>
      <c r="C43" s="372"/>
      <c r="D43" s="372"/>
      <c r="E43" s="372"/>
      <c r="F43" s="372"/>
    </row>
    <row r="44" spans="1:7" ht="11.1" customHeight="1" x14ac:dyDescent="0.3">
      <c r="A44" s="372"/>
      <c r="B44" s="372"/>
      <c r="C44" s="372"/>
      <c r="D44" s="372"/>
      <c r="E44" s="372"/>
      <c r="F44" s="372"/>
    </row>
    <row r="45" spans="1:7" ht="11.1" customHeight="1" x14ac:dyDescent="0.3">
      <c r="A45" s="372"/>
      <c r="B45" s="372" t="s">
        <v>241</v>
      </c>
      <c r="C45" s="372"/>
      <c r="D45" s="372"/>
      <c r="E45" s="372"/>
      <c r="F45" s="372"/>
    </row>
    <row r="46" spans="1:7" ht="11.1" customHeight="1" x14ac:dyDescent="0.3">
      <c r="A46" s="372"/>
      <c r="B46" s="372"/>
      <c r="C46" s="372"/>
      <c r="D46" s="372"/>
      <c r="E46" s="372"/>
      <c r="F46" s="372"/>
    </row>
    <row r="47" spans="1:7" x14ac:dyDescent="0.3">
      <c r="A47" s="334" t="s">
        <v>241</v>
      </c>
      <c r="B47" s="334"/>
      <c r="C47" s="334"/>
      <c r="D47" s="334"/>
      <c r="E47" s="334"/>
      <c r="F47" s="334"/>
    </row>
    <row r="50" spans="6:6" x14ac:dyDescent="0.3">
      <c r="F50" s="884"/>
    </row>
  </sheetData>
  <sheetProtection password="C195" sheet="1" formatColumns="0" formatRows="0"/>
  <mergeCells count="14">
    <mergeCell ref="A23:B23"/>
    <mergeCell ref="A28:B28"/>
    <mergeCell ref="A39:B39"/>
    <mergeCell ref="A6:B6"/>
    <mergeCell ref="A7:B7"/>
    <mergeCell ref="A8:B8"/>
    <mergeCell ref="A9:B9"/>
    <mergeCell ref="A14:B14"/>
    <mergeCell ref="A22:B22"/>
    <mergeCell ref="A5:B5"/>
    <mergeCell ref="A1:F1"/>
    <mergeCell ref="A2:F2"/>
    <mergeCell ref="A3:F3"/>
    <mergeCell ref="C4:D4"/>
  </mergeCells>
  <pageMargins left="0.7" right="0.7" top="0.75" bottom="0.75" header="0.3" footer="0.3"/>
  <pageSetup scale="90" orientation="portrait" horizontalDpi="1200" verticalDpi="1200" r:id="rId1"/>
  <colBreaks count="1" manualBreakCount="1">
    <brk id="6" max="48" man="1"/>
  </col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4.9989318521683403E-2"/>
  </sheetPr>
  <dimension ref="A1:J38"/>
  <sheetViews>
    <sheetView view="pageBreakPreview" zoomScaleSheetLayoutView="100" workbookViewId="0">
      <selection activeCell="G21" sqref="G21"/>
    </sheetView>
  </sheetViews>
  <sheetFormatPr baseColWidth="10" defaultColWidth="11.42578125" defaultRowHeight="15" x14ac:dyDescent="0.25"/>
  <cols>
    <col min="1" max="1" width="4.7109375" customWidth="1"/>
    <col min="2" max="2" width="30.28515625" customWidth="1"/>
    <col min="3" max="3" width="14.42578125" customWidth="1"/>
    <col min="4" max="4" width="12.42578125" customWidth="1"/>
    <col min="5" max="5" width="14" customWidth="1"/>
    <col min="6" max="6" width="14.42578125" customWidth="1"/>
    <col min="7" max="7" width="17" customWidth="1"/>
    <col min="8" max="8" width="13.5703125" customWidth="1"/>
    <col min="9" max="9" width="12.42578125" customWidth="1"/>
  </cols>
  <sheetData>
    <row r="1" spans="1:10" ht="15.75" x14ac:dyDescent="0.25">
      <c r="A1" s="1060" t="str">
        <f>'CPCA-I-01'!A1:G1</f>
        <v xml:space="preserve">Comision Estatal del Agua </v>
      </c>
      <c r="B1" s="1060"/>
      <c r="C1" s="1060"/>
      <c r="D1" s="1060"/>
      <c r="E1" s="1060"/>
      <c r="F1" s="1060"/>
      <c r="G1" s="1060"/>
      <c r="H1" s="1060"/>
      <c r="I1" s="1060"/>
    </row>
    <row r="2" spans="1:10" ht="15.75" customHeight="1" x14ac:dyDescent="0.25">
      <c r="A2" s="1057" t="s">
        <v>282</v>
      </c>
      <c r="B2" s="1057"/>
      <c r="C2" s="1057"/>
      <c r="D2" s="1057"/>
      <c r="E2" s="1057"/>
      <c r="F2" s="1057"/>
      <c r="G2" s="1057"/>
      <c r="H2" s="1057"/>
      <c r="I2" s="1057"/>
    </row>
    <row r="3" spans="1:10" ht="15" customHeight="1" x14ac:dyDescent="0.25">
      <c r="A3" s="1115" t="str">
        <f>'CPCA-I-03'!A3:D3</f>
        <v xml:space="preserve">Del  01 de Enero de 2023 al 31 de Diciembre de 2023 </v>
      </c>
      <c r="B3" s="1115"/>
      <c r="C3" s="1115"/>
      <c r="D3" s="1115"/>
      <c r="E3" s="1115"/>
      <c r="F3" s="1115"/>
      <c r="G3" s="1115"/>
      <c r="H3" s="1115"/>
      <c r="I3" s="1115"/>
    </row>
    <row r="4" spans="1:10" ht="15.75" customHeight="1" thickBot="1" x14ac:dyDescent="0.3">
      <c r="A4" s="1116" t="s">
        <v>82</v>
      </c>
      <c r="B4" s="1116"/>
      <c r="C4" s="1116"/>
      <c r="D4" s="1116"/>
      <c r="E4" s="1116"/>
      <c r="F4" s="1116"/>
      <c r="G4" s="1116"/>
      <c r="H4" s="1116"/>
      <c r="I4" s="1116"/>
    </row>
    <row r="5" spans="1:10" ht="24" customHeight="1" x14ac:dyDescent="0.25">
      <c r="A5" s="1117" t="s">
        <v>283</v>
      </c>
      <c r="B5" s="1118"/>
      <c r="C5" s="473" t="s">
        <v>284</v>
      </c>
      <c r="D5" s="1121" t="s">
        <v>285</v>
      </c>
      <c r="E5" s="1121" t="s">
        <v>286</v>
      </c>
      <c r="F5" s="1121" t="s">
        <v>287</v>
      </c>
      <c r="G5" s="473" t="s">
        <v>288</v>
      </c>
      <c r="H5" s="1121" t="s">
        <v>289</v>
      </c>
      <c r="I5" s="1121" t="s">
        <v>290</v>
      </c>
    </row>
    <row r="6" spans="1:10" ht="34.5" customHeight="1" thickBot="1" x14ac:dyDescent="0.3">
      <c r="A6" s="1119"/>
      <c r="B6" s="1120"/>
      <c r="C6" s="620" t="s">
        <v>1668</v>
      </c>
      <c r="D6" s="1122"/>
      <c r="E6" s="1122"/>
      <c r="F6" s="1122"/>
      <c r="G6" s="620" t="s">
        <v>291</v>
      </c>
      <c r="H6" s="1122"/>
      <c r="I6" s="1122"/>
    </row>
    <row r="7" spans="1:10" ht="5.25" customHeight="1" x14ac:dyDescent="0.25">
      <c r="A7" s="1123"/>
      <c r="B7" s="1124"/>
      <c r="C7" s="619"/>
      <c r="D7" s="619"/>
      <c r="E7" s="619"/>
      <c r="F7" s="619"/>
      <c r="G7" s="619"/>
      <c r="H7" s="619"/>
      <c r="I7" s="619"/>
    </row>
    <row r="8" spans="1:10" x14ac:dyDescent="0.25">
      <c r="A8" s="1102" t="s">
        <v>292</v>
      </c>
      <c r="B8" s="1103"/>
      <c r="C8" s="518">
        <f>C9+C13</f>
        <v>244739411.95000002</v>
      </c>
      <c r="D8" s="518">
        <f t="shared" ref="D8:I8" si="0">D9+D13</f>
        <v>0</v>
      </c>
      <c r="E8" s="518">
        <f t="shared" si="0"/>
        <v>30933478.780000001</v>
      </c>
      <c r="F8" s="518">
        <f t="shared" si="0"/>
        <v>-9.9999979138374329E-3</v>
      </c>
      <c r="G8" s="518">
        <f>+C8+D8-E8+F8</f>
        <v>213805933.16000003</v>
      </c>
      <c r="H8" s="518">
        <f t="shared" si="0"/>
        <v>28432546.359999999</v>
      </c>
      <c r="I8" s="518">
        <f t="shared" si="0"/>
        <v>0</v>
      </c>
    </row>
    <row r="9" spans="1:10" ht="16.5" x14ac:dyDescent="0.25">
      <c r="A9" s="1102" t="s">
        <v>293</v>
      </c>
      <c r="B9" s="1103"/>
      <c r="C9" s="518">
        <f>SUM(C10:C12)</f>
        <v>0.02</v>
      </c>
      <c r="D9" s="518">
        <f t="shared" ref="D9:I9" si="1">SUM(D10:D12)</f>
        <v>0</v>
      </c>
      <c r="E9" s="518">
        <f t="shared" si="1"/>
        <v>30933478.780000001</v>
      </c>
      <c r="F9" s="518">
        <f t="shared" si="1"/>
        <v>30933478.760000002</v>
      </c>
      <c r="G9" s="518">
        <f t="shared" si="1"/>
        <v>0</v>
      </c>
      <c r="H9" s="518">
        <f t="shared" si="1"/>
        <v>28432546.359999999</v>
      </c>
      <c r="I9" s="518">
        <f t="shared" si="1"/>
        <v>0</v>
      </c>
      <c r="J9" s="315" t="str">
        <f>IF(C9&lt;&gt;'CPCA-I-08'!E20,"ERROR!!!!! NO CONCUERDA CON LO REPORTADO EN EL ESTADO ANALITICO  DE LA DEUDA Y OTROS PASIVOS","")</f>
        <v/>
      </c>
    </row>
    <row r="10" spans="1:10" ht="16.5" x14ac:dyDescent="0.25">
      <c r="A10" s="618"/>
      <c r="B10" s="622" t="s">
        <v>294</v>
      </c>
      <c r="C10" s="537">
        <v>0.02</v>
      </c>
      <c r="D10" s="537">
        <v>0</v>
      </c>
      <c r="E10" s="537">
        <v>30933478.780000001</v>
      </c>
      <c r="F10" s="537">
        <v>30933478.760000002</v>
      </c>
      <c r="G10" s="518">
        <f t="shared" ref="G10:G12" si="2">+C10+D10-E10+F10</f>
        <v>0</v>
      </c>
      <c r="H10" s="537">
        <v>28432546.359999999</v>
      </c>
      <c r="I10" s="537">
        <v>0</v>
      </c>
      <c r="J10" s="315" t="str">
        <f>IF(G9&lt;&gt;'CPCA-I-08'!F20,"ERROR!!!!! NO CONCUERDA CON LO REPORTADO EN EL ESTADO ANALITICO  DE LA DEUDA Y OTROS PASIVOS","")</f>
        <v/>
      </c>
    </row>
    <row r="11" spans="1:10" x14ac:dyDescent="0.25">
      <c r="A11" s="621"/>
      <c r="B11" s="622" t="s">
        <v>295</v>
      </c>
      <c r="C11" s="537">
        <v>0</v>
      </c>
      <c r="D11" s="537">
        <v>0</v>
      </c>
      <c r="E11" s="537">
        <v>0</v>
      </c>
      <c r="F11" s="537">
        <v>0</v>
      </c>
      <c r="G11" s="518">
        <f t="shared" si="2"/>
        <v>0</v>
      </c>
      <c r="H11" s="537">
        <v>0</v>
      </c>
      <c r="I11" s="537">
        <v>0</v>
      </c>
    </row>
    <row r="12" spans="1:10" x14ac:dyDescent="0.25">
      <c r="A12" s="621"/>
      <c r="B12" s="622" t="s">
        <v>296</v>
      </c>
      <c r="C12" s="537">
        <v>0</v>
      </c>
      <c r="D12" s="537">
        <v>0</v>
      </c>
      <c r="E12" s="537">
        <v>0</v>
      </c>
      <c r="F12" s="537">
        <v>0</v>
      </c>
      <c r="G12" s="518">
        <f t="shared" si="2"/>
        <v>0</v>
      </c>
      <c r="H12" s="537">
        <v>0</v>
      </c>
      <c r="I12" s="537">
        <v>0</v>
      </c>
    </row>
    <row r="13" spans="1:10" ht="16.5" x14ac:dyDescent="0.25">
      <c r="A13" s="1102" t="s">
        <v>297</v>
      </c>
      <c r="B13" s="1103"/>
      <c r="C13" s="518">
        <f t="shared" ref="C13:I13" si="3">SUM(C14:C16)</f>
        <v>244739411.93000001</v>
      </c>
      <c r="D13" s="518">
        <f t="shared" si="3"/>
        <v>0</v>
      </c>
      <c r="E13" s="518">
        <f t="shared" si="3"/>
        <v>0</v>
      </c>
      <c r="F13" s="518">
        <f t="shared" si="3"/>
        <v>-30933478.77</v>
      </c>
      <c r="G13" s="518">
        <f t="shared" si="3"/>
        <v>213805933.16</v>
      </c>
      <c r="H13" s="518">
        <f t="shared" si="3"/>
        <v>0</v>
      </c>
      <c r="I13" s="518">
        <f t="shared" si="3"/>
        <v>0</v>
      </c>
      <c r="J13" s="315" t="str">
        <f>IF(C13&lt;&gt;'CPCA-I-08'!E34,"ERROR!!!!! NO CONCUERDA CON LO REPORTADO EN EL ESTADO ANALITICO DE LA DEUDA Y OTROS PASIVOS","")</f>
        <v/>
      </c>
    </row>
    <row r="14" spans="1:10" ht="16.5" x14ac:dyDescent="0.25">
      <c r="A14" s="618"/>
      <c r="B14" s="622" t="s">
        <v>298</v>
      </c>
      <c r="C14" s="537">
        <v>244739411.93000001</v>
      </c>
      <c r="D14" s="537">
        <v>0</v>
      </c>
      <c r="E14" s="537">
        <v>0</v>
      </c>
      <c r="F14" s="537">
        <v>-30933478.77</v>
      </c>
      <c r="G14" s="518">
        <f t="shared" ref="G14:G16" si="4">+C14+D14-E14+F14</f>
        <v>213805933.16</v>
      </c>
      <c r="H14" s="537">
        <v>0</v>
      </c>
      <c r="I14" s="537">
        <v>0</v>
      </c>
      <c r="J14" s="315" t="str">
        <f>IF(G13&lt;&gt;'CPCA-I-08'!F34,"ERROR!!!!! NO CONCUERDA CON LO REPORTADO EN EL ESTADO ANALITICO DE LA DEUDA Y OTROS PASIVOS","")</f>
        <v/>
      </c>
    </row>
    <row r="15" spans="1:10" x14ac:dyDescent="0.25">
      <c r="A15" s="621"/>
      <c r="B15" s="622" t="s">
        <v>299</v>
      </c>
      <c r="C15" s="537">
        <v>0</v>
      </c>
      <c r="D15" s="537">
        <v>0</v>
      </c>
      <c r="E15" s="537">
        <v>0</v>
      </c>
      <c r="F15" s="537">
        <v>0</v>
      </c>
      <c r="G15" s="518">
        <f t="shared" si="4"/>
        <v>0</v>
      </c>
      <c r="H15" s="537">
        <v>0</v>
      </c>
      <c r="I15" s="537">
        <v>0</v>
      </c>
    </row>
    <row r="16" spans="1:10" x14ac:dyDescent="0.25">
      <c r="A16" s="621"/>
      <c r="B16" s="622" t="s">
        <v>300</v>
      </c>
      <c r="C16" s="537">
        <v>0</v>
      </c>
      <c r="D16" s="537">
        <v>0</v>
      </c>
      <c r="E16" s="537">
        <v>0</v>
      </c>
      <c r="F16" s="537">
        <v>0</v>
      </c>
      <c r="G16" s="518">
        <f t="shared" si="4"/>
        <v>0</v>
      </c>
      <c r="H16" s="537">
        <v>0</v>
      </c>
      <c r="I16" s="537">
        <v>0</v>
      </c>
    </row>
    <row r="17" spans="1:10" s="514" customFormat="1" ht="16.5" x14ac:dyDescent="0.25">
      <c r="A17" s="1102" t="s">
        <v>301</v>
      </c>
      <c r="B17" s="1103"/>
      <c r="C17" s="607">
        <v>438953058.68000001</v>
      </c>
      <c r="D17" s="555"/>
      <c r="E17" s="555"/>
      <c r="F17" s="555"/>
      <c r="G17" s="607">
        <v>1199951699.5899999</v>
      </c>
      <c r="H17" s="555"/>
      <c r="I17" s="555"/>
      <c r="J17" s="315" t="str">
        <f>IF(C17&lt;&gt;'CPCA-I-08'!E36,"ERROR!!! NO CONCUERDA CON LO REPORTADO EN EL ESTADO ANALITICO DE LA DEUDA Y OTROS PASIVOS","")</f>
        <v/>
      </c>
    </row>
    <row r="18" spans="1:10" ht="16.5" customHeight="1" x14ac:dyDescent="0.25">
      <c r="A18" s="1102" t="s">
        <v>302</v>
      </c>
      <c r="B18" s="1103"/>
      <c r="C18" s="518">
        <f t="shared" ref="C18:I18" si="5">C8+C17</f>
        <v>683692470.63</v>
      </c>
      <c r="D18" s="518">
        <f t="shared" si="5"/>
        <v>0</v>
      </c>
      <c r="E18" s="518">
        <f t="shared" si="5"/>
        <v>30933478.780000001</v>
      </c>
      <c r="F18" s="518">
        <f t="shared" si="5"/>
        <v>-9.9999979138374329E-3</v>
      </c>
      <c r="G18" s="518">
        <f t="shared" si="5"/>
        <v>1413757632.75</v>
      </c>
      <c r="H18" s="518">
        <f t="shared" si="5"/>
        <v>28432546.359999999</v>
      </c>
      <c r="I18" s="518">
        <f t="shared" si="5"/>
        <v>0</v>
      </c>
      <c r="J18" s="315" t="str">
        <f>IF(G17&lt;&gt;'CPCA-I-08'!F36,"ERROR!!! NO CONCUERDA CON LO REPORTADO EN EL ESTADO ANALITICO DE LA DEUDA Y OTROS PASIVOS","")</f>
        <v/>
      </c>
    </row>
    <row r="19" spans="1:10" ht="16.5" customHeight="1" x14ac:dyDescent="0.25">
      <c r="A19" s="1102" t="s">
        <v>303</v>
      </c>
      <c r="B19" s="1103"/>
      <c r="C19" s="518">
        <f>SUM(C20:C22)</f>
        <v>0</v>
      </c>
      <c r="D19" s="518">
        <f t="shared" ref="D19:I19" si="6">SUM(D20:D22)</f>
        <v>0</v>
      </c>
      <c r="E19" s="518">
        <f t="shared" si="6"/>
        <v>0</v>
      </c>
      <c r="F19" s="518">
        <f t="shared" si="6"/>
        <v>0</v>
      </c>
      <c r="G19" s="518">
        <f>+C19+D19-E19+F19</f>
        <v>0</v>
      </c>
      <c r="H19" s="518">
        <f t="shared" si="6"/>
        <v>0</v>
      </c>
      <c r="I19" s="518">
        <f t="shared" si="6"/>
        <v>0</v>
      </c>
      <c r="J19" s="315" t="str">
        <f>IF(G18&lt;&gt;'CPCA-I-08'!F38,"ERROR!!!! NO CONCUERDA CON LO REPORTADO EN EL ESTADO ANALITICO DE LA DEUDA Y OTROS PASIVOS","")</f>
        <v/>
      </c>
    </row>
    <row r="20" spans="1:10" x14ac:dyDescent="0.25">
      <c r="A20" s="1104" t="s">
        <v>304</v>
      </c>
      <c r="B20" s="1105"/>
      <c r="C20" s="537">
        <v>0</v>
      </c>
      <c r="D20" s="537">
        <v>0</v>
      </c>
      <c r="E20" s="537">
        <v>0</v>
      </c>
      <c r="F20" s="537">
        <v>0</v>
      </c>
      <c r="G20" s="518">
        <f t="shared" ref="G20:G22" si="7">+C20+D20-E20+F20</f>
        <v>0</v>
      </c>
      <c r="H20" s="537">
        <v>0</v>
      </c>
      <c r="I20" s="537">
        <v>0</v>
      </c>
      <c r="J20" t="str">
        <f>IF(C18&lt;&gt;'CPCA-I-08'!E38,"ERROR!!!!! , NO CONCUERDA CON LO REPORTADO EN EL ESTADO ANALITICO DE LA DEUDA Y OTROS PASIVOS","")</f>
        <v/>
      </c>
    </row>
    <row r="21" spans="1:10" x14ac:dyDescent="0.25">
      <c r="A21" s="1104" t="s">
        <v>305</v>
      </c>
      <c r="B21" s="1105"/>
      <c r="C21" s="537">
        <v>0</v>
      </c>
      <c r="D21" s="537">
        <v>0</v>
      </c>
      <c r="E21" s="537">
        <v>0</v>
      </c>
      <c r="F21" s="537">
        <v>0</v>
      </c>
      <c r="G21" s="518">
        <f t="shared" si="7"/>
        <v>0</v>
      </c>
      <c r="H21" s="537">
        <v>0</v>
      </c>
      <c r="I21" s="537">
        <v>0</v>
      </c>
    </row>
    <row r="22" spans="1:10" x14ac:dyDescent="0.25">
      <c r="A22" s="1104" t="s">
        <v>306</v>
      </c>
      <c r="B22" s="1105"/>
      <c r="C22" s="537"/>
      <c r="D22" s="537"/>
      <c r="E22" s="537"/>
      <c r="F22" s="537"/>
      <c r="G22" s="518">
        <f t="shared" si="7"/>
        <v>0</v>
      </c>
      <c r="H22" s="537"/>
      <c r="I22" s="537"/>
    </row>
    <row r="23" spans="1:10" ht="16.5" customHeight="1" x14ac:dyDescent="0.25">
      <c r="A23" s="1102" t="s">
        <v>307</v>
      </c>
      <c r="B23" s="1103"/>
      <c r="C23" s="518">
        <f>SUM(C24:C26)</f>
        <v>0</v>
      </c>
      <c r="D23" s="518">
        <f t="shared" ref="D23:I23" si="8">SUM(D24:D26)</f>
        <v>0</v>
      </c>
      <c r="E23" s="518">
        <f t="shared" si="8"/>
        <v>0</v>
      </c>
      <c r="F23" s="518">
        <f t="shared" si="8"/>
        <v>0</v>
      </c>
      <c r="G23" s="518">
        <f t="shared" si="8"/>
        <v>0</v>
      </c>
      <c r="H23" s="518">
        <f t="shared" si="8"/>
        <v>0</v>
      </c>
      <c r="I23" s="518">
        <f t="shared" si="8"/>
        <v>0</v>
      </c>
    </row>
    <row r="24" spans="1:10" x14ac:dyDescent="0.25">
      <c r="A24" s="1104" t="s">
        <v>308</v>
      </c>
      <c r="B24" s="1105"/>
      <c r="C24" s="537">
        <v>0</v>
      </c>
      <c r="D24" s="537">
        <v>0</v>
      </c>
      <c r="E24" s="537">
        <v>0</v>
      </c>
      <c r="F24" s="537">
        <v>0</v>
      </c>
      <c r="G24" s="518">
        <f t="shared" ref="G24:G26" si="9">+C24+D24-E24+F24</f>
        <v>0</v>
      </c>
      <c r="H24" s="537">
        <v>0</v>
      </c>
      <c r="I24" s="537">
        <v>0</v>
      </c>
    </row>
    <row r="25" spans="1:10" x14ac:dyDescent="0.25">
      <c r="A25" s="1104" t="s">
        <v>309</v>
      </c>
      <c r="B25" s="1105"/>
      <c r="C25" s="537">
        <v>0</v>
      </c>
      <c r="D25" s="537">
        <v>0</v>
      </c>
      <c r="E25" s="537">
        <v>0</v>
      </c>
      <c r="F25" s="537">
        <v>0</v>
      </c>
      <c r="G25" s="518">
        <f t="shared" si="9"/>
        <v>0</v>
      </c>
      <c r="H25" s="537">
        <v>0</v>
      </c>
      <c r="I25" s="537">
        <v>0</v>
      </c>
    </row>
    <row r="26" spans="1:10" x14ac:dyDescent="0.25">
      <c r="A26" s="1104" t="s">
        <v>310</v>
      </c>
      <c r="B26" s="1105"/>
      <c r="C26" s="537">
        <v>0</v>
      </c>
      <c r="D26" s="537">
        <v>0</v>
      </c>
      <c r="E26" s="537">
        <v>0</v>
      </c>
      <c r="F26" s="537">
        <v>0</v>
      </c>
      <c r="G26" s="518">
        <f t="shared" si="9"/>
        <v>0</v>
      </c>
      <c r="H26" s="537">
        <v>0</v>
      </c>
      <c r="I26" s="537">
        <v>0</v>
      </c>
    </row>
    <row r="27" spans="1:10" ht="7.5" customHeight="1" thickBot="1" x14ac:dyDescent="0.3">
      <c r="A27" s="1113"/>
      <c r="B27" s="1114"/>
      <c r="C27" s="521"/>
      <c r="D27" s="521"/>
      <c r="E27" s="521"/>
      <c r="F27" s="521"/>
      <c r="G27" s="521"/>
      <c r="H27" s="521"/>
      <c r="I27" s="521"/>
    </row>
    <row r="28" spans="1:10" ht="3.75" customHeight="1" x14ac:dyDescent="0.25"/>
    <row r="29" spans="1:10" ht="33" customHeight="1" x14ac:dyDescent="0.25">
      <c r="B29" s="485">
        <v>1</v>
      </c>
      <c r="C29" s="1106" t="s">
        <v>311</v>
      </c>
      <c r="D29" s="1106"/>
      <c r="E29" s="1106"/>
      <c r="F29" s="1106"/>
      <c r="G29" s="1106"/>
      <c r="H29" s="1106"/>
      <c r="I29" s="1106"/>
    </row>
    <row r="30" spans="1:10" ht="18.75" customHeight="1" x14ac:dyDescent="0.25">
      <c r="B30" s="485">
        <v>2</v>
      </c>
      <c r="C30" s="1106" t="s">
        <v>312</v>
      </c>
      <c r="D30" s="1106"/>
      <c r="E30" s="1106"/>
      <c r="F30" s="1106"/>
      <c r="G30" s="1106"/>
      <c r="H30" s="1106"/>
      <c r="I30" s="1106"/>
    </row>
    <row r="31" spans="1:10" ht="3.75" customHeight="1" thickBot="1" x14ac:dyDescent="0.3"/>
    <row r="32" spans="1:10" x14ac:dyDescent="0.25">
      <c r="B32" s="1107" t="s">
        <v>313</v>
      </c>
      <c r="C32" s="480" t="s">
        <v>314</v>
      </c>
      <c r="D32" s="480" t="s">
        <v>315</v>
      </c>
      <c r="E32" s="480" t="s">
        <v>316</v>
      </c>
      <c r="F32" s="1110" t="s">
        <v>317</v>
      </c>
      <c r="G32" s="480" t="s">
        <v>318</v>
      </c>
    </row>
    <row r="33" spans="2:7" x14ac:dyDescent="0.25">
      <c r="B33" s="1108"/>
      <c r="C33" s="470" t="s">
        <v>319</v>
      </c>
      <c r="D33" s="470" t="s">
        <v>320</v>
      </c>
      <c r="E33" s="470" t="s">
        <v>321</v>
      </c>
      <c r="F33" s="1111"/>
      <c r="G33" s="470" t="s">
        <v>322</v>
      </c>
    </row>
    <row r="34" spans="2:7" ht="15.75" thickBot="1" x14ac:dyDescent="0.3">
      <c r="B34" s="1109"/>
      <c r="C34" s="481"/>
      <c r="D34" s="471" t="s">
        <v>323</v>
      </c>
      <c r="E34" s="481"/>
      <c r="F34" s="1112"/>
      <c r="G34" s="481"/>
    </row>
    <row r="35" spans="2:7" ht="19.5" x14ac:dyDescent="0.25">
      <c r="B35" s="482" t="s">
        <v>324</v>
      </c>
      <c r="C35" s="472"/>
      <c r="D35" s="472"/>
      <c r="E35" s="472"/>
      <c r="F35" s="472"/>
      <c r="G35" s="472"/>
    </row>
    <row r="36" spans="2:7" x14ac:dyDescent="0.25">
      <c r="B36" s="483" t="s">
        <v>325</v>
      </c>
      <c r="C36" s="519"/>
      <c r="D36" s="519"/>
      <c r="E36" s="519"/>
      <c r="F36" s="519"/>
      <c r="G36" s="519"/>
    </row>
    <row r="37" spans="2:7" x14ac:dyDescent="0.25">
      <c r="B37" s="483" t="s">
        <v>326</v>
      </c>
      <c r="C37" s="519"/>
      <c r="D37" s="519"/>
      <c r="E37" s="519"/>
      <c r="F37" s="519"/>
      <c r="G37" s="519"/>
    </row>
    <row r="38" spans="2:7" ht="15.75" thickBot="1" x14ac:dyDescent="0.3">
      <c r="B38" s="484" t="s">
        <v>327</v>
      </c>
      <c r="C38" s="520"/>
      <c r="D38" s="520"/>
      <c r="E38" s="520"/>
      <c r="F38" s="520"/>
      <c r="G38" s="520"/>
    </row>
  </sheetData>
  <sheetProtection formatColumns="0" formatRows="0" insertHyperlinks="0"/>
  <mergeCells count="29">
    <mergeCell ref="A8:B8"/>
    <mergeCell ref="A9:B9"/>
    <mergeCell ref="A13:B13"/>
    <mergeCell ref="A17:B17"/>
    <mergeCell ref="A1:I1"/>
    <mergeCell ref="A2:I2"/>
    <mergeCell ref="A3:I3"/>
    <mergeCell ref="A4:I4"/>
    <mergeCell ref="A5:B6"/>
    <mergeCell ref="D5:D6"/>
    <mergeCell ref="E5:E6"/>
    <mergeCell ref="F5:F6"/>
    <mergeCell ref="H5:H6"/>
    <mergeCell ref="I5:I6"/>
    <mergeCell ref="A7:B7"/>
    <mergeCell ref="C30:I30"/>
    <mergeCell ref="C29:I29"/>
    <mergeCell ref="B32:B34"/>
    <mergeCell ref="F32:F34"/>
    <mergeCell ref="A23:B23"/>
    <mergeCell ref="A24:B24"/>
    <mergeCell ref="A25:B25"/>
    <mergeCell ref="A26:B26"/>
    <mergeCell ref="A27:B27"/>
    <mergeCell ref="A19:B19"/>
    <mergeCell ref="A20:B20"/>
    <mergeCell ref="A21:B21"/>
    <mergeCell ref="A22:B22"/>
    <mergeCell ref="A18:B18"/>
  </mergeCells>
  <printOptions horizontalCentered="1"/>
  <pageMargins left="0.23622047244094491" right="0.23622047244094491" top="0.35433070866141736" bottom="0.35433070866141736" header="0.31496062992125984" footer="0.31496062992125984"/>
  <pageSetup scale="8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4.9989318521683403E-2"/>
  </sheetPr>
  <dimension ref="A1:K20"/>
  <sheetViews>
    <sheetView view="pageBreakPreview" zoomScaleSheetLayoutView="100" workbookViewId="0">
      <selection activeCell="K8" sqref="K8"/>
    </sheetView>
  </sheetViews>
  <sheetFormatPr baseColWidth="10" defaultColWidth="11.42578125" defaultRowHeight="15" x14ac:dyDescent="0.25"/>
  <cols>
    <col min="1" max="1" width="23.5703125" customWidth="1"/>
  </cols>
  <sheetData>
    <row r="1" spans="1:11" ht="15.75" x14ac:dyDescent="0.25">
      <c r="A1" s="1060" t="str">
        <f>'CPCA-I-01'!A1:G1</f>
        <v xml:space="preserve">Comision Estatal del Agua </v>
      </c>
      <c r="B1" s="1060"/>
      <c r="C1" s="1060"/>
      <c r="D1" s="1060"/>
      <c r="E1" s="1060"/>
      <c r="F1" s="1060"/>
      <c r="G1" s="1060"/>
      <c r="H1" s="1060"/>
      <c r="I1" s="1060"/>
      <c r="J1" s="1060"/>
      <c r="K1" s="1060"/>
    </row>
    <row r="2" spans="1:11" ht="15.75" customHeight="1" x14ac:dyDescent="0.25">
      <c r="A2" s="1057" t="s">
        <v>328</v>
      </c>
      <c r="B2" s="1057"/>
      <c r="C2" s="1057"/>
      <c r="D2" s="1057"/>
      <c r="E2" s="1057"/>
      <c r="F2" s="1057"/>
      <c r="G2" s="1057"/>
      <c r="H2" s="1057"/>
      <c r="I2" s="1057"/>
      <c r="J2" s="1057"/>
      <c r="K2" s="1057"/>
    </row>
    <row r="3" spans="1:11" ht="15.75" customHeight="1" x14ac:dyDescent="0.25">
      <c r="A3" s="1115" t="str">
        <f>'CPCA-I-09'!A3:I3</f>
        <v xml:space="preserve">Del  01 de Enero de 2023 al 31 de Diciembre de 2023 </v>
      </c>
      <c r="B3" s="1115"/>
      <c r="C3" s="1115"/>
      <c r="D3" s="1115"/>
      <c r="E3" s="1115"/>
      <c r="F3" s="1115"/>
      <c r="G3" s="1115"/>
      <c r="H3" s="1115"/>
      <c r="I3" s="1115"/>
      <c r="J3" s="1115"/>
      <c r="K3" s="1115"/>
    </row>
    <row r="4" spans="1:11" ht="15.75" thickBot="1" x14ac:dyDescent="0.3">
      <c r="A4" s="1116" t="s">
        <v>82</v>
      </c>
      <c r="B4" s="1116"/>
      <c r="C4" s="1116"/>
      <c r="D4" s="1116"/>
      <c r="E4" s="1116"/>
      <c r="F4" s="1116"/>
      <c r="G4" s="1116"/>
      <c r="H4" s="1116"/>
      <c r="I4" s="1116"/>
      <c r="J4" s="1116"/>
      <c r="K4" s="1116"/>
    </row>
    <row r="5" spans="1:11" ht="115.5" thickBot="1" x14ac:dyDescent="0.3">
      <c r="A5" s="474" t="s">
        <v>329</v>
      </c>
      <c r="B5" s="475" t="s">
        <v>330</v>
      </c>
      <c r="C5" s="475" t="s">
        <v>331</v>
      </c>
      <c r="D5" s="475" t="s">
        <v>332</v>
      </c>
      <c r="E5" s="475" t="s">
        <v>333</v>
      </c>
      <c r="F5" s="475" t="s">
        <v>334</v>
      </c>
      <c r="G5" s="475" t="s">
        <v>335</v>
      </c>
      <c r="H5" s="475" t="s">
        <v>336</v>
      </c>
      <c r="I5" s="673" t="s">
        <v>1904</v>
      </c>
      <c r="J5" s="673" t="s">
        <v>1905</v>
      </c>
      <c r="K5" s="673" t="s">
        <v>6407</v>
      </c>
    </row>
    <row r="6" spans="1:11" x14ac:dyDescent="0.25">
      <c r="A6" s="467"/>
      <c r="B6" s="469"/>
      <c r="C6" s="469"/>
      <c r="D6" s="469"/>
      <c r="E6" s="469"/>
      <c r="F6" s="469"/>
      <c r="G6" s="469"/>
      <c r="H6" s="469"/>
      <c r="I6" s="469"/>
      <c r="J6" s="469"/>
      <c r="K6" s="469"/>
    </row>
    <row r="7" spans="1:11" ht="25.5" x14ac:dyDescent="0.25">
      <c r="A7" s="476" t="s">
        <v>337</v>
      </c>
      <c r="B7" s="861">
        <f t="shared" ref="B7:J7" si="0">B8+B9+B10+B11</f>
        <v>43287</v>
      </c>
      <c r="C7" s="861">
        <f t="shared" si="0"/>
        <v>44762</v>
      </c>
      <c r="D7" s="861">
        <f t="shared" si="0"/>
        <v>45199</v>
      </c>
      <c r="E7" s="522">
        <f t="shared" si="0"/>
        <v>789866584</v>
      </c>
      <c r="F7" s="522">
        <f t="shared" si="0"/>
        <v>240</v>
      </c>
      <c r="G7" s="522">
        <f t="shared" si="0"/>
        <v>4673744.03</v>
      </c>
      <c r="H7" s="522">
        <f t="shared" si="0"/>
        <v>4673744.03</v>
      </c>
      <c r="I7" s="522">
        <f t="shared" si="0"/>
        <v>79034563.379999995</v>
      </c>
      <c r="J7" s="522">
        <f t="shared" si="0"/>
        <v>79034563.379999995</v>
      </c>
      <c r="K7" s="522">
        <f>E7-J7</f>
        <v>710832020.62</v>
      </c>
    </row>
    <row r="8" spans="1:11" x14ac:dyDescent="0.25">
      <c r="A8" s="477" t="s">
        <v>338</v>
      </c>
      <c r="B8" s="861">
        <v>43287</v>
      </c>
      <c r="C8" s="861">
        <v>44762</v>
      </c>
      <c r="D8" s="861">
        <v>45199</v>
      </c>
      <c r="E8" s="530">
        <v>789866584</v>
      </c>
      <c r="F8" s="530">
        <v>240</v>
      </c>
      <c r="G8" s="530">
        <v>4673744.03</v>
      </c>
      <c r="H8" s="530">
        <v>4673744.03</v>
      </c>
      <c r="I8" s="530">
        <v>79034563.379999995</v>
      </c>
      <c r="J8" s="530">
        <v>79034563.379999995</v>
      </c>
      <c r="K8" s="522">
        <f>E8-J8</f>
        <v>710832020.62</v>
      </c>
    </row>
    <row r="9" spans="1:11" x14ac:dyDescent="0.25">
      <c r="A9" s="477" t="s">
        <v>339</v>
      </c>
      <c r="B9" s="530">
        <v>0</v>
      </c>
      <c r="C9" s="530"/>
      <c r="D9" s="530"/>
      <c r="E9" s="530">
        <v>0</v>
      </c>
      <c r="F9" s="530"/>
      <c r="G9" s="530"/>
      <c r="H9" s="530"/>
      <c r="I9" s="530"/>
      <c r="J9" s="530">
        <v>0</v>
      </c>
      <c r="K9" s="522">
        <f t="shared" ref="K9:K11" si="1">E9-J9</f>
        <v>0</v>
      </c>
    </row>
    <row r="10" spans="1:11" x14ac:dyDescent="0.25">
      <c r="A10" s="477" t="s">
        <v>340</v>
      </c>
      <c r="B10" s="530">
        <v>0</v>
      </c>
      <c r="C10" s="530">
        <v>0</v>
      </c>
      <c r="D10" s="530">
        <v>0</v>
      </c>
      <c r="E10" s="530">
        <v>0</v>
      </c>
      <c r="F10" s="530">
        <v>0</v>
      </c>
      <c r="G10" s="530">
        <v>0</v>
      </c>
      <c r="H10" s="530">
        <v>0</v>
      </c>
      <c r="I10" s="530">
        <v>0</v>
      </c>
      <c r="J10" s="530">
        <v>0</v>
      </c>
      <c r="K10" s="522">
        <f t="shared" si="1"/>
        <v>0</v>
      </c>
    </row>
    <row r="11" spans="1:11" x14ac:dyDescent="0.25">
      <c r="A11" s="477" t="s">
        <v>341</v>
      </c>
      <c r="B11" s="530">
        <v>0</v>
      </c>
      <c r="C11" s="530"/>
      <c r="D11" s="530"/>
      <c r="E11" s="530">
        <v>0</v>
      </c>
      <c r="F11" s="530"/>
      <c r="G11" s="530"/>
      <c r="H11" s="530"/>
      <c r="I11" s="530"/>
      <c r="J11" s="530">
        <v>0</v>
      </c>
      <c r="K11" s="522">
        <f t="shared" si="1"/>
        <v>0</v>
      </c>
    </row>
    <row r="12" spans="1:11" x14ac:dyDescent="0.25">
      <c r="A12" s="468"/>
      <c r="B12" s="522"/>
      <c r="C12" s="522"/>
      <c r="D12" s="522"/>
      <c r="E12" s="522"/>
      <c r="F12" s="522"/>
      <c r="G12" s="522"/>
      <c r="H12" s="522"/>
      <c r="I12" s="522"/>
      <c r="J12" s="522"/>
      <c r="K12" s="522"/>
    </row>
    <row r="13" spans="1:11" ht="25.5" x14ac:dyDescent="0.25">
      <c r="A13" s="476" t="s">
        <v>342</v>
      </c>
      <c r="B13" s="522">
        <f t="shared" ref="B13:J13" si="2">B14+B15+B16+B17</f>
        <v>0</v>
      </c>
      <c r="C13" s="522">
        <f t="shared" si="2"/>
        <v>0</v>
      </c>
      <c r="D13" s="522">
        <f t="shared" si="2"/>
        <v>0</v>
      </c>
      <c r="E13" s="522">
        <f t="shared" si="2"/>
        <v>0</v>
      </c>
      <c r="F13" s="522">
        <f t="shared" si="2"/>
        <v>0</v>
      </c>
      <c r="G13" s="522">
        <f t="shared" si="2"/>
        <v>0</v>
      </c>
      <c r="H13" s="522">
        <f t="shared" si="2"/>
        <v>0</v>
      </c>
      <c r="I13" s="522">
        <f t="shared" si="2"/>
        <v>0</v>
      </c>
      <c r="J13" s="522">
        <f t="shared" si="2"/>
        <v>0</v>
      </c>
      <c r="K13" s="522">
        <f>E13-J13</f>
        <v>0</v>
      </c>
    </row>
    <row r="14" spans="1:11" x14ac:dyDescent="0.25">
      <c r="A14" s="477" t="s">
        <v>343</v>
      </c>
      <c r="B14" s="530">
        <v>0</v>
      </c>
      <c r="C14" s="530"/>
      <c r="D14" s="530"/>
      <c r="E14" s="530">
        <v>0</v>
      </c>
      <c r="F14" s="530"/>
      <c r="G14" s="530"/>
      <c r="H14" s="530"/>
      <c r="I14" s="530"/>
      <c r="J14" s="530"/>
      <c r="K14" s="522">
        <f t="shared" ref="K14:K17" si="3">E14-J14</f>
        <v>0</v>
      </c>
    </row>
    <row r="15" spans="1:11" x14ac:dyDescent="0.25">
      <c r="A15" s="477" t="s">
        <v>344</v>
      </c>
      <c r="B15" s="530">
        <v>0</v>
      </c>
      <c r="C15" s="530"/>
      <c r="D15" s="530">
        <v>0</v>
      </c>
      <c r="E15" s="530">
        <v>0</v>
      </c>
      <c r="F15" s="530">
        <v>0</v>
      </c>
      <c r="G15" s="530">
        <v>0</v>
      </c>
      <c r="H15" s="530">
        <v>0</v>
      </c>
      <c r="I15" s="530">
        <v>0</v>
      </c>
      <c r="J15" s="530">
        <v>0</v>
      </c>
      <c r="K15" s="522">
        <f t="shared" si="3"/>
        <v>0</v>
      </c>
    </row>
    <row r="16" spans="1:11" x14ac:dyDescent="0.25">
      <c r="A16" s="477" t="s">
        <v>345</v>
      </c>
      <c r="B16" s="530">
        <v>0</v>
      </c>
      <c r="C16" s="530">
        <v>0</v>
      </c>
      <c r="D16" s="530"/>
      <c r="E16" s="530">
        <v>0</v>
      </c>
      <c r="F16" s="530"/>
      <c r="G16" s="530"/>
      <c r="H16" s="530"/>
      <c r="I16" s="530"/>
      <c r="J16" s="530"/>
      <c r="K16" s="522">
        <f t="shared" si="3"/>
        <v>0</v>
      </c>
    </row>
    <row r="17" spans="1:11" x14ac:dyDescent="0.25">
      <c r="A17" s="477" t="s">
        <v>346</v>
      </c>
      <c r="B17" s="530">
        <v>0</v>
      </c>
      <c r="C17" s="530"/>
      <c r="D17" s="530"/>
      <c r="E17" s="530">
        <v>0</v>
      </c>
      <c r="F17" s="530"/>
      <c r="G17" s="530"/>
      <c r="H17" s="530"/>
      <c r="I17" s="530"/>
      <c r="J17" s="530"/>
      <c r="K17" s="522">
        <f t="shared" si="3"/>
        <v>0</v>
      </c>
    </row>
    <row r="18" spans="1:11" x14ac:dyDescent="0.25">
      <c r="A18" s="468"/>
      <c r="B18" s="522">
        <v>0</v>
      </c>
      <c r="C18" s="522"/>
      <c r="D18" s="522"/>
      <c r="E18" s="522"/>
      <c r="F18" s="522"/>
      <c r="G18" s="522"/>
      <c r="H18" s="522"/>
      <c r="I18" s="522"/>
      <c r="J18" s="522"/>
      <c r="K18" s="522"/>
    </row>
    <row r="19" spans="1:11" ht="38.25" x14ac:dyDescent="0.25">
      <c r="A19" s="476" t="s">
        <v>347</v>
      </c>
      <c r="B19" s="861">
        <f>B7+B13</f>
        <v>43287</v>
      </c>
      <c r="C19" s="861">
        <f t="shared" ref="C19:J19" si="4">C7+C13</f>
        <v>44762</v>
      </c>
      <c r="D19" s="861">
        <f t="shared" si="4"/>
        <v>45199</v>
      </c>
      <c r="E19" s="522">
        <f t="shared" si="4"/>
        <v>789866584</v>
      </c>
      <c r="F19" s="522">
        <f t="shared" si="4"/>
        <v>240</v>
      </c>
      <c r="G19" s="522">
        <f t="shared" si="4"/>
        <v>4673744.03</v>
      </c>
      <c r="H19" s="522">
        <f t="shared" si="4"/>
        <v>4673744.03</v>
      </c>
      <c r="I19" s="522">
        <f t="shared" si="4"/>
        <v>79034563.379999995</v>
      </c>
      <c r="J19" s="522">
        <f t="shared" si="4"/>
        <v>79034563.379999995</v>
      </c>
      <c r="K19" s="522">
        <f>E19-J19</f>
        <v>710832020.62</v>
      </c>
    </row>
    <row r="20" spans="1:11" ht="15.75" thickBot="1" x14ac:dyDescent="0.3">
      <c r="A20" s="478"/>
      <c r="B20" s="479"/>
      <c r="C20" s="479"/>
      <c r="D20" s="479"/>
      <c r="E20" s="479"/>
      <c r="F20" s="479"/>
      <c r="G20" s="479"/>
      <c r="H20" s="479"/>
      <c r="I20" s="479"/>
      <c r="J20" s="479"/>
      <c r="K20" s="479"/>
    </row>
  </sheetData>
  <mergeCells count="4">
    <mergeCell ref="A1:K1"/>
    <mergeCell ref="A2:K2"/>
    <mergeCell ref="A3:K3"/>
    <mergeCell ref="A4:K4"/>
  </mergeCells>
  <printOptions horizontalCentered="1"/>
  <pageMargins left="0.23622047244094491" right="0.23622047244094491" top="0.74803149606299213" bottom="0.74803149606299213" header="0.31496062992125984" footer="0.31496062992125984"/>
  <pageSetup scale="85"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6">
    <tabColor theme="0" tint="-4.9989318521683403E-2"/>
  </sheetPr>
  <dimension ref="A1:I32"/>
  <sheetViews>
    <sheetView topLeftCell="A7" zoomScaleNormal="100" zoomScaleSheetLayoutView="90" workbookViewId="0">
      <selection activeCell="C56" sqref="C56"/>
    </sheetView>
  </sheetViews>
  <sheetFormatPr baseColWidth="10" defaultColWidth="11.28515625" defaultRowHeight="16.5" x14ac:dyDescent="0.3"/>
  <cols>
    <col min="1" max="1" width="18.85546875" style="3" customWidth="1"/>
    <col min="2" max="7" width="11.28515625" style="3"/>
    <col min="8" max="8" width="12.140625" style="3" customWidth="1"/>
    <col min="9" max="9" width="14.28515625" style="3" customWidth="1"/>
    <col min="10" max="16384" width="11.28515625" style="3"/>
  </cols>
  <sheetData>
    <row r="1" spans="1:9" x14ac:dyDescent="0.3">
      <c r="A1" s="1128" t="str">
        <f>'CPCA-I-01'!A1:G1</f>
        <v xml:space="preserve">Comision Estatal del Agua </v>
      </c>
      <c r="B1" s="1128"/>
      <c r="C1" s="1128"/>
      <c r="D1" s="1128"/>
      <c r="E1" s="1128"/>
      <c r="F1" s="1128"/>
      <c r="G1" s="1128"/>
      <c r="H1" s="1128"/>
      <c r="I1" s="1128"/>
    </row>
    <row r="2" spans="1:9" x14ac:dyDescent="0.3">
      <c r="A2" s="1129" t="s">
        <v>8</v>
      </c>
      <c r="B2" s="1129"/>
      <c r="C2" s="1129"/>
      <c r="D2" s="1129"/>
      <c r="E2" s="1129"/>
      <c r="F2" s="1129"/>
      <c r="G2" s="1129"/>
      <c r="H2" s="1129"/>
      <c r="I2" s="1129"/>
    </row>
    <row r="3" spans="1:9" x14ac:dyDescent="0.3">
      <c r="A3" s="1077" t="str">
        <f>'CPCA-I-01'!A3:G3</f>
        <v>Al 31 de Diciembre del 2023</v>
      </c>
      <c r="B3" s="1077"/>
      <c r="C3" s="1077"/>
      <c r="D3" s="1077"/>
      <c r="E3" s="1077"/>
      <c r="F3" s="1077"/>
      <c r="G3" s="1077"/>
      <c r="H3" s="1077"/>
      <c r="I3" s="1077"/>
    </row>
    <row r="4" spans="1:9" ht="18" customHeight="1" thickBot="1" x14ac:dyDescent="0.35">
      <c r="A4" s="5"/>
      <c r="B4" s="1130" t="s">
        <v>914</v>
      </c>
      <c r="C4" s="1130"/>
      <c r="D4" s="1130"/>
      <c r="E4" s="1130"/>
      <c r="F4" s="1130"/>
      <c r="G4" s="1130"/>
      <c r="H4" s="243"/>
      <c r="I4" s="5"/>
    </row>
    <row r="5" spans="1:9" x14ac:dyDescent="0.3">
      <c r="A5" s="7"/>
      <c r="B5" s="8"/>
      <c r="C5" s="8"/>
      <c r="D5" s="8"/>
      <c r="E5" s="8"/>
      <c r="F5" s="8"/>
      <c r="G5" s="8"/>
      <c r="H5" s="8"/>
      <c r="I5" s="9"/>
    </row>
    <row r="6" spans="1:9" x14ac:dyDescent="0.3">
      <c r="A6" s="10"/>
      <c r="B6" s="11"/>
      <c r="C6" s="11"/>
      <c r="D6" s="11"/>
      <c r="E6" s="11"/>
      <c r="F6" s="11"/>
      <c r="G6" s="11"/>
      <c r="H6" s="11"/>
      <c r="I6" s="12"/>
    </row>
    <row r="7" spans="1:9" x14ac:dyDescent="0.3">
      <c r="A7" s="13" t="s">
        <v>348</v>
      </c>
      <c r="B7" s="11"/>
      <c r="C7" s="11"/>
      <c r="D7" s="11"/>
      <c r="E7" s="11"/>
      <c r="F7" s="11"/>
      <c r="G7" s="11"/>
      <c r="H7" s="11"/>
      <c r="I7" s="12"/>
    </row>
    <row r="8" spans="1:9" x14ac:dyDescent="0.3">
      <c r="A8" s="13"/>
      <c r="B8" s="11"/>
      <c r="C8" s="11"/>
      <c r="D8" s="11"/>
      <c r="E8" s="11"/>
      <c r="F8" s="11"/>
      <c r="G8" s="11"/>
      <c r="H8" s="11"/>
      <c r="I8" s="12"/>
    </row>
    <row r="9" spans="1:9" ht="15.75" customHeight="1" x14ac:dyDescent="0.3">
      <c r="A9" s="10"/>
      <c r="B9" s="11"/>
      <c r="C9" s="14"/>
      <c r="D9" s="14"/>
      <c r="E9" s="14"/>
      <c r="F9" s="14"/>
      <c r="G9" s="14"/>
      <c r="H9" s="14"/>
      <c r="I9" s="12"/>
    </row>
    <row r="10" spans="1:9" ht="15" customHeight="1" thickBot="1" x14ac:dyDescent="0.35">
      <c r="A10" s="15"/>
      <c r="B10" s="1"/>
      <c r="C10" s="16"/>
      <c r="D10" s="16"/>
      <c r="E10" s="16"/>
      <c r="F10" s="16"/>
      <c r="G10" s="16"/>
      <c r="H10" s="16"/>
      <c r="I10" s="2"/>
    </row>
    <row r="11" spans="1:9" ht="15" customHeight="1" x14ac:dyDescent="0.3">
      <c r="A11" s="10"/>
      <c r="B11" s="11"/>
      <c r="C11" s="14"/>
      <c r="D11" s="14"/>
      <c r="E11" s="14"/>
      <c r="F11" s="14"/>
      <c r="G11" s="14"/>
      <c r="H11" s="14"/>
      <c r="I11" s="12"/>
    </row>
    <row r="12" spans="1:9" ht="15" customHeight="1" x14ac:dyDescent="0.3">
      <c r="A12" s="13" t="s">
        <v>349</v>
      </c>
      <c r="B12" s="11"/>
      <c r="C12" s="14"/>
      <c r="D12" s="14"/>
      <c r="E12" s="14"/>
      <c r="F12" s="14"/>
      <c r="G12" s="14"/>
      <c r="H12" s="14"/>
      <c r="I12" s="12"/>
    </row>
    <row r="13" spans="1:9" ht="15" customHeight="1" x14ac:dyDescent="0.3">
      <c r="A13" s="10"/>
      <c r="B13" s="11"/>
      <c r="C13" s="14"/>
      <c r="D13" s="14"/>
      <c r="E13" s="14"/>
      <c r="F13" s="14"/>
      <c r="G13" s="14"/>
      <c r="H13" s="14"/>
      <c r="I13" s="12"/>
    </row>
    <row r="14" spans="1:9" ht="17.25" thickBot="1" x14ac:dyDescent="0.35">
      <c r="A14" s="15"/>
      <c r="B14" s="1"/>
      <c r="C14" s="1"/>
      <c r="D14" s="1"/>
      <c r="E14" s="1"/>
      <c r="F14" s="1"/>
      <c r="G14" s="1"/>
      <c r="H14" s="1"/>
      <c r="I14" s="2"/>
    </row>
    <row r="15" spans="1:9" x14ac:dyDescent="0.3">
      <c r="A15" s="10"/>
      <c r="B15" s="11"/>
      <c r="C15" s="11"/>
      <c r="D15" s="11"/>
      <c r="E15" s="11"/>
      <c r="F15" s="11"/>
      <c r="G15" s="11"/>
      <c r="H15" s="11"/>
      <c r="I15" s="12"/>
    </row>
    <row r="16" spans="1:9" x14ac:dyDescent="0.3">
      <c r="A16" s="13" t="s">
        <v>350</v>
      </c>
      <c r="B16" s="11"/>
      <c r="C16" s="11"/>
      <c r="D16" s="11"/>
      <c r="E16" s="11"/>
      <c r="F16" s="11"/>
      <c r="G16" s="11"/>
      <c r="H16" s="11"/>
      <c r="I16" s="12"/>
    </row>
    <row r="17" spans="1:9" ht="63.75" customHeight="1" x14ac:dyDescent="0.3">
      <c r="A17" s="1125" t="s">
        <v>1906</v>
      </c>
      <c r="B17" s="1126"/>
      <c r="C17" s="1126"/>
      <c r="D17" s="1126"/>
      <c r="E17" s="1126"/>
      <c r="F17" s="1126"/>
      <c r="G17" s="1126"/>
      <c r="H17" s="1126"/>
      <c r="I17" s="1127"/>
    </row>
    <row r="18" spans="1:9" x14ac:dyDescent="0.3">
      <c r="A18" s="13"/>
      <c r="B18" s="11"/>
      <c r="C18" s="11"/>
      <c r="D18" s="11"/>
      <c r="E18" s="11"/>
      <c r="F18" s="11"/>
      <c r="G18" s="11"/>
      <c r="H18" s="11"/>
      <c r="I18" s="12"/>
    </row>
    <row r="19" spans="1:9" ht="84" customHeight="1" x14ac:dyDescent="0.3">
      <c r="A19" s="1125" t="s">
        <v>1907</v>
      </c>
      <c r="B19" s="1126"/>
      <c r="C19" s="1126"/>
      <c r="D19" s="1126"/>
      <c r="E19" s="1126"/>
      <c r="F19" s="1126"/>
      <c r="G19" s="1126"/>
      <c r="H19" s="1126"/>
      <c r="I19" s="1127"/>
    </row>
    <row r="20" spans="1:9" x14ac:dyDescent="0.3">
      <c r="A20" s="13"/>
      <c r="B20" s="11"/>
      <c r="C20" s="11"/>
      <c r="D20" s="11"/>
      <c r="E20" s="11"/>
      <c r="F20" s="11"/>
      <c r="G20" s="11"/>
      <c r="H20" s="11"/>
      <c r="I20" s="12"/>
    </row>
    <row r="21" spans="1:9" ht="124.5" customHeight="1" x14ac:dyDescent="0.3">
      <c r="A21" s="1125" t="s">
        <v>1908</v>
      </c>
      <c r="B21" s="1126"/>
      <c r="C21" s="1126"/>
      <c r="D21" s="1126"/>
      <c r="E21" s="1126"/>
      <c r="F21" s="1126"/>
      <c r="G21" s="1126"/>
      <c r="H21" s="1126"/>
      <c r="I21" s="1127"/>
    </row>
    <row r="22" spans="1:9" x14ac:dyDescent="0.3">
      <c r="A22" s="10"/>
      <c r="B22" s="11"/>
      <c r="C22" s="11"/>
      <c r="D22" s="11"/>
      <c r="E22" s="11"/>
      <c r="F22" s="11"/>
      <c r="G22" s="11"/>
      <c r="H22" s="11"/>
      <c r="I22" s="12"/>
    </row>
    <row r="23" spans="1:9" ht="17.25" thickBot="1" x14ac:dyDescent="0.35">
      <c r="A23" s="15"/>
      <c r="B23" s="1"/>
      <c r="C23" s="1"/>
      <c r="D23" s="1"/>
      <c r="E23" s="1"/>
      <c r="F23" s="1"/>
      <c r="G23" s="1"/>
      <c r="H23" s="1"/>
      <c r="I23" s="2"/>
    </row>
    <row r="24" spans="1:9" x14ac:dyDescent="0.3">
      <c r="A24" s="11" t="s">
        <v>240</v>
      </c>
      <c r="B24" s="11"/>
      <c r="C24" s="11"/>
      <c r="D24" s="11"/>
      <c r="E24" s="11"/>
      <c r="F24" s="11"/>
      <c r="G24" s="11"/>
      <c r="H24" s="11"/>
      <c r="I24" s="11"/>
    </row>
    <row r="30" spans="1:9" x14ac:dyDescent="0.3">
      <c r="A30" s="11"/>
      <c r="B30" s="11"/>
      <c r="C30" s="11"/>
      <c r="D30" s="11"/>
      <c r="E30" s="11"/>
      <c r="F30" s="11"/>
      <c r="G30" s="11"/>
      <c r="H30" s="11"/>
      <c r="I30" s="11"/>
    </row>
    <row r="31" spans="1:9" x14ac:dyDescent="0.3">
      <c r="A31" s="11"/>
      <c r="B31" s="11"/>
      <c r="C31" s="11"/>
      <c r="D31" s="11"/>
      <c r="E31" s="11"/>
      <c r="F31" s="11"/>
      <c r="G31" s="11"/>
      <c r="H31" s="11"/>
      <c r="I31" s="11"/>
    </row>
    <row r="32" spans="1:9" x14ac:dyDescent="0.3">
      <c r="A32" s="11"/>
      <c r="B32" s="11"/>
      <c r="C32" s="11"/>
      <c r="D32" s="11"/>
      <c r="E32" s="11"/>
      <c r="F32" s="11"/>
      <c r="G32" s="11"/>
      <c r="H32" s="11"/>
      <c r="I32" s="11"/>
    </row>
  </sheetData>
  <mergeCells count="7">
    <mergeCell ref="A17:I17"/>
    <mergeCell ref="A19:I19"/>
    <mergeCell ref="A21:I21"/>
    <mergeCell ref="A1:I1"/>
    <mergeCell ref="A2:I2"/>
    <mergeCell ref="A3:I3"/>
    <mergeCell ref="B4:G4"/>
  </mergeCells>
  <pageMargins left="0.43307086614173229" right="0.31496062992125984" top="0.55118110236220474" bottom="0.74803149606299213" header="0.31496062992125984" footer="0.31496062992125984"/>
  <pageSetup scale="8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7">
    <tabColor theme="0" tint="-4.9989318521683403E-2"/>
  </sheetPr>
  <dimension ref="A1:J49"/>
  <sheetViews>
    <sheetView view="pageBreakPreview" zoomScaleSheetLayoutView="100" workbookViewId="0">
      <selection activeCell="C56" sqref="C56"/>
    </sheetView>
  </sheetViews>
  <sheetFormatPr baseColWidth="10" defaultColWidth="11.28515625" defaultRowHeight="16.5" x14ac:dyDescent="0.3"/>
  <cols>
    <col min="1" max="1" width="3.7109375" style="3" customWidth="1"/>
    <col min="2" max="8" width="11.28515625" style="3"/>
    <col min="9" max="9" width="12.28515625" style="3" customWidth="1"/>
    <col min="10" max="16384" width="11.28515625" style="3"/>
  </cols>
  <sheetData>
    <row r="1" spans="1:10" x14ac:dyDescent="0.3">
      <c r="A1" s="1128" t="str">
        <f>'CPCA-I-01'!A1:G1</f>
        <v xml:space="preserve">Comision Estatal del Agua </v>
      </c>
      <c r="B1" s="1128"/>
      <c r="C1" s="1128"/>
      <c r="D1" s="1128"/>
      <c r="E1" s="1128"/>
      <c r="F1" s="1128"/>
      <c r="G1" s="1128"/>
      <c r="H1" s="1128"/>
      <c r="I1" s="1128"/>
      <c r="J1" s="1128"/>
    </row>
    <row r="2" spans="1:10" x14ac:dyDescent="0.3">
      <c r="A2" s="1129" t="s">
        <v>9</v>
      </c>
      <c r="B2" s="1129"/>
      <c r="C2" s="1129"/>
      <c r="D2" s="1129"/>
      <c r="E2" s="1129"/>
      <c r="F2" s="1129"/>
      <c r="G2" s="1129"/>
      <c r="H2" s="1129"/>
      <c r="I2" s="1129"/>
      <c r="J2" s="1129"/>
    </row>
    <row r="3" spans="1:10" x14ac:dyDescent="0.3">
      <c r="A3" s="1077" t="str">
        <f>'CPCA-I-01'!A3:G3</f>
        <v>Al 31 de Diciembre del 2023</v>
      </c>
      <c r="B3" s="1077"/>
      <c r="C3" s="1077"/>
      <c r="D3" s="1077"/>
      <c r="E3" s="1077"/>
      <c r="F3" s="1077"/>
      <c r="G3" s="1077"/>
      <c r="H3" s="1077"/>
      <c r="I3" s="1077"/>
      <c r="J3" s="1077"/>
    </row>
    <row r="4" spans="1:10" ht="18" customHeight="1" thickBot="1" x14ac:dyDescent="0.35">
      <c r="A4" s="1140" t="s">
        <v>915</v>
      </c>
      <c r="B4" s="1140"/>
      <c r="C4" s="1140"/>
      <c r="D4" s="1140"/>
      <c r="E4" s="1140"/>
      <c r="F4" s="1140"/>
      <c r="G4" s="1140"/>
      <c r="H4" s="1140"/>
      <c r="I4" s="4"/>
    </row>
    <row r="5" spans="1:10" x14ac:dyDescent="0.3">
      <c r="A5" s="7"/>
      <c r="B5" s="8"/>
      <c r="C5" s="8"/>
      <c r="D5" s="8"/>
      <c r="E5" s="8"/>
      <c r="F5" s="8"/>
      <c r="G5" s="8"/>
      <c r="H5" s="8"/>
      <c r="I5" s="8"/>
      <c r="J5" s="9"/>
    </row>
    <row r="6" spans="1:10" x14ac:dyDescent="0.3">
      <c r="A6" s="10"/>
      <c r="B6" s="11"/>
      <c r="C6" s="11"/>
      <c r="D6" s="11"/>
      <c r="E6" s="11"/>
      <c r="F6" s="11"/>
      <c r="G6" s="11"/>
      <c r="H6" s="11"/>
      <c r="I6" s="11"/>
      <c r="J6" s="12"/>
    </row>
    <row r="7" spans="1:10" x14ac:dyDescent="0.3">
      <c r="A7" s="10"/>
      <c r="B7" s="11"/>
      <c r="C7" s="11"/>
      <c r="D7" s="11"/>
      <c r="E7" s="11"/>
      <c r="F7" s="11"/>
      <c r="G7" s="11"/>
      <c r="H7" s="11"/>
      <c r="I7" s="11"/>
      <c r="J7" s="12"/>
    </row>
    <row r="8" spans="1:10" ht="6" customHeight="1" x14ac:dyDescent="0.3">
      <c r="A8" s="10"/>
      <c r="B8" s="11"/>
      <c r="C8" s="11"/>
      <c r="D8" s="11"/>
      <c r="E8" s="11"/>
      <c r="F8" s="11"/>
      <c r="G8" s="11"/>
      <c r="H8" s="11"/>
      <c r="I8" s="11"/>
      <c r="J8" s="12"/>
    </row>
    <row r="9" spans="1:10" ht="9" customHeight="1" thickBot="1" x14ac:dyDescent="0.35">
      <c r="A9" s="10"/>
      <c r="B9" s="11"/>
      <c r="C9" s="11"/>
      <c r="D9" s="11"/>
      <c r="E9" s="11"/>
      <c r="F9" s="11"/>
      <c r="G9" s="11"/>
      <c r="H9" s="11"/>
      <c r="I9" s="11"/>
      <c r="J9" s="12"/>
    </row>
    <row r="10" spans="1:10" ht="16.5" customHeight="1" x14ac:dyDescent="0.3">
      <c r="A10" s="10"/>
      <c r="B10" s="11"/>
      <c r="C10" s="1131" t="s">
        <v>916</v>
      </c>
      <c r="D10" s="1132"/>
      <c r="E10" s="1132"/>
      <c r="F10" s="1132"/>
      <c r="G10" s="1132"/>
      <c r="H10" s="1133"/>
      <c r="I10" s="11"/>
      <c r="J10" s="12"/>
    </row>
    <row r="11" spans="1:10" x14ac:dyDescent="0.3">
      <c r="A11" s="10"/>
      <c r="B11" s="11"/>
      <c r="C11" s="1134"/>
      <c r="D11" s="1135"/>
      <c r="E11" s="1135"/>
      <c r="F11" s="1135"/>
      <c r="G11" s="1135"/>
      <c r="H11" s="1136"/>
      <c r="I11" s="11"/>
      <c r="J11" s="12"/>
    </row>
    <row r="12" spans="1:10" x14ac:dyDescent="0.3">
      <c r="A12" s="10"/>
      <c r="B12" s="11"/>
      <c r="C12" s="1134"/>
      <c r="D12" s="1135"/>
      <c r="E12" s="1135"/>
      <c r="F12" s="1135"/>
      <c r="G12" s="1135"/>
      <c r="H12" s="1136"/>
      <c r="I12" s="11"/>
      <c r="J12" s="12"/>
    </row>
    <row r="13" spans="1:10" x14ac:dyDescent="0.3">
      <c r="A13" s="10"/>
      <c r="B13" s="11"/>
      <c r="C13" s="1134"/>
      <c r="D13" s="1135"/>
      <c r="E13" s="1135"/>
      <c r="F13" s="1135"/>
      <c r="G13" s="1135"/>
      <c r="H13" s="1136"/>
      <c r="I13" s="11"/>
      <c r="J13" s="12"/>
    </row>
    <row r="14" spans="1:10" x14ac:dyDescent="0.3">
      <c r="A14" s="10"/>
      <c r="B14" s="11"/>
      <c r="C14" s="1134"/>
      <c r="D14" s="1135"/>
      <c r="E14" s="1135"/>
      <c r="F14" s="1135"/>
      <c r="G14" s="1135"/>
      <c r="H14" s="1136"/>
      <c r="I14" s="11"/>
      <c r="J14" s="12"/>
    </row>
    <row r="15" spans="1:10" x14ac:dyDescent="0.3">
      <c r="A15" s="10"/>
      <c r="B15" s="11"/>
      <c r="C15" s="1134"/>
      <c r="D15" s="1135"/>
      <c r="E15" s="1135"/>
      <c r="F15" s="1135"/>
      <c r="G15" s="1135"/>
      <c r="H15" s="1136"/>
      <c r="I15" s="11"/>
      <c r="J15" s="12"/>
    </row>
    <row r="16" spans="1:10" ht="17.25" thickBot="1" x14ac:dyDescent="0.35">
      <c r="A16" s="10"/>
      <c r="B16" s="11"/>
      <c r="C16" s="1137"/>
      <c r="D16" s="1138"/>
      <c r="E16" s="1138"/>
      <c r="F16" s="1138"/>
      <c r="G16" s="1138"/>
      <c r="H16" s="1139"/>
      <c r="I16" s="11"/>
      <c r="J16" s="12"/>
    </row>
    <row r="17" spans="1:10" x14ac:dyDescent="0.3">
      <c r="A17" s="10"/>
      <c r="B17" s="11"/>
      <c r="C17" s="11"/>
      <c r="D17" s="11"/>
      <c r="E17" s="11"/>
      <c r="F17" s="11"/>
      <c r="G17" s="11"/>
      <c r="H17" s="11"/>
      <c r="I17" s="11"/>
      <c r="J17" s="12"/>
    </row>
    <row r="18" spans="1:10" x14ac:dyDescent="0.3">
      <c r="A18" s="10"/>
      <c r="B18" s="11"/>
      <c r="C18" s="17" t="s">
        <v>351</v>
      </c>
      <c r="D18" s="11"/>
      <c r="E18" s="11"/>
      <c r="F18" s="11"/>
      <c r="G18" s="11"/>
      <c r="H18" s="11"/>
      <c r="I18" s="11"/>
      <c r="J18" s="12"/>
    </row>
    <row r="19" spans="1:10" ht="9.75" customHeight="1" thickBot="1" x14ac:dyDescent="0.35">
      <c r="A19" s="10"/>
      <c r="B19" s="11"/>
      <c r="C19" s="17"/>
      <c r="D19" s="11"/>
      <c r="E19" s="11"/>
      <c r="F19" s="11"/>
      <c r="G19" s="11"/>
      <c r="H19" s="11"/>
      <c r="I19" s="11"/>
      <c r="J19" s="12"/>
    </row>
    <row r="20" spans="1:10" x14ac:dyDescent="0.3">
      <c r="A20" s="10"/>
      <c r="B20" s="11"/>
      <c r="C20" s="18" t="s">
        <v>1679</v>
      </c>
      <c r="D20" s="8"/>
      <c r="E20" s="8"/>
      <c r="F20" s="8"/>
      <c r="G20" s="8"/>
      <c r="H20" s="9"/>
      <c r="I20" s="11"/>
      <c r="J20" s="12"/>
    </row>
    <row r="21" spans="1:10" x14ac:dyDescent="0.3">
      <c r="A21" s="10"/>
      <c r="B21" s="11"/>
      <c r="C21" s="13" t="s">
        <v>1680</v>
      </c>
      <c r="D21" s="11"/>
      <c r="E21" s="11"/>
      <c r="F21" s="11"/>
      <c r="G21" s="11"/>
      <c r="H21" s="12"/>
      <c r="I21" s="11"/>
      <c r="J21" s="12"/>
    </row>
    <row r="22" spans="1:10" x14ac:dyDescent="0.3">
      <c r="A22" s="10"/>
      <c r="B22" s="11"/>
      <c r="C22" s="13" t="s">
        <v>1681</v>
      </c>
      <c r="D22" s="11"/>
      <c r="E22" s="11"/>
      <c r="F22" s="11"/>
      <c r="G22" s="11"/>
      <c r="H22" s="12"/>
      <c r="I22" s="11"/>
      <c r="J22" s="12"/>
    </row>
    <row r="23" spans="1:10" ht="17.25" thickBot="1" x14ac:dyDescent="0.35">
      <c r="A23" s="10"/>
      <c r="B23" s="11"/>
      <c r="C23" s="19" t="s">
        <v>1682</v>
      </c>
      <c r="D23" s="1"/>
      <c r="E23" s="1"/>
      <c r="F23" s="1"/>
      <c r="G23" s="1"/>
      <c r="H23" s="2"/>
      <c r="I23" s="11"/>
      <c r="J23" s="12"/>
    </row>
    <row r="24" spans="1:10" x14ac:dyDescent="0.3">
      <c r="A24" s="10"/>
      <c r="B24" s="11"/>
      <c r="C24" s="11"/>
      <c r="D24" s="11"/>
      <c r="E24" s="11"/>
      <c r="F24" s="11"/>
      <c r="G24" s="11"/>
      <c r="H24" s="11"/>
      <c r="I24" s="11"/>
      <c r="J24" s="12"/>
    </row>
    <row r="25" spans="1:10" x14ac:dyDescent="0.3">
      <c r="A25" s="20" t="s">
        <v>352</v>
      </c>
      <c r="B25" s="11" t="s">
        <v>356</v>
      </c>
      <c r="C25" s="11"/>
      <c r="D25" s="11"/>
      <c r="E25" s="11"/>
      <c r="F25" s="11"/>
      <c r="G25" s="11"/>
      <c r="H25" s="11"/>
      <c r="I25" s="11"/>
      <c r="J25" s="12"/>
    </row>
    <row r="26" spans="1:10" x14ac:dyDescent="0.3">
      <c r="A26" s="20" t="s">
        <v>353</v>
      </c>
      <c r="B26" s="11" t="s">
        <v>354</v>
      </c>
      <c r="C26" s="11"/>
      <c r="D26" s="11"/>
      <c r="E26" s="11"/>
      <c r="F26" s="11"/>
      <c r="G26" s="11"/>
      <c r="H26" s="11"/>
      <c r="I26" s="11"/>
      <c r="J26" s="12"/>
    </row>
    <row r="27" spans="1:10" x14ac:dyDescent="0.3">
      <c r="A27" s="20" t="s">
        <v>355</v>
      </c>
      <c r="B27" s="11" t="s">
        <v>358</v>
      </c>
      <c r="C27" s="11"/>
      <c r="D27" s="11"/>
      <c r="E27" s="11"/>
      <c r="F27" s="11"/>
      <c r="G27" s="11"/>
      <c r="H27" s="11"/>
      <c r="I27" s="11"/>
      <c r="J27" s="12"/>
    </row>
    <row r="28" spans="1:10" x14ac:dyDescent="0.3">
      <c r="A28" s="20" t="s">
        <v>357</v>
      </c>
      <c r="B28" s="11" t="s">
        <v>360</v>
      </c>
      <c r="C28" s="11"/>
      <c r="D28" s="11"/>
      <c r="E28" s="11"/>
      <c r="F28" s="11"/>
      <c r="G28" s="11"/>
      <c r="H28" s="11"/>
      <c r="I28" s="11"/>
      <c r="J28" s="12"/>
    </row>
    <row r="29" spans="1:10" x14ac:dyDescent="0.3">
      <c r="A29" s="20" t="s">
        <v>359</v>
      </c>
      <c r="B29" s="11" t="s">
        <v>362</v>
      </c>
      <c r="C29" s="11"/>
      <c r="D29" s="11"/>
      <c r="E29" s="11"/>
      <c r="F29" s="11"/>
      <c r="G29" s="11"/>
      <c r="H29" s="11"/>
      <c r="I29" s="11"/>
      <c r="J29" s="12"/>
    </row>
    <row r="30" spans="1:10" x14ac:dyDescent="0.3">
      <c r="A30" s="20" t="s">
        <v>361</v>
      </c>
      <c r="B30" s="11" t="s">
        <v>364</v>
      </c>
      <c r="C30" s="11"/>
      <c r="D30" s="11"/>
      <c r="E30" s="11"/>
      <c r="F30" s="11"/>
      <c r="G30" s="11"/>
      <c r="H30" s="11"/>
      <c r="I30" s="11"/>
      <c r="J30" s="12"/>
    </row>
    <row r="31" spans="1:10" x14ac:dyDescent="0.3">
      <c r="A31" s="20" t="s">
        <v>363</v>
      </c>
      <c r="B31" s="11" t="s">
        <v>366</v>
      </c>
      <c r="C31" s="11"/>
      <c r="D31" s="11"/>
      <c r="E31" s="11"/>
      <c r="F31" s="11"/>
      <c r="G31" s="11"/>
      <c r="H31" s="11"/>
      <c r="I31" s="11"/>
      <c r="J31" s="12"/>
    </row>
    <row r="32" spans="1:10" x14ac:dyDescent="0.3">
      <c r="A32" s="20" t="s">
        <v>365</v>
      </c>
      <c r="B32" s="11" t="s">
        <v>368</v>
      </c>
      <c r="C32" s="11"/>
      <c r="D32" s="11"/>
      <c r="E32" s="11"/>
      <c r="F32" s="11"/>
      <c r="G32" s="11"/>
      <c r="H32" s="11"/>
      <c r="I32" s="11"/>
      <c r="J32" s="12"/>
    </row>
    <row r="33" spans="1:10" x14ac:dyDescent="0.3">
      <c r="A33" s="20" t="s">
        <v>367</v>
      </c>
      <c r="B33" s="11" t="s">
        <v>370</v>
      </c>
      <c r="C33" s="11"/>
      <c r="D33" s="11"/>
      <c r="E33" s="11"/>
      <c r="F33" s="11"/>
      <c r="G33" s="11"/>
      <c r="H33" s="11"/>
      <c r="I33" s="11"/>
      <c r="J33" s="12"/>
    </row>
    <row r="34" spans="1:10" x14ac:dyDescent="0.3">
      <c r="A34" s="20" t="s">
        <v>369</v>
      </c>
      <c r="B34" s="11" t="s">
        <v>372</v>
      </c>
      <c r="C34" s="11"/>
      <c r="D34" s="11"/>
      <c r="E34" s="11"/>
      <c r="F34" s="11"/>
      <c r="G34" s="11"/>
      <c r="H34" s="11"/>
      <c r="I34" s="11"/>
      <c r="J34" s="12"/>
    </row>
    <row r="35" spans="1:10" x14ac:dyDescent="0.3">
      <c r="A35" s="20" t="s">
        <v>371</v>
      </c>
      <c r="B35" s="11" t="s">
        <v>374</v>
      </c>
      <c r="C35" s="11"/>
      <c r="D35" s="11"/>
      <c r="E35" s="11"/>
      <c r="F35" s="11"/>
      <c r="G35" s="11"/>
      <c r="H35" s="11"/>
      <c r="I35" s="11"/>
      <c r="J35" s="12"/>
    </row>
    <row r="36" spans="1:10" x14ac:dyDescent="0.3">
      <c r="A36" s="20" t="s">
        <v>373</v>
      </c>
      <c r="B36" s="11" t="s">
        <v>376</v>
      </c>
      <c r="C36" s="11"/>
      <c r="D36" s="11"/>
      <c r="E36" s="11"/>
      <c r="F36" s="11"/>
      <c r="G36" s="11"/>
      <c r="H36" s="11"/>
      <c r="I36" s="11"/>
      <c r="J36" s="12"/>
    </row>
    <row r="37" spans="1:10" x14ac:dyDescent="0.3">
      <c r="A37" s="20" t="s">
        <v>375</v>
      </c>
      <c r="B37" s="11" t="s">
        <v>378</v>
      </c>
      <c r="C37" s="11"/>
      <c r="D37" s="11"/>
      <c r="E37" s="11"/>
      <c r="F37" s="11"/>
      <c r="G37" s="11"/>
      <c r="H37" s="11"/>
      <c r="I37" s="11"/>
      <c r="J37" s="12"/>
    </row>
    <row r="38" spans="1:10" x14ac:dyDescent="0.3">
      <c r="A38" s="20" t="s">
        <v>377</v>
      </c>
      <c r="B38" s="11" t="s">
        <v>380</v>
      </c>
      <c r="C38" s="11"/>
      <c r="D38" s="11"/>
      <c r="E38" s="11"/>
      <c r="F38" s="11"/>
      <c r="G38" s="11"/>
      <c r="H38" s="11"/>
      <c r="I38" s="11"/>
      <c r="J38" s="12"/>
    </row>
    <row r="39" spans="1:10" x14ac:dyDescent="0.3">
      <c r="A39" s="20" t="s">
        <v>379</v>
      </c>
      <c r="B39" s="11" t="s">
        <v>382</v>
      </c>
      <c r="C39" s="11"/>
      <c r="D39" s="11"/>
      <c r="E39" s="11"/>
      <c r="F39" s="11"/>
      <c r="G39" s="11"/>
      <c r="H39" s="11"/>
      <c r="I39" s="11"/>
      <c r="J39" s="12"/>
    </row>
    <row r="40" spans="1:10" x14ac:dyDescent="0.3">
      <c r="A40" s="20" t="s">
        <v>381</v>
      </c>
      <c r="B40" s="11" t="s">
        <v>1683</v>
      </c>
      <c r="C40" s="11"/>
      <c r="D40" s="11"/>
      <c r="E40" s="11"/>
      <c r="F40" s="11"/>
      <c r="G40" s="11"/>
      <c r="H40" s="11"/>
      <c r="I40" s="11"/>
      <c r="J40" s="12"/>
    </row>
    <row r="41" spans="1:10" x14ac:dyDescent="0.3">
      <c r="A41" s="20"/>
      <c r="G41" s="11"/>
      <c r="H41" s="11"/>
      <c r="I41" s="11"/>
      <c r="J41" s="12"/>
    </row>
    <row r="42" spans="1:10" x14ac:dyDescent="0.3">
      <c r="A42" s="10"/>
      <c r="B42" s="11"/>
      <c r="C42" s="11"/>
      <c r="D42" s="11"/>
      <c r="E42" s="11"/>
      <c r="F42" s="11"/>
      <c r="G42" s="11"/>
      <c r="H42" s="11"/>
      <c r="I42" s="11"/>
      <c r="J42" s="12"/>
    </row>
    <row r="43" spans="1:10" x14ac:dyDescent="0.3">
      <c r="A43" s="10"/>
      <c r="B43" s="11"/>
      <c r="C43" s="11"/>
      <c r="D43" s="11"/>
      <c r="E43" s="11"/>
      <c r="F43" s="11"/>
      <c r="G43" s="11"/>
      <c r="H43" s="11"/>
      <c r="I43" s="11"/>
      <c r="J43" s="12"/>
    </row>
    <row r="44" spans="1:10" x14ac:dyDescent="0.3">
      <c r="A44" s="10"/>
      <c r="B44" s="11"/>
      <c r="C44" s="11"/>
      <c r="D44" s="11"/>
      <c r="E44" s="11"/>
      <c r="F44" s="11"/>
      <c r="G44" s="11"/>
      <c r="H44" s="11"/>
      <c r="I44" s="11"/>
      <c r="J44" s="12"/>
    </row>
    <row r="45" spans="1:10" x14ac:dyDescent="0.3">
      <c r="A45" s="10"/>
      <c r="B45" s="11"/>
      <c r="C45" s="11"/>
      <c r="D45" s="11"/>
      <c r="E45" s="11"/>
      <c r="F45" s="11"/>
      <c r="G45" s="11"/>
      <c r="H45" s="11"/>
      <c r="I45" s="11"/>
      <c r="J45" s="12"/>
    </row>
    <row r="46" spans="1:10" x14ac:dyDescent="0.3">
      <c r="A46" s="10"/>
      <c r="B46" s="11"/>
      <c r="C46" s="11"/>
      <c r="D46" s="11"/>
      <c r="E46" s="11"/>
      <c r="F46" s="11"/>
      <c r="G46" s="11"/>
      <c r="H46" s="11"/>
      <c r="I46" s="11"/>
      <c r="J46" s="12"/>
    </row>
    <row r="47" spans="1:10" x14ac:dyDescent="0.3">
      <c r="A47" s="10"/>
      <c r="B47" s="11"/>
      <c r="C47" s="11"/>
      <c r="D47" s="11"/>
      <c r="E47" s="11"/>
      <c r="F47" s="11"/>
      <c r="G47" s="11"/>
      <c r="H47" s="11"/>
      <c r="I47" s="11"/>
      <c r="J47" s="12"/>
    </row>
    <row r="48" spans="1:10" x14ac:dyDescent="0.3">
      <c r="A48" s="10"/>
      <c r="B48" s="11"/>
      <c r="C48" s="11"/>
      <c r="D48" s="11"/>
      <c r="E48" s="11"/>
      <c r="F48" s="11"/>
      <c r="G48" s="11"/>
      <c r="H48" s="11"/>
      <c r="I48" s="17"/>
      <c r="J48" s="12"/>
    </row>
    <row r="49" spans="1:10" ht="17.25" thickBot="1" x14ac:dyDescent="0.35">
      <c r="A49" s="15"/>
      <c r="B49" s="1"/>
      <c r="C49" s="1"/>
      <c r="D49" s="1"/>
      <c r="E49" s="1"/>
      <c r="F49" s="1"/>
      <c r="G49" s="1"/>
      <c r="H49" s="1"/>
      <c r="I49" s="1"/>
      <c r="J49" s="2"/>
    </row>
  </sheetData>
  <mergeCells count="5">
    <mergeCell ref="C10:H16"/>
    <mergeCell ref="A1:J1"/>
    <mergeCell ref="A2:J2"/>
    <mergeCell ref="A3:J3"/>
    <mergeCell ref="A4:H4"/>
  </mergeCells>
  <pageMargins left="0.43307086614173229" right="0.35433070866141736" top="0.47244094488188981" bottom="0.62992125984251968" header="0.31496062992125984" footer="0.31496062992125984"/>
  <pageSetup scale="9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4.9989318521683403E-2"/>
  </sheetPr>
  <dimension ref="A1:M56"/>
  <sheetViews>
    <sheetView view="pageBreakPreview" topLeftCell="A31" zoomScaleSheetLayoutView="100" workbookViewId="0">
      <selection activeCell="C56" sqref="C56"/>
    </sheetView>
  </sheetViews>
  <sheetFormatPr baseColWidth="10" defaultColWidth="11.28515625" defaultRowHeight="16.5" x14ac:dyDescent="0.25"/>
  <cols>
    <col min="1" max="1" width="1.140625" style="190" customWidth="1"/>
    <col min="2" max="2" width="31.7109375" style="190" customWidth="1"/>
    <col min="3" max="4" width="14.28515625" style="88" customWidth="1"/>
    <col min="5" max="5" width="13.140625" style="88" customWidth="1"/>
    <col min="6" max="6" width="14" style="88" customWidth="1"/>
    <col min="7" max="7" width="15" style="88" customWidth="1"/>
    <col min="8" max="8" width="14.28515625" style="88" customWidth="1"/>
    <col min="9" max="12" width="11.28515625" style="88"/>
    <col min="13" max="13" width="14.7109375" style="88" bestFit="1" customWidth="1"/>
    <col min="14" max="16384" width="11.28515625" style="88"/>
  </cols>
  <sheetData>
    <row r="1" spans="1:13" x14ac:dyDescent="0.25">
      <c r="A1" s="1087" t="str">
        <f>'CPCA-I-01'!A1:G1</f>
        <v xml:space="preserve">Comision Estatal del Agua </v>
      </c>
      <c r="B1" s="1087"/>
      <c r="C1" s="1087"/>
      <c r="D1" s="1087"/>
      <c r="E1" s="1087"/>
      <c r="F1" s="1087"/>
      <c r="G1" s="1087"/>
      <c r="H1" s="1087"/>
    </row>
    <row r="2" spans="1:13" s="125" customFormat="1" ht="15.75" x14ac:dyDescent="0.25">
      <c r="A2" s="1087" t="s">
        <v>11</v>
      </c>
      <c r="B2" s="1087"/>
      <c r="C2" s="1087"/>
      <c r="D2" s="1087"/>
      <c r="E2" s="1087"/>
      <c r="F2" s="1087"/>
      <c r="G2" s="1087"/>
      <c r="H2" s="1087"/>
    </row>
    <row r="3" spans="1:13" s="125" customFormat="1" x14ac:dyDescent="0.25">
      <c r="A3" s="1088" t="str">
        <f>'CPCA-I-03'!A3:D3</f>
        <v xml:space="preserve">Del  01 de Enero de 2023 al 31 de Diciembre de 2023 </v>
      </c>
      <c r="B3" s="1088"/>
      <c r="C3" s="1088"/>
      <c r="D3" s="1088"/>
      <c r="E3" s="1088"/>
      <c r="F3" s="1088"/>
      <c r="G3" s="1088"/>
      <c r="H3" s="1088"/>
    </row>
    <row r="4" spans="1:13" s="127" customFormat="1" ht="17.25" thickBot="1" x14ac:dyDescent="0.3">
      <c r="A4" s="126"/>
      <c r="B4" s="126"/>
      <c r="C4" s="1091"/>
      <c r="D4" s="1091"/>
      <c r="E4" s="1091"/>
      <c r="F4" s="1091"/>
      <c r="G4" s="406"/>
      <c r="H4" s="38"/>
    </row>
    <row r="5" spans="1:13" s="164" customFormat="1" ht="17.25" thickBot="1" x14ac:dyDescent="0.3">
      <c r="A5" s="1161" t="s">
        <v>880</v>
      </c>
      <c r="B5" s="1162"/>
      <c r="C5" s="1156" t="s">
        <v>401</v>
      </c>
      <c r="D5" s="1157"/>
      <c r="E5" s="1157"/>
      <c r="F5" s="1157"/>
      <c r="G5" s="1158"/>
      <c r="H5" s="658"/>
    </row>
    <row r="6" spans="1:13" s="164" customFormat="1" ht="26.25" thickBot="1" x14ac:dyDescent="0.3">
      <c r="A6" s="1163"/>
      <c r="B6" s="1164"/>
      <c r="C6" s="707" t="s">
        <v>881</v>
      </c>
      <c r="D6" s="707" t="s">
        <v>1724</v>
      </c>
      <c r="E6" s="707" t="s">
        <v>405</v>
      </c>
      <c r="F6" s="708" t="s">
        <v>720</v>
      </c>
      <c r="G6" s="708" t="s">
        <v>882</v>
      </c>
      <c r="H6" s="709" t="s">
        <v>383</v>
      </c>
    </row>
    <row r="7" spans="1:13" s="164" customFormat="1" ht="17.25" thickBot="1" x14ac:dyDescent="0.3">
      <c r="A7" s="1165"/>
      <c r="B7" s="1166"/>
      <c r="C7" s="176" t="s">
        <v>384</v>
      </c>
      <c r="D7" s="176" t="s">
        <v>385</v>
      </c>
      <c r="E7" s="176" t="s">
        <v>386</v>
      </c>
      <c r="F7" s="659" t="s">
        <v>387</v>
      </c>
      <c r="G7" s="659" t="s">
        <v>388</v>
      </c>
      <c r="H7" s="176" t="s">
        <v>389</v>
      </c>
    </row>
    <row r="8" spans="1:13" s="164" customFormat="1" ht="8.25" customHeight="1" x14ac:dyDescent="0.25">
      <c r="A8" s="168"/>
      <c r="B8" s="174"/>
      <c r="C8" s="660"/>
      <c r="D8" s="660"/>
      <c r="E8" s="661"/>
      <c r="F8" s="660"/>
      <c r="G8" s="660"/>
      <c r="H8" s="661"/>
    </row>
    <row r="9" spans="1:13" ht="17.100000000000001" customHeight="1" x14ac:dyDescent="0.25">
      <c r="A9" s="169"/>
      <c r="B9" s="405" t="s">
        <v>196</v>
      </c>
      <c r="C9" s="662"/>
      <c r="D9" s="662"/>
      <c r="E9" s="663">
        <f>C9+D9</f>
        <v>0</v>
      </c>
      <c r="F9" s="662"/>
      <c r="G9" s="662"/>
      <c r="H9" s="663">
        <f>G9-C9</f>
        <v>0</v>
      </c>
    </row>
    <row r="10" spans="1:13" ht="17.100000000000001" customHeight="1" x14ac:dyDescent="0.25">
      <c r="A10" s="169"/>
      <c r="B10" s="405" t="s">
        <v>197</v>
      </c>
      <c r="C10" s="662">
        <v>0</v>
      </c>
      <c r="D10" s="662">
        <v>0</v>
      </c>
      <c r="E10" s="663">
        <f t="shared" ref="E10:E18" si="0">C10+D10</f>
        <v>0</v>
      </c>
      <c r="F10" s="662">
        <v>0</v>
      </c>
      <c r="G10" s="662">
        <v>0</v>
      </c>
      <c r="H10" s="663">
        <f t="shared" ref="H10:H19" si="1">G10-C10</f>
        <v>0</v>
      </c>
    </row>
    <row r="11" spans="1:13" ht="17.100000000000001" customHeight="1" x14ac:dyDescent="0.25">
      <c r="A11" s="169"/>
      <c r="B11" s="405" t="s">
        <v>390</v>
      </c>
      <c r="C11" s="662">
        <v>0</v>
      </c>
      <c r="D11" s="662"/>
      <c r="E11" s="663">
        <f t="shared" si="0"/>
        <v>0</v>
      </c>
      <c r="F11" s="662"/>
      <c r="G11" s="662"/>
      <c r="H11" s="663">
        <f t="shared" si="1"/>
        <v>0</v>
      </c>
    </row>
    <row r="12" spans="1:13" ht="17.100000000000001" customHeight="1" x14ac:dyDescent="0.25">
      <c r="A12" s="169"/>
      <c r="B12" s="405" t="s">
        <v>199</v>
      </c>
      <c r="C12" s="662">
        <v>0</v>
      </c>
      <c r="D12" s="662"/>
      <c r="E12" s="663">
        <f t="shared" si="0"/>
        <v>0</v>
      </c>
      <c r="F12" s="662"/>
      <c r="G12" s="662"/>
      <c r="H12" s="663">
        <f t="shared" si="1"/>
        <v>0</v>
      </c>
    </row>
    <row r="13" spans="1:13" ht="17.100000000000001" customHeight="1" x14ac:dyDescent="0.25">
      <c r="A13" s="169"/>
      <c r="B13" s="405" t="s">
        <v>391</v>
      </c>
      <c r="C13" s="662">
        <v>0</v>
      </c>
      <c r="D13" s="662">
        <v>17883398.410000004</v>
      </c>
      <c r="E13" s="663">
        <f t="shared" si="0"/>
        <v>17883398.410000004</v>
      </c>
      <c r="F13" s="662">
        <v>17883398.410000004</v>
      </c>
      <c r="G13" s="662">
        <v>17883398.410000004</v>
      </c>
      <c r="H13" s="663">
        <f t="shared" si="1"/>
        <v>17883398.410000004</v>
      </c>
    </row>
    <row r="14" spans="1:13" ht="17.100000000000001" customHeight="1" x14ac:dyDescent="0.25">
      <c r="A14" s="169"/>
      <c r="B14" s="405" t="s">
        <v>392</v>
      </c>
      <c r="C14" s="662">
        <v>0</v>
      </c>
      <c r="D14" s="662"/>
      <c r="E14" s="663">
        <f t="shared" si="0"/>
        <v>0</v>
      </c>
      <c r="F14" s="662"/>
      <c r="G14" s="662"/>
      <c r="H14" s="663">
        <f t="shared" si="1"/>
        <v>0</v>
      </c>
    </row>
    <row r="15" spans="1:13" ht="29.25" customHeight="1" x14ac:dyDescent="0.25">
      <c r="A15" s="169"/>
      <c r="B15" s="405" t="s">
        <v>883</v>
      </c>
      <c r="C15" s="662">
        <v>269652719.99859548</v>
      </c>
      <c r="D15" s="662">
        <v>53094892.630000018</v>
      </c>
      <c r="E15" s="663">
        <f t="shared" si="0"/>
        <v>322747612.62859547</v>
      </c>
      <c r="F15" s="662">
        <v>318475327.69999999</v>
      </c>
      <c r="G15" s="662">
        <v>232326347.48000002</v>
      </c>
      <c r="H15" s="663">
        <f t="shared" si="1"/>
        <v>-37326372.518595457</v>
      </c>
    </row>
    <row r="16" spans="1:13" ht="55.5" customHeight="1" x14ac:dyDescent="0.25">
      <c r="A16" s="169"/>
      <c r="B16" s="405" t="s">
        <v>884</v>
      </c>
      <c r="C16" s="662">
        <v>115000000</v>
      </c>
      <c r="D16" s="662">
        <v>2125130926</v>
      </c>
      <c r="E16" s="663">
        <f t="shared" si="0"/>
        <v>2240130926</v>
      </c>
      <c r="F16" s="877">
        <v>2182114220.6600003</v>
      </c>
      <c r="G16" s="662">
        <v>2182114220.6600003</v>
      </c>
      <c r="H16" s="663">
        <f t="shared" si="1"/>
        <v>2067114220.6600003</v>
      </c>
      <c r="M16" s="880"/>
    </row>
    <row r="17" spans="1:8" ht="25.5" x14ac:dyDescent="0.25">
      <c r="A17" s="169"/>
      <c r="B17" s="405" t="s">
        <v>887</v>
      </c>
      <c r="C17" s="662">
        <v>398014411.31999999</v>
      </c>
      <c r="D17" s="662">
        <v>173564342.15999985</v>
      </c>
      <c r="E17" s="663">
        <f t="shared" si="0"/>
        <v>571578753.47999978</v>
      </c>
      <c r="F17" s="662">
        <v>511154850.60000002</v>
      </c>
      <c r="G17" s="662">
        <v>511154850.60000002</v>
      </c>
      <c r="H17" s="663">
        <f t="shared" si="1"/>
        <v>113140439.28000003</v>
      </c>
    </row>
    <row r="18" spans="1:8" ht="17.100000000000001" customHeight="1" thickBot="1" x14ac:dyDescent="0.3">
      <c r="A18" s="170"/>
      <c r="B18" s="657" t="s">
        <v>393</v>
      </c>
      <c r="C18" s="664"/>
      <c r="D18" s="664"/>
      <c r="E18" s="665">
        <f t="shared" si="0"/>
        <v>0</v>
      </c>
      <c r="F18" s="664"/>
      <c r="G18" s="664"/>
      <c r="H18" s="665">
        <f t="shared" si="1"/>
        <v>0</v>
      </c>
    </row>
    <row r="19" spans="1:8" s="6" customFormat="1" ht="28.5" customHeight="1" thickBot="1" x14ac:dyDescent="0.3">
      <c r="A19" s="1152" t="s">
        <v>246</v>
      </c>
      <c r="B19" s="1153"/>
      <c r="C19" s="666">
        <f>C9+C10+C11+C12+C13+C14+C15+C16+C17+C18</f>
        <v>782667131.31859541</v>
      </c>
      <c r="D19" s="666">
        <f>D9+D10+D11+D12+D13+D14+D15+D16+D17+D18</f>
        <v>2369673559.1999998</v>
      </c>
      <c r="E19" s="666">
        <f>E9+E10+E11+E12+E13+E14+E15+E16+E17+E18</f>
        <v>3152340690.5185957</v>
      </c>
      <c r="F19" s="862">
        <f>F9+F10+F11+F12+F13+F14+F15+F16+F17+F18</f>
        <v>3029627797.3700004</v>
      </c>
      <c r="G19" s="666">
        <f>G9+G10+G11+G12+G13+G14+G15+G16+G17+G18</f>
        <v>2943478817.1500001</v>
      </c>
      <c r="H19" s="666">
        <f t="shared" si="1"/>
        <v>2160811685.8314047</v>
      </c>
    </row>
    <row r="20" spans="1:8" ht="22.5" customHeight="1" thickBot="1" x14ac:dyDescent="0.3">
      <c r="A20" s="171"/>
      <c r="B20" s="171"/>
      <c r="C20" s="172"/>
      <c r="D20" s="873">
        <v>318475327.72000003</v>
      </c>
      <c r="E20" s="172"/>
      <c r="F20" s="872">
        <v>3029627797.3700004</v>
      </c>
      <c r="G20" s="648" t="s">
        <v>1777</v>
      </c>
      <c r="H20" s="649">
        <f>IF(($G$19-$C$19)&lt;=0,"",$G$19-$C$19)</f>
        <v>2160811685.8314047</v>
      </c>
    </row>
    <row r="21" spans="1:8" ht="10.5" customHeight="1" thickBot="1" x14ac:dyDescent="0.3">
      <c r="A21" s="174"/>
      <c r="B21" s="174"/>
      <c r="C21" s="175"/>
      <c r="D21" s="874">
        <f>F15-D20</f>
        <v>-2.0000040531158447E-2</v>
      </c>
      <c r="E21" s="175"/>
      <c r="F21" s="872">
        <f>F19-F16</f>
        <v>847513576.71000004</v>
      </c>
      <c r="G21" s="872">
        <f>G19-G16</f>
        <v>761364596.48999977</v>
      </c>
      <c r="H21" s="173"/>
    </row>
    <row r="22" spans="1:8" s="164" customFormat="1" ht="17.25" thickBot="1" x14ac:dyDescent="0.3">
      <c r="A22" s="1146" t="s">
        <v>885</v>
      </c>
      <c r="B22" s="1147"/>
      <c r="C22" s="1156" t="s">
        <v>401</v>
      </c>
      <c r="D22" s="1157"/>
      <c r="E22" s="1157"/>
      <c r="F22" s="1157"/>
      <c r="G22" s="1158"/>
      <c r="H22" s="658"/>
    </row>
    <row r="23" spans="1:8" s="164" customFormat="1" ht="26.25" thickBot="1" x14ac:dyDescent="0.3">
      <c r="A23" s="1148"/>
      <c r="B23" s="1149"/>
      <c r="C23" s="707" t="s">
        <v>881</v>
      </c>
      <c r="D23" s="707" t="s">
        <v>1723</v>
      </c>
      <c r="E23" s="707" t="s">
        <v>405</v>
      </c>
      <c r="F23" s="708" t="s">
        <v>720</v>
      </c>
      <c r="G23" s="708" t="s">
        <v>882</v>
      </c>
      <c r="H23" s="709" t="s">
        <v>383</v>
      </c>
    </row>
    <row r="24" spans="1:8" s="164" customFormat="1" ht="17.25" thickBot="1" x14ac:dyDescent="0.3">
      <c r="A24" s="1150"/>
      <c r="B24" s="1151"/>
      <c r="C24" s="176" t="s">
        <v>384</v>
      </c>
      <c r="D24" s="176" t="s">
        <v>385</v>
      </c>
      <c r="E24" s="176" t="s">
        <v>386</v>
      </c>
      <c r="F24" s="659" t="s">
        <v>387</v>
      </c>
      <c r="G24" s="659" t="s">
        <v>388</v>
      </c>
      <c r="H24" s="176" t="s">
        <v>389</v>
      </c>
    </row>
    <row r="25" spans="1:8" s="127" customFormat="1" ht="48" customHeight="1" x14ac:dyDescent="0.25">
      <c r="A25" s="1159" t="s">
        <v>886</v>
      </c>
      <c r="B25" s="1160"/>
      <c r="C25" s="363">
        <f t="shared" ref="C25:H25" si="2">SUM(C26,C27,C28,C29,C30,C31,C32,C33)</f>
        <v>115000000</v>
      </c>
      <c r="D25" s="363">
        <f t="shared" si="2"/>
        <v>2125130926</v>
      </c>
      <c r="E25" s="363">
        <f t="shared" si="2"/>
        <v>2240130926</v>
      </c>
      <c r="F25" s="363">
        <f t="shared" si="2"/>
        <v>2182114220.6600003</v>
      </c>
      <c r="G25" s="363">
        <f t="shared" si="2"/>
        <v>2182114220.6600003</v>
      </c>
      <c r="H25" s="363">
        <f t="shared" si="2"/>
        <v>2067114220.6600003</v>
      </c>
    </row>
    <row r="26" spans="1:8" s="127" customFormat="1" ht="17.100000000000001" customHeight="1" x14ac:dyDescent="0.25">
      <c r="A26" s="177" t="s">
        <v>394</v>
      </c>
      <c r="B26" s="178"/>
      <c r="C26" s="364">
        <v>0</v>
      </c>
      <c r="D26" s="364">
        <v>0</v>
      </c>
      <c r="E26" s="365">
        <f>C26+D26</f>
        <v>0</v>
      </c>
      <c r="F26" s="364">
        <v>0</v>
      </c>
      <c r="G26" s="364">
        <v>0</v>
      </c>
      <c r="H26" s="366">
        <f>G26-C26</f>
        <v>0</v>
      </c>
    </row>
    <row r="27" spans="1:8" s="127" customFormat="1" ht="17.100000000000001" customHeight="1" x14ac:dyDescent="0.25">
      <c r="A27" s="177"/>
      <c r="B27" s="182" t="s">
        <v>197</v>
      </c>
      <c r="C27" s="364"/>
      <c r="D27" s="364"/>
      <c r="E27" s="365"/>
      <c r="F27" s="364"/>
      <c r="G27" s="364"/>
      <c r="H27" s="366"/>
    </row>
    <row r="28" spans="1:8" s="127" customFormat="1" ht="17.100000000000001" customHeight="1" x14ac:dyDescent="0.25">
      <c r="A28" s="177" t="s">
        <v>390</v>
      </c>
      <c r="B28" s="178"/>
      <c r="C28" s="364"/>
      <c r="D28" s="364"/>
      <c r="E28" s="365">
        <f t="shared" ref="E28:E42" si="3">C28+D28</f>
        <v>0</v>
      </c>
      <c r="F28" s="364"/>
      <c r="G28" s="364"/>
      <c r="H28" s="366">
        <f t="shared" ref="H28:H42" si="4">G28-C28</f>
        <v>0</v>
      </c>
    </row>
    <row r="29" spans="1:8" s="127" customFormat="1" x14ac:dyDescent="0.25">
      <c r="A29" s="1154" t="s">
        <v>199</v>
      </c>
      <c r="B29" s="1155"/>
      <c r="C29" s="364"/>
      <c r="D29" s="364"/>
      <c r="E29" s="365">
        <f t="shared" si="3"/>
        <v>0</v>
      </c>
      <c r="F29" s="364"/>
      <c r="G29" s="364"/>
      <c r="H29" s="366">
        <f t="shared" si="4"/>
        <v>0</v>
      </c>
    </row>
    <row r="30" spans="1:8" s="127" customFormat="1" ht="17.100000000000001" customHeight="1" x14ac:dyDescent="0.25">
      <c r="A30" s="1154" t="s">
        <v>897</v>
      </c>
      <c r="B30" s="1155"/>
      <c r="C30" s="364"/>
      <c r="D30" s="364"/>
      <c r="E30" s="365">
        <f t="shared" si="3"/>
        <v>0</v>
      </c>
      <c r="F30" s="364"/>
      <c r="G30" s="364"/>
      <c r="H30" s="366">
        <f t="shared" si="4"/>
        <v>0</v>
      </c>
    </row>
    <row r="31" spans="1:8" ht="17.100000000000001" customHeight="1" x14ac:dyDescent="0.25">
      <c r="A31" s="1154" t="s">
        <v>898</v>
      </c>
      <c r="B31" s="1155" t="s">
        <v>395</v>
      </c>
      <c r="C31" s="367"/>
      <c r="D31" s="367"/>
      <c r="E31" s="365">
        <f t="shared" si="3"/>
        <v>0</v>
      </c>
      <c r="F31" s="367"/>
      <c r="G31" s="367"/>
      <c r="H31" s="366">
        <f t="shared" si="4"/>
        <v>0</v>
      </c>
    </row>
    <row r="32" spans="1:8" s="127" customFormat="1" ht="51" customHeight="1" x14ac:dyDescent="0.25">
      <c r="A32" s="710"/>
      <c r="B32" s="711" t="s">
        <v>884</v>
      </c>
      <c r="C32" s="364">
        <v>115000000</v>
      </c>
      <c r="D32" s="364">
        <v>2125130926</v>
      </c>
      <c r="E32" s="365">
        <f t="shared" si="3"/>
        <v>2240130926</v>
      </c>
      <c r="F32" s="364">
        <v>2182114220.6600003</v>
      </c>
      <c r="G32" s="364">
        <v>2182114220.6600003</v>
      </c>
      <c r="H32" s="366">
        <f t="shared" si="4"/>
        <v>2067114220.6600003</v>
      </c>
    </row>
    <row r="33" spans="1:8" s="127" customFormat="1" ht="27.75" customHeight="1" x14ac:dyDescent="0.25">
      <c r="A33" s="1154" t="s">
        <v>887</v>
      </c>
      <c r="B33" s="1155"/>
      <c r="C33" s="364"/>
      <c r="D33" s="364"/>
      <c r="E33" s="365">
        <f t="shared" si="3"/>
        <v>0</v>
      </c>
      <c r="F33" s="364"/>
      <c r="G33" s="364"/>
      <c r="H33" s="366">
        <f t="shared" si="4"/>
        <v>0</v>
      </c>
    </row>
    <row r="34" spans="1:8" s="127" customFormat="1" ht="8.25" customHeight="1" x14ac:dyDescent="0.25">
      <c r="A34" s="179"/>
      <c r="B34" s="180"/>
      <c r="C34" s="364"/>
      <c r="D34" s="364"/>
      <c r="E34" s="365"/>
      <c r="F34" s="364"/>
      <c r="G34" s="364"/>
      <c r="H34" s="366"/>
    </row>
    <row r="35" spans="1:8" s="127" customFormat="1" ht="66.75" customHeight="1" x14ac:dyDescent="0.25">
      <c r="A35" s="1144" t="s">
        <v>888</v>
      </c>
      <c r="B35" s="1145"/>
      <c r="C35" s="363">
        <f t="shared" ref="C35:H35" si="5">SUM(C36:C39)</f>
        <v>667667131.31859541</v>
      </c>
      <c r="D35" s="363">
        <f t="shared" si="5"/>
        <v>244542633.19999987</v>
      </c>
      <c r="E35" s="363">
        <f t="shared" si="5"/>
        <v>912209764.51859522</v>
      </c>
      <c r="F35" s="363">
        <f t="shared" si="5"/>
        <v>847513576.71000004</v>
      </c>
      <c r="G35" s="363">
        <f t="shared" si="5"/>
        <v>761364596.49000001</v>
      </c>
      <c r="H35" s="363">
        <f t="shared" si="5"/>
        <v>93697465.17140457</v>
      </c>
    </row>
    <row r="36" spans="1:8" s="127" customFormat="1" ht="17.100000000000001" customHeight="1" x14ac:dyDescent="0.25">
      <c r="A36" s="181"/>
      <c r="B36" s="182" t="s">
        <v>197</v>
      </c>
      <c r="C36" s="364">
        <v>0</v>
      </c>
      <c r="D36" s="364"/>
      <c r="E36" s="365">
        <f t="shared" si="3"/>
        <v>0</v>
      </c>
      <c r="F36" s="364"/>
      <c r="G36" s="364"/>
      <c r="H36" s="366">
        <f t="shared" si="4"/>
        <v>0</v>
      </c>
    </row>
    <row r="37" spans="1:8" s="127" customFormat="1" ht="17.100000000000001" customHeight="1" x14ac:dyDescent="0.25">
      <c r="A37" s="181"/>
      <c r="B37" s="182" t="s">
        <v>897</v>
      </c>
      <c r="C37" s="364">
        <v>0</v>
      </c>
      <c r="D37" s="364">
        <v>17883398.410000004</v>
      </c>
      <c r="E37" s="365">
        <f t="shared" ref="E37" si="6">C37+D37</f>
        <v>17883398.410000004</v>
      </c>
      <c r="F37" s="364">
        <v>17883398.410000004</v>
      </c>
      <c r="G37" s="364">
        <v>17883398.410000004</v>
      </c>
      <c r="H37" s="366">
        <f t="shared" ref="H37" si="7">G37-C37</f>
        <v>17883398.410000004</v>
      </c>
    </row>
    <row r="38" spans="1:8" s="127" customFormat="1" ht="30.75" customHeight="1" x14ac:dyDescent="0.25">
      <c r="A38" s="181"/>
      <c r="B38" s="712" t="s">
        <v>899</v>
      </c>
      <c r="C38" s="364">
        <v>269652719.99859548</v>
      </c>
      <c r="D38" s="364">
        <v>53094892.630000018</v>
      </c>
      <c r="E38" s="365">
        <f t="shared" ref="E38" si="8">C38+D38</f>
        <v>322747612.62859547</v>
      </c>
      <c r="F38" s="364">
        <v>318475327.69999999</v>
      </c>
      <c r="G38" s="364">
        <v>232326347.48000002</v>
      </c>
      <c r="H38" s="366">
        <f t="shared" ref="H38" si="9">G38-C38</f>
        <v>-37326372.518595457</v>
      </c>
    </row>
    <row r="39" spans="1:8" s="127" customFormat="1" ht="29.25" customHeight="1" x14ac:dyDescent="0.25">
      <c r="A39" s="181"/>
      <c r="B39" s="183" t="s">
        <v>887</v>
      </c>
      <c r="C39" s="364">
        <v>398014411.31999999</v>
      </c>
      <c r="D39" s="364">
        <v>173564342.15999985</v>
      </c>
      <c r="E39" s="365">
        <f t="shared" si="3"/>
        <v>571578753.47999978</v>
      </c>
      <c r="F39" s="364">
        <v>511154850.60000002</v>
      </c>
      <c r="G39" s="364">
        <v>511154850.60000002</v>
      </c>
      <c r="H39" s="366">
        <f t="shared" si="4"/>
        <v>113140439.28000003</v>
      </c>
    </row>
    <row r="40" spans="1:8" s="127" customFormat="1" ht="6" customHeight="1" x14ac:dyDescent="0.25">
      <c r="A40" s="181"/>
      <c r="B40" s="182"/>
      <c r="C40" s="364"/>
      <c r="D40" s="364"/>
      <c r="E40" s="365"/>
      <c r="F40" s="364"/>
      <c r="G40" s="364"/>
      <c r="H40" s="366"/>
    </row>
    <row r="41" spans="1:8" s="127" customFormat="1" ht="17.100000000000001" customHeight="1" x14ac:dyDescent="0.25">
      <c r="A41" s="179" t="s">
        <v>397</v>
      </c>
      <c r="B41" s="180"/>
      <c r="C41" s="363">
        <f t="shared" ref="C41:H41" si="10">C42</f>
        <v>0</v>
      </c>
      <c r="D41" s="363">
        <f t="shared" si="10"/>
        <v>0</v>
      </c>
      <c r="E41" s="363">
        <f t="shared" si="10"/>
        <v>0</v>
      </c>
      <c r="F41" s="363">
        <f t="shared" si="10"/>
        <v>0</v>
      </c>
      <c r="G41" s="363">
        <f t="shared" si="10"/>
        <v>0</v>
      </c>
      <c r="H41" s="363">
        <f t="shared" si="10"/>
        <v>0</v>
      </c>
    </row>
    <row r="42" spans="1:8" s="127" customFormat="1" ht="17.100000000000001" customHeight="1" x14ac:dyDescent="0.25">
      <c r="A42" s="179"/>
      <c r="B42" s="184" t="s">
        <v>393</v>
      </c>
      <c r="C42" s="364">
        <v>0</v>
      </c>
      <c r="D42" s="364"/>
      <c r="E42" s="365">
        <f t="shared" si="3"/>
        <v>0</v>
      </c>
      <c r="F42" s="364"/>
      <c r="G42" s="364"/>
      <c r="H42" s="366">
        <f t="shared" si="4"/>
        <v>0</v>
      </c>
    </row>
    <row r="43" spans="1:8" s="127" customFormat="1" ht="12.75" customHeight="1" thickBot="1" x14ac:dyDescent="0.3">
      <c r="A43" s="185"/>
      <c r="B43" s="186"/>
      <c r="C43" s="368"/>
      <c r="D43" s="368"/>
      <c r="E43" s="369"/>
      <c r="F43" s="368"/>
      <c r="G43" s="368"/>
      <c r="H43" s="370"/>
    </row>
    <row r="44" spans="1:8" ht="21.75" customHeight="1" thickBot="1" x14ac:dyDescent="0.3">
      <c r="A44" s="1142" t="s">
        <v>246</v>
      </c>
      <c r="B44" s="1143"/>
      <c r="C44" s="647">
        <f t="shared" ref="C44:H44" si="11">C25+C35+C41</f>
        <v>782667131.31859541</v>
      </c>
      <c r="D44" s="647">
        <f t="shared" si="11"/>
        <v>2369673559.1999998</v>
      </c>
      <c r="E44" s="647">
        <f t="shared" si="11"/>
        <v>3152340690.5185952</v>
      </c>
      <c r="F44" s="647">
        <f t="shared" si="11"/>
        <v>3029627797.3700004</v>
      </c>
      <c r="G44" s="647">
        <f t="shared" si="11"/>
        <v>2943478817.1500006</v>
      </c>
      <c r="H44" s="647">
        <f t="shared" si="11"/>
        <v>2160811685.8314047</v>
      </c>
    </row>
    <row r="45" spans="1:8" ht="23.25" customHeight="1" thickBot="1" x14ac:dyDescent="0.3">
      <c r="A45" s="171"/>
      <c r="B45" s="171"/>
      <c r="C45" s="187"/>
      <c r="D45" s="187"/>
      <c r="E45" s="187"/>
      <c r="F45" s="188"/>
      <c r="G45" s="650" t="s">
        <v>1777</v>
      </c>
      <c r="H45" s="651">
        <f>IF(($G$44-$C$44)&lt;=0,"",$G$44-$C$44)</f>
        <v>2160811685.8314052</v>
      </c>
    </row>
    <row r="46" spans="1:8" ht="23.25" customHeight="1" x14ac:dyDescent="0.25">
      <c r="A46" s="174"/>
      <c r="B46" s="174"/>
      <c r="C46" s="449"/>
      <c r="D46" s="449"/>
      <c r="E46" s="449"/>
      <c r="F46" s="450"/>
      <c r="G46" s="451"/>
      <c r="H46" s="451"/>
    </row>
    <row r="47" spans="1:8" ht="23.25" customHeight="1" x14ac:dyDescent="0.25">
      <c r="A47" s="174"/>
      <c r="B47" s="174"/>
      <c r="C47" s="449"/>
      <c r="D47" s="449"/>
      <c r="E47" s="449"/>
      <c r="F47" s="450"/>
      <c r="G47" s="451"/>
      <c r="H47" s="451"/>
    </row>
    <row r="48" spans="1:8" s="718" customFormat="1" ht="15.75" customHeight="1" x14ac:dyDescent="0.25">
      <c r="A48" s="714"/>
      <c r="B48" s="715" t="s">
        <v>904</v>
      </c>
      <c r="C48" s="716"/>
      <c r="D48" s="716"/>
      <c r="E48" s="716"/>
      <c r="F48" s="716"/>
      <c r="G48" s="717"/>
      <c r="H48" s="717"/>
    </row>
    <row r="49" spans="1:8" s="718" customFormat="1" ht="12.75" customHeight="1" x14ac:dyDescent="0.25">
      <c r="A49" s="714"/>
      <c r="B49" s="715" t="s">
        <v>905</v>
      </c>
      <c r="C49" s="716"/>
      <c r="D49" s="716"/>
      <c r="E49" s="716"/>
      <c r="F49" s="716"/>
      <c r="G49" s="717"/>
      <c r="H49" s="717"/>
    </row>
    <row r="50" spans="1:8" s="718" customFormat="1" ht="26.25" customHeight="1" x14ac:dyDescent="0.25">
      <c r="A50" s="714"/>
      <c r="B50" s="1141" t="s">
        <v>906</v>
      </c>
      <c r="C50" s="1141"/>
      <c r="D50" s="1141"/>
      <c r="E50" s="1141"/>
      <c r="F50" s="1141"/>
      <c r="G50" s="1141"/>
      <c r="H50" s="1141"/>
    </row>
    <row r="51" spans="1:8" ht="23.25" customHeight="1" x14ac:dyDescent="0.25">
      <c r="A51" s="174"/>
      <c r="B51" s="174"/>
      <c r="C51" s="449"/>
      <c r="D51" s="449"/>
      <c r="E51" s="449"/>
      <c r="F51" s="450"/>
      <c r="G51" s="451"/>
      <c r="H51" s="451"/>
    </row>
    <row r="52" spans="1:8" ht="8.25" customHeight="1" x14ac:dyDescent="0.25">
      <c r="A52" s="189"/>
      <c r="B52" s="88"/>
    </row>
    <row r="53" spans="1:8" x14ac:dyDescent="0.25">
      <c r="B53" s="88"/>
      <c r="H53" s="331"/>
    </row>
    <row r="54" spans="1:8" x14ac:dyDescent="0.25">
      <c r="A54" s="191"/>
      <c r="B54" s="192" t="s">
        <v>398</v>
      </c>
      <c r="C54" s="193"/>
      <c r="D54" s="193"/>
      <c r="E54" s="193"/>
      <c r="F54" s="193"/>
      <c r="G54" s="193"/>
      <c r="H54" s="193"/>
    </row>
    <row r="55" spans="1:8" x14ac:dyDescent="0.25">
      <c r="A55" s="191"/>
      <c r="B55" s="192" t="s">
        <v>399</v>
      </c>
      <c r="C55" s="193"/>
      <c r="D55" s="193"/>
      <c r="E55" s="193"/>
      <c r="F55" s="193"/>
      <c r="G55" s="193"/>
      <c r="H55" s="193"/>
    </row>
    <row r="56" spans="1:8" x14ac:dyDescent="0.25">
      <c r="A56" s="191"/>
      <c r="B56" s="192"/>
      <c r="C56" s="193"/>
      <c r="D56" s="193"/>
      <c r="E56" s="193"/>
      <c r="F56" s="193"/>
      <c r="G56" s="193"/>
      <c r="H56" s="193"/>
    </row>
  </sheetData>
  <sheetProtection formatColumns="0" formatRows="0" insertHyperlinks="0"/>
  <mergeCells count="17">
    <mergeCell ref="A1:H1"/>
    <mergeCell ref="A2:H2"/>
    <mergeCell ref="A3:H3"/>
    <mergeCell ref="C4:F4"/>
    <mergeCell ref="C5:G5"/>
    <mergeCell ref="A5:B7"/>
    <mergeCell ref="B50:H50"/>
    <mergeCell ref="A44:B44"/>
    <mergeCell ref="A35:B35"/>
    <mergeCell ref="A22:B24"/>
    <mergeCell ref="A19:B19"/>
    <mergeCell ref="A29:B29"/>
    <mergeCell ref="A31:B31"/>
    <mergeCell ref="A33:B33"/>
    <mergeCell ref="C22:G22"/>
    <mergeCell ref="A25:B25"/>
    <mergeCell ref="A30:B30"/>
  </mergeCells>
  <printOptions horizontalCentered="1"/>
  <pageMargins left="0.39370078740157483" right="0.39370078740157483" top="0.39370078740157483" bottom="0" header="0.31496062992125984" footer="0.31496062992125984"/>
  <pageSetup scale="80" fitToHeight="2" orientation="landscape" r:id="rId1"/>
  <rowBreaks count="1" manualBreakCount="1">
    <brk id="21" max="7" man="1"/>
  </rowBreaks>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4.9989318521683403E-2"/>
  </sheetPr>
  <dimension ref="A1:J90"/>
  <sheetViews>
    <sheetView view="pageBreakPreview" zoomScale="130" zoomScaleNormal="120" zoomScaleSheetLayoutView="130" workbookViewId="0">
      <selection activeCell="E14" sqref="E14"/>
    </sheetView>
  </sheetViews>
  <sheetFormatPr baseColWidth="10" defaultColWidth="11.42578125" defaultRowHeight="15" x14ac:dyDescent="0.25"/>
  <cols>
    <col min="1" max="1" width="1.85546875" customWidth="1"/>
    <col min="2" max="2" width="0.85546875" customWidth="1"/>
    <col min="3" max="3" width="48.28515625" customWidth="1"/>
    <col min="5" max="5" width="12.85546875" customWidth="1"/>
  </cols>
  <sheetData>
    <row r="1" spans="1:9" ht="15.75" x14ac:dyDescent="0.25">
      <c r="A1" s="1060" t="str">
        <f>'CPCA-I-01'!A1:G1</f>
        <v xml:space="preserve">Comision Estatal del Agua </v>
      </c>
      <c r="B1" s="1060"/>
      <c r="C1" s="1060"/>
      <c r="D1" s="1060"/>
      <c r="E1" s="1060"/>
      <c r="F1" s="1060"/>
      <c r="G1" s="1060"/>
      <c r="H1" s="1060"/>
      <c r="I1" s="1060"/>
    </row>
    <row r="2" spans="1:9" ht="15.75" customHeight="1" x14ac:dyDescent="0.25">
      <c r="A2" s="1057" t="s">
        <v>400</v>
      </c>
      <c r="B2" s="1057"/>
      <c r="C2" s="1057"/>
      <c r="D2" s="1057"/>
      <c r="E2" s="1057"/>
      <c r="F2" s="1057"/>
      <c r="G2" s="1057"/>
      <c r="H2" s="1057"/>
      <c r="I2" s="1057"/>
    </row>
    <row r="3" spans="1:9" ht="15.75" customHeight="1" x14ac:dyDescent="0.25">
      <c r="A3" s="1188" t="str">
        <f>'CPCA-I-10'!A3:K3</f>
        <v xml:space="preserve">Del  01 de Enero de 2023 al 31 de Diciembre de 2023 </v>
      </c>
      <c r="B3" s="1188"/>
      <c r="C3" s="1188"/>
      <c r="D3" s="1188"/>
      <c r="E3" s="1188"/>
      <c r="F3" s="1188"/>
      <c r="G3" s="1188"/>
      <c r="H3" s="1188"/>
      <c r="I3" s="1188"/>
    </row>
    <row r="4" spans="1:9" ht="15.75" customHeight="1" thickBot="1" x14ac:dyDescent="0.3">
      <c r="A4" s="1116"/>
      <c r="B4" s="1116"/>
      <c r="C4" s="1116"/>
      <c r="D4" s="1116"/>
      <c r="E4" s="1116"/>
      <c r="F4" s="1116"/>
      <c r="G4" s="1116"/>
      <c r="H4" s="1116"/>
      <c r="I4" s="1116"/>
    </row>
    <row r="5" spans="1:9" ht="15.75" thickBot="1" x14ac:dyDescent="0.3">
      <c r="A5" s="1189"/>
      <c r="B5" s="1190"/>
      <c r="C5" s="1191"/>
      <c r="D5" s="1192" t="s">
        <v>401</v>
      </c>
      <c r="E5" s="1193"/>
      <c r="F5" s="1193"/>
      <c r="G5" s="1193"/>
      <c r="H5" s="1194"/>
      <c r="I5" s="1195" t="s">
        <v>402</v>
      </c>
    </row>
    <row r="6" spans="1:9" x14ac:dyDescent="0.25">
      <c r="A6" s="1198" t="s">
        <v>243</v>
      </c>
      <c r="B6" s="1199"/>
      <c r="C6" s="1200"/>
      <c r="D6" s="1195" t="s">
        <v>403</v>
      </c>
      <c r="E6" s="1204" t="s">
        <v>404</v>
      </c>
      <c r="F6" s="1195" t="s">
        <v>405</v>
      </c>
      <c r="G6" s="1195" t="s">
        <v>406</v>
      </c>
      <c r="H6" s="1195" t="s">
        <v>407</v>
      </c>
      <c r="I6" s="1196"/>
    </row>
    <row r="7" spans="1:9" ht="15.75" thickBot="1" x14ac:dyDescent="0.3">
      <c r="A7" s="1201" t="s">
        <v>408</v>
      </c>
      <c r="B7" s="1202"/>
      <c r="C7" s="1203"/>
      <c r="D7" s="1197"/>
      <c r="E7" s="1205"/>
      <c r="F7" s="1197"/>
      <c r="G7" s="1197"/>
      <c r="H7" s="1197"/>
      <c r="I7" s="1197"/>
    </row>
    <row r="8" spans="1:9" x14ac:dyDescent="0.25">
      <c r="A8" s="1183"/>
      <c r="B8" s="1184"/>
      <c r="C8" s="1185"/>
      <c r="D8" s="611"/>
      <c r="E8" s="611"/>
      <c r="F8" s="611"/>
      <c r="G8" s="611"/>
      <c r="H8" s="611"/>
      <c r="I8" s="611"/>
    </row>
    <row r="9" spans="1:9" x14ac:dyDescent="0.25">
      <c r="A9" s="1169" t="s">
        <v>409</v>
      </c>
      <c r="B9" s="1170"/>
      <c r="C9" s="1187"/>
      <c r="D9" s="515"/>
      <c r="E9" s="515"/>
      <c r="F9" s="515"/>
      <c r="G9" s="515"/>
      <c r="H9" s="515"/>
      <c r="I9" s="515"/>
    </row>
    <row r="10" spans="1:9" x14ac:dyDescent="0.25">
      <c r="A10" s="625"/>
      <c r="B10" s="1172" t="s">
        <v>410</v>
      </c>
      <c r="C10" s="1173"/>
      <c r="D10" s="527">
        <v>0</v>
      </c>
      <c r="E10" s="527">
        <v>0</v>
      </c>
      <c r="F10" s="527">
        <f t="shared" ref="F10:F16" si="0">+D10+E10</f>
        <v>0</v>
      </c>
      <c r="G10" s="527">
        <v>0</v>
      </c>
      <c r="H10" s="527">
        <v>0</v>
      </c>
      <c r="I10" s="524">
        <f>+H10-D10</f>
        <v>0</v>
      </c>
    </row>
    <row r="11" spans="1:9" x14ac:dyDescent="0.25">
      <c r="A11" s="625"/>
      <c r="B11" s="1172" t="s">
        <v>411</v>
      </c>
      <c r="C11" s="1173"/>
      <c r="D11" s="527">
        <v>0</v>
      </c>
      <c r="E11" s="527">
        <v>0</v>
      </c>
      <c r="F11" s="527">
        <f t="shared" si="0"/>
        <v>0</v>
      </c>
      <c r="G11" s="527">
        <v>0</v>
      </c>
      <c r="H11" s="527">
        <v>0</v>
      </c>
      <c r="I11" s="524">
        <f t="shared" ref="I11:I16" si="1">+H11-D11</f>
        <v>0</v>
      </c>
    </row>
    <row r="12" spans="1:9" x14ac:dyDescent="0.25">
      <c r="A12" s="625"/>
      <c r="B12" s="1172" t="s">
        <v>412</v>
      </c>
      <c r="C12" s="1173"/>
      <c r="D12" s="527">
        <v>0</v>
      </c>
      <c r="E12" s="527">
        <v>0</v>
      </c>
      <c r="F12" s="527">
        <f t="shared" si="0"/>
        <v>0</v>
      </c>
      <c r="G12" s="527">
        <v>0</v>
      </c>
      <c r="H12" s="527">
        <v>0</v>
      </c>
      <c r="I12" s="524">
        <f t="shared" si="1"/>
        <v>0</v>
      </c>
    </row>
    <row r="13" spans="1:9" x14ac:dyDescent="0.25">
      <c r="A13" s="625"/>
      <c r="B13" s="1172" t="s">
        <v>413</v>
      </c>
      <c r="C13" s="1173"/>
      <c r="D13" s="527">
        <v>0</v>
      </c>
      <c r="E13" s="527">
        <v>0</v>
      </c>
      <c r="F13" s="527">
        <f t="shared" si="0"/>
        <v>0</v>
      </c>
      <c r="G13" s="527">
        <v>0</v>
      </c>
      <c r="H13" s="527">
        <v>0</v>
      </c>
      <c r="I13" s="524">
        <f t="shared" si="1"/>
        <v>0</v>
      </c>
    </row>
    <row r="14" spans="1:9" x14ac:dyDescent="0.25">
      <c r="A14" s="625"/>
      <c r="B14" s="1172" t="s">
        <v>414</v>
      </c>
      <c r="C14" s="1173"/>
      <c r="D14" s="527">
        <v>0</v>
      </c>
      <c r="E14" s="527">
        <v>17883398.410000004</v>
      </c>
      <c r="F14" s="527">
        <f t="shared" si="0"/>
        <v>17883398.410000004</v>
      </c>
      <c r="G14" s="527">
        <v>17883398.410000004</v>
      </c>
      <c r="H14" s="527">
        <v>17883398.410000004</v>
      </c>
      <c r="I14" s="524">
        <f t="shared" si="1"/>
        <v>17883398.410000004</v>
      </c>
    </row>
    <row r="15" spans="1:9" x14ac:dyDescent="0.25">
      <c r="A15" s="625"/>
      <c r="B15" s="1172" t="s">
        <v>415</v>
      </c>
      <c r="C15" s="1173"/>
      <c r="D15" s="527">
        <v>0</v>
      </c>
      <c r="E15" s="527">
        <v>0</v>
      </c>
      <c r="F15" s="527">
        <f t="shared" si="0"/>
        <v>0</v>
      </c>
      <c r="G15" s="527">
        <v>0</v>
      </c>
      <c r="H15" s="527"/>
      <c r="I15" s="524">
        <f t="shared" si="1"/>
        <v>0</v>
      </c>
    </row>
    <row r="16" spans="1:9" x14ac:dyDescent="0.25">
      <c r="A16" s="625"/>
      <c r="B16" s="1172" t="s">
        <v>889</v>
      </c>
      <c r="C16" s="1173"/>
      <c r="D16" s="527">
        <v>269652719.99859548</v>
      </c>
      <c r="E16" s="527">
        <v>53094892.630000018</v>
      </c>
      <c r="F16" s="527">
        <f t="shared" si="0"/>
        <v>322747612.62859547</v>
      </c>
      <c r="G16" s="527">
        <v>318475327.69999999</v>
      </c>
      <c r="H16" s="527">
        <v>232326347.48000002</v>
      </c>
      <c r="I16" s="524">
        <f t="shared" si="1"/>
        <v>-37326372.518595457</v>
      </c>
    </row>
    <row r="17" spans="1:9" x14ac:dyDescent="0.25">
      <c r="A17" s="1186"/>
      <c r="B17" s="1172" t="s">
        <v>416</v>
      </c>
      <c r="C17" s="1173"/>
      <c r="D17" s="1180">
        <f t="shared" ref="D17:I17" si="2">SUM(D19:D29)</f>
        <v>0</v>
      </c>
      <c r="E17" s="1180">
        <f t="shared" si="2"/>
        <v>0</v>
      </c>
      <c r="F17" s="1180">
        <f t="shared" si="2"/>
        <v>0</v>
      </c>
      <c r="G17" s="1180">
        <f t="shared" si="2"/>
        <v>0</v>
      </c>
      <c r="H17" s="1180">
        <f t="shared" si="2"/>
        <v>0</v>
      </c>
      <c r="I17" s="1180">
        <f t="shared" si="2"/>
        <v>0</v>
      </c>
    </row>
    <row r="18" spans="1:9" x14ac:dyDescent="0.25">
      <c r="A18" s="1186"/>
      <c r="B18" s="1172" t="s">
        <v>417</v>
      </c>
      <c r="C18" s="1173"/>
      <c r="D18" s="1180"/>
      <c r="E18" s="1180"/>
      <c r="F18" s="1180"/>
      <c r="G18" s="1180"/>
      <c r="H18" s="1180"/>
      <c r="I18" s="1180"/>
    </row>
    <row r="19" spans="1:9" x14ac:dyDescent="0.25">
      <c r="A19" s="625"/>
      <c r="B19" s="623"/>
      <c r="C19" s="624" t="s">
        <v>418</v>
      </c>
      <c r="D19" s="527">
        <v>0</v>
      </c>
      <c r="E19" s="527">
        <v>0</v>
      </c>
      <c r="F19" s="527">
        <f t="shared" ref="F19:F29" si="3">+D19+E19</f>
        <v>0</v>
      </c>
      <c r="G19" s="527">
        <v>0</v>
      </c>
      <c r="H19" s="527">
        <v>0</v>
      </c>
      <c r="I19" s="524">
        <f>+H19-D19</f>
        <v>0</v>
      </c>
    </row>
    <row r="20" spans="1:9" x14ac:dyDescent="0.25">
      <c r="A20" s="625"/>
      <c r="B20" s="623"/>
      <c r="C20" s="624" t="s">
        <v>419</v>
      </c>
      <c r="D20" s="527">
        <v>0</v>
      </c>
      <c r="E20" s="527">
        <v>0</v>
      </c>
      <c r="F20" s="527">
        <f t="shared" si="3"/>
        <v>0</v>
      </c>
      <c r="G20" s="527">
        <v>0</v>
      </c>
      <c r="H20" s="527">
        <v>0</v>
      </c>
      <c r="I20" s="524">
        <f t="shared" ref="I20:I36" si="4">+H20-D20</f>
        <v>0</v>
      </c>
    </row>
    <row r="21" spans="1:9" x14ac:dyDescent="0.25">
      <c r="A21" s="625"/>
      <c r="B21" s="623"/>
      <c r="C21" s="624" t="s">
        <v>420</v>
      </c>
      <c r="D21" s="527">
        <v>0</v>
      </c>
      <c r="E21" s="527">
        <v>0</v>
      </c>
      <c r="F21" s="527">
        <f t="shared" si="3"/>
        <v>0</v>
      </c>
      <c r="G21" s="527">
        <v>0</v>
      </c>
      <c r="H21" s="527">
        <v>0</v>
      </c>
      <c r="I21" s="524">
        <f t="shared" si="4"/>
        <v>0</v>
      </c>
    </row>
    <row r="22" spans="1:9" x14ac:dyDescent="0.25">
      <c r="A22" s="625"/>
      <c r="B22" s="623"/>
      <c r="C22" s="624" t="s">
        <v>421</v>
      </c>
      <c r="D22" s="527">
        <v>0</v>
      </c>
      <c r="E22" s="527">
        <v>0</v>
      </c>
      <c r="F22" s="527">
        <f t="shared" si="3"/>
        <v>0</v>
      </c>
      <c r="G22" s="527">
        <v>0</v>
      </c>
      <c r="H22" s="527">
        <v>0</v>
      </c>
      <c r="I22" s="524">
        <f t="shared" si="4"/>
        <v>0</v>
      </c>
    </row>
    <row r="23" spans="1:9" x14ac:dyDescent="0.25">
      <c r="A23" s="625"/>
      <c r="B23" s="623"/>
      <c r="C23" s="624" t="s">
        <v>422</v>
      </c>
      <c r="D23" s="527">
        <v>0</v>
      </c>
      <c r="E23" s="527">
        <v>0</v>
      </c>
      <c r="F23" s="527">
        <f t="shared" si="3"/>
        <v>0</v>
      </c>
      <c r="G23" s="527">
        <v>0</v>
      </c>
      <c r="H23" s="527">
        <v>0</v>
      </c>
      <c r="I23" s="524">
        <f t="shared" si="4"/>
        <v>0</v>
      </c>
    </row>
    <row r="24" spans="1:9" x14ac:dyDescent="0.25">
      <c r="A24" s="625"/>
      <c r="B24" s="623"/>
      <c r="C24" s="624" t="s">
        <v>423</v>
      </c>
      <c r="D24" s="527">
        <v>0</v>
      </c>
      <c r="E24" s="527">
        <v>0</v>
      </c>
      <c r="F24" s="527">
        <f t="shared" si="3"/>
        <v>0</v>
      </c>
      <c r="G24" s="527">
        <v>0</v>
      </c>
      <c r="H24" s="527">
        <v>0</v>
      </c>
      <c r="I24" s="524">
        <f t="shared" si="4"/>
        <v>0</v>
      </c>
    </row>
    <row r="25" spans="1:9" x14ac:dyDescent="0.25">
      <c r="A25" s="625"/>
      <c r="B25" s="623"/>
      <c r="C25" s="624" t="s">
        <v>424</v>
      </c>
      <c r="D25" s="527">
        <v>0</v>
      </c>
      <c r="E25" s="527">
        <v>0</v>
      </c>
      <c r="F25" s="527">
        <f t="shared" si="3"/>
        <v>0</v>
      </c>
      <c r="G25" s="527">
        <v>0</v>
      </c>
      <c r="H25" s="527">
        <v>0</v>
      </c>
      <c r="I25" s="524">
        <f t="shared" si="4"/>
        <v>0</v>
      </c>
    </row>
    <row r="26" spans="1:9" x14ac:dyDescent="0.25">
      <c r="A26" s="625"/>
      <c r="B26" s="623"/>
      <c r="C26" s="624" t="s">
        <v>425</v>
      </c>
      <c r="D26" s="527">
        <v>0</v>
      </c>
      <c r="E26" s="527">
        <v>0</v>
      </c>
      <c r="F26" s="527">
        <f t="shared" si="3"/>
        <v>0</v>
      </c>
      <c r="G26" s="527">
        <v>0</v>
      </c>
      <c r="H26" s="527">
        <v>0</v>
      </c>
      <c r="I26" s="524">
        <f t="shared" si="4"/>
        <v>0</v>
      </c>
    </row>
    <row r="27" spans="1:9" x14ac:dyDescent="0.25">
      <c r="A27" s="625"/>
      <c r="B27" s="623"/>
      <c r="C27" s="624" t="s">
        <v>426</v>
      </c>
      <c r="D27" s="527">
        <v>0</v>
      </c>
      <c r="E27" s="527">
        <v>0</v>
      </c>
      <c r="F27" s="527">
        <f t="shared" si="3"/>
        <v>0</v>
      </c>
      <c r="G27" s="527">
        <v>0</v>
      </c>
      <c r="H27" s="527">
        <v>0</v>
      </c>
      <c r="I27" s="524">
        <f t="shared" si="4"/>
        <v>0</v>
      </c>
    </row>
    <row r="28" spans="1:9" x14ac:dyDescent="0.25">
      <c r="A28" s="625"/>
      <c r="B28" s="623"/>
      <c r="C28" s="624" t="s">
        <v>427</v>
      </c>
      <c r="D28" s="527">
        <v>0</v>
      </c>
      <c r="E28" s="527">
        <v>0</v>
      </c>
      <c r="F28" s="527">
        <f t="shared" si="3"/>
        <v>0</v>
      </c>
      <c r="G28" s="527">
        <v>0</v>
      </c>
      <c r="H28" s="527">
        <v>0</v>
      </c>
      <c r="I28" s="524">
        <f t="shared" si="4"/>
        <v>0</v>
      </c>
    </row>
    <row r="29" spans="1:9" x14ac:dyDescent="0.25">
      <c r="A29" s="625"/>
      <c r="B29" s="623"/>
      <c r="C29" s="624" t="s">
        <v>428</v>
      </c>
      <c r="D29" s="527">
        <v>0</v>
      </c>
      <c r="E29" s="527">
        <v>0</v>
      </c>
      <c r="F29" s="527">
        <f t="shared" si="3"/>
        <v>0</v>
      </c>
      <c r="G29" s="527">
        <v>0</v>
      </c>
      <c r="H29" s="527">
        <v>0</v>
      </c>
      <c r="I29" s="524">
        <f t="shared" si="4"/>
        <v>0</v>
      </c>
    </row>
    <row r="30" spans="1:9" x14ac:dyDescent="0.25">
      <c r="A30" s="625"/>
      <c r="B30" s="1172" t="s">
        <v>429</v>
      </c>
      <c r="C30" s="1173"/>
      <c r="D30" s="524">
        <f t="shared" ref="D30:I30" si="5">SUM(D31:D35)</f>
        <v>0</v>
      </c>
      <c r="E30" s="524">
        <f t="shared" si="5"/>
        <v>0</v>
      </c>
      <c r="F30" s="524">
        <f t="shared" si="5"/>
        <v>0</v>
      </c>
      <c r="G30" s="524">
        <f t="shared" si="5"/>
        <v>0</v>
      </c>
      <c r="H30" s="524">
        <f t="shared" si="5"/>
        <v>0</v>
      </c>
      <c r="I30" s="524">
        <f t="shared" si="5"/>
        <v>0</v>
      </c>
    </row>
    <row r="31" spans="1:9" x14ac:dyDescent="0.25">
      <c r="A31" s="625"/>
      <c r="B31" s="623"/>
      <c r="C31" s="624" t="s">
        <v>430</v>
      </c>
      <c r="D31" s="527">
        <v>0</v>
      </c>
      <c r="E31" s="527">
        <v>0</v>
      </c>
      <c r="F31" s="527">
        <v>0</v>
      </c>
      <c r="G31" s="527"/>
      <c r="H31" s="527">
        <v>0</v>
      </c>
      <c r="I31" s="524">
        <f t="shared" si="4"/>
        <v>0</v>
      </c>
    </row>
    <row r="32" spans="1:9" x14ac:dyDescent="0.25">
      <c r="A32" s="625"/>
      <c r="B32" s="623"/>
      <c r="C32" s="624" t="s">
        <v>431</v>
      </c>
      <c r="D32" s="527">
        <v>0</v>
      </c>
      <c r="E32" s="527">
        <v>0</v>
      </c>
      <c r="F32" s="527">
        <f t="shared" ref="F32:F36" si="6">+D32+E32</f>
        <v>0</v>
      </c>
      <c r="G32" s="527"/>
      <c r="H32" s="527">
        <v>0</v>
      </c>
      <c r="I32" s="524">
        <f t="shared" si="4"/>
        <v>0</v>
      </c>
    </row>
    <row r="33" spans="1:9" ht="15.75" thickBot="1" x14ac:dyDescent="0.3">
      <c r="A33" s="496"/>
      <c r="B33" s="569"/>
      <c r="C33" s="614" t="s">
        <v>432</v>
      </c>
      <c r="D33" s="528">
        <v>0</v>
      </c>
      <c r="E33" s="528">
        <v>0</v>
      </c>
      <c r="F33" s="528">
        <f t="shared" si="6"/>
        <v>0</v>
      </c>
      <c r="G33" s="528"/>
      <c r="H33" s="528"/>
      <c r="I33" s="525">
        <f t="shared" si="4"/>
        <v>0</v>
      </c>
    </row>
    <row r="34" spans="1:9" x14ac:dyDescent="0.25">
      <c r="A34" s="625"/>
      <c r="B34" s="623"/>
      <c r="C34" s="624" t="s">
        <v>433</v>
      </c>
      <c r="D34" s="527">
        <v>0</v>
      </c>
      <c r="E34" s="527">
        <v>0</v>
      </c>
      <c r="F34" s="527">
        <f t="shared" si="6"/>
        <v>0</v>
      </c>
      <c r="G34" s="527"/>
      <c r="H34" s="527"/>
      <c r="I34" s="524">
        <f t="shared" si="4"/>
        <v>0</v>
      </c>
    </row>
    <row r="35" spans="1:9" x14ac:dyDescent="0.25">
      <c r="A35" s="625"/>
      <c r="B35" s="623"/>
      <c r="C35" s="624" t="s">
        <v>434</v>
      </c>
      <c r="D35" s="527">
        <v>0</v>
      </c>
      <c r="E35" s="527">
        <v>0</v>
      </c>
      <c r="F35" s="527">
        <f t="shared" si="6"/>
        <v>0</v>
      </c>
      <c r="G35" s="527"/>
      <c r="H35" s="527"/>
      <c r="I35" s="524">
        <f t="shared" si="4"/>
        <v>0</v>
      </c>
    </row>
    <row r="36" spans="1:9" x14ac:dyDescent="0.25">
      <c r="A36" s="625"/>
      <c r="B36" s="1181" t="s">
        <v>890</v>
      </c>
      <c r="C36" s="1182"/>
      <c r="D36" s="527">
        <v>398014411.31999999</v>
      </c>
      <c r="E36" s="527">
        <v>173564342.15999985</v>
      </c>
      <c r="F36" s="612">
        <f t="shared" si="6"/>
        <v>571578753.47999978</v>
      </c>
      <c r="G36" s="527">
        <v>511154850.60000002</v>
      </c>
      <c r="H36" s="527">
        <v>511154850.60000002</v>
      </c>
      <c r="I36" s="613">
        <f t="shared" si="4"/>
        <v>113140439.28000003</v>
      </c>
    </row>
    <row r="37" spans="1:9" x14ac:dyDescent="0.25">
      <c r="A37" s="625"/>
      <c r="B37" s="1172" t="s">
        <v>435</v>
      </c>
      <c r="C37" s="1173"/>
      <c r="D37" s="524">
        <f t="shared" ref="D37:I37" si="7">SUM(D38)</f>
        <v>0</v>
      </c>
      <c r="E37" s="524">
        <f t="shared" si="7"/>
        <v>0</v>
      </c>
      <c r="F37" s="524">
        <f t="shared" si="7"/>
        <v>0</v>
      </c>
      <c r="G37" s="524">
        <f t="shared" si="7"/>
        <v>0</v>
      </c>
      <c r="H37" s="524">
        <f t="shared" si="7"/>
        <v>0</v>
      </c>
      <c r="I37" s="524">
        <f t="shared" si="7"/>
        <v>0</v>
      </c>
    </row>
    <row r="38" spans="1:9" x14ac:dyDescent="0.25">
      <c r="A38" s="625"/>
      <c r="B38" s="623"/>
      <c r="C38" s="624" t="s">
        <v>436</v>
      </c>
      <c r="D38" s="527">
        <v>0</v>
      </c>
      <c r="E38" s="527"/>
      <c r="F38" s="527">
        <f>+D38+E38</f>
        <v>0</v>
      </c>
      <c r="G38" s="527"/>
      <c r="H38" s="527"/>
      <c r="I38" s="524">
        <f>+H38-D38</f>
        <v>0</v>
      </c>
    </row>
    <row r="39" spans="1:9" x14ac:dyDescent="0.25">
      <c r="A39" s="625"/>
      <c r="B39" s="1172" t="s">
        <v>437</v>
      </c>
      <c r="C39" s="1173"/>
      <c r="D39" s="524">
        <f t="shared" ref="D39:I39" si="8">SUM(D40:D41)</f>
        <v>0</v>
      </c>
      <c r="E39" s="524">
        <f t="shared" si="8"/>
        <v>0</v>
      </c>
      <c r="F39" s="524">
        <f t="shared" si="8"/>
        <v>0</v>
      </c>
      <c r="G39" s="524">
        <f t="shared" si="8"/>
        <v>0</v>
      </c>
      <c r="H39" s="524">
        <f t="shared" si="8"/>
        <v>0</v>
      </c>
      <c r="I39" s="524">
        <f t="shared" si="8"/>
        <v>0</v>
      </c>
    </row>
    <row r="40" spans="1:9" x14ac:dyDescent="0.25">
      <c r="A40" s="625"/>
      <c r="B40" s="623"/>
      <c r="C40" s="624" t="s">
        <v>438</v>
      </c>
      <c r="D40" s="527">
        <v>0</v>
      </c>
      <c r="E40" s="527">
        <v>0</v>
      </c>
      <c r="F40" s="527">
        <f>+D40+E40</f>
        <v>0</v>
      </c>
      <c r="G40" s="527"/>
      <c r="H40" s="527"/>
      <c r="I40" s="524">
        <f>H40-D40</f>
        <v>0</v>
      </c>
    </row>
    <row r="41" spans="1:9" x14ac:dyDescent="0.25">
      <c r="A41" s="625"/>
      <c r="B41" s="623"/>
      <c r="C41" s="624" t="s">
        <v>439</v>
      </c>
      <c r="D41" s="527">
        <v>0</v>
      </c>
      <c r="E41" s="527">
        <v>0</v>
      </c>
      <c r="F41" s="527">
        <f>+D41+E41</f>
        <v>0</v>
      </c>
      <c r="G41" s="527"/>
      <c r="H41" s="527"/>
      <c r="I41" s="524">
        <f>H41-D41</f>
        <v>0</v>
      </c>
    </row>
    <row r="42" spans="1:9" ht="8.25" customHeight="1" x14ac:dyDescent="0.25">
      <c r="A42" s="625"/>
      <c r="B42" s="623"/>
      <c r="C42" s="624"/>
      <c r="D42" s="524"/>
      <c r="E42" s="524"/>
      <c r="F42" s="524"/>
      <c r="G42" s="524"/>
      <c r="H42" s="524"/>
      <c r="I42" s="524"/>
    </row>
    <row r="43" spans="1:9" ht="15" customHeight="1" x14ac:dyDescent="0.25">
      <c r="A43" s="640" t="s">
        <v>440</v>
      </c>
      <c r="B43" s="504"/>
      <c r="C43" s="523"/>
      <c r="D43" s="1179">
        <f>+D10+D11+D12+D13+D14+D15+D16+D17+D30+D36+D37+D39</f>
        <v>667667131.31859541</v>
      </c>
      <c r="E43" s="1179">
        <f t="shared" ref="E43:I43" si="9">+E10+E11+E12+E13+E14+E15+E16+E17+E30+E36+E37+E39</f>
        <v>244542633.19999987</v>
      </c>
      <c r="F43" s="1179">
        <f t="shared" si="9"/>
        <v>912209764.51859522</v>
      </c>
      <c r="G43" s="1179">
        <f t="shared" si="9"/>
        <v>847513576.71000004</v>
      </c>
      <c r="H43" s="1179">
        <f t="shared" si="9"/>
        <v>761364596.49000001</v>
      </c>
      <c r="I43" s="1179">
        <f t="shared" si="9"/>
        <v>93697465.17140457</v>
      </c>
    </row>
    <row r="44" spans="1:9" x14ac:dyDescent="0.25">
      <c r="A44" s="640" t="s">
        <v>441</v>
      </c>
      <c r="B44" s="504"/>
      <c r="C44" s="523"/>
      <c r="D44" s="1179"/>
      <c r="E44" s="1179"/>
      <c r="F44" s="1179"/>
      <c r="G44" s="1179"/>
      <c r="H44" s="1179"/>
      <c r="I44" s="1179"/>
    </row>
    <row r="45" spans="1:9" ht="8.25" customHeight="1" x14ac:dyDescent="0.25">
      <c r="A45" s="641"/>
      <c r="B45" s="626"/>
      <c r="C45" s="627"/>
      <c r="D45" s="1179"/>
      <c r="E45" s="1179"/>
      <c r="F45" s="1179"/>
      <c r="G45" s="1179"/>
      <c r="H45" s="1179"/>
      <c r="I45" s="1179"/>
    </row>
    <row r="46" spans="1:9" x14ac:dyDescent="0.25">
      <c r="A46" s="1169" t="s">
        <v>442</v>
      </c>
      <c r="B46" s="1170"/>
      <c r="C46" s="1171"/>
      <c r="D46" s="529"/>
      <c r="E46" s="529"/>
      <c r="F46" s="529"/>
      <c r="G46" s="529"/>
      <c r="H46" s="529"/>
      <c r="I46" s="524">
        <f>IF(($H$43-$D$43)&lt;=0," ",$H$43-$D$43)</f>
        <v>93697465.1714046</v>
      </c>
    </row>
    <row r="47" spans="1:9" ht="11.25" customHeight="1" x14ac:dyDescent="0.25">
      <c r="A47" s="625"/>
      <c r="B47" s="623"/>
      <c r="C47" s="624"/>
      <c r="D47" s="524"/>
      <c r="E47" s="524"/>
      <c r="F47" s="524"/>
      <c r="G47" s="524"/>
      <c r="H47" s="524"/>
      <c r="I47" s="524"/>
    </row>
    <row r="48" spans="1:9" x14ac:dyDescent="0.25">
      <c r="A48" s="1169" t="s">
        <v>443</v>
      </c>
      <c r="B48" s="1170"/>
      <c r="C48" s="1171"/>
      <c r="D48" s="524"/>
      <c r="E48" s="524"/>
      <c r="F48" s="524"/>
      <c r="G48" s="524"/>
      <c r="H48" s="524"/>
      <c r="I48" s="524"/>
    </row>
    <row r="49" spans="1:9" x14ac:dyDescent="0.25">
      <c r="A49" s="625"/>
      <c r="B49" s="1172" t="s">
        <v>444</v>
      </c>
      <c r="C49" s="1173"/>
      <c r="D49" s="524">
        <f t="shared" ref="D49:I49" si="10">SUM(D50:D57)</f>
        <v>0</v>
      </c>
      <c r="E49" s="524">
        <f t="shared" si="10"/>
        <v>0</v>
      </c>
      <c r="F49" s="524">
        <f t="shared" si="10"/>
        <v>0</v>
      </c>
      <c r="G49" s="524">
        <f t="shared" si="10"/>
        <v>0</v>
      </c>
      <c r="H49" s="524">
        <f t="shared" si="10"/>
        <v>0</v>
      </c>
      <c r="I49" s="524">
        <f t="shared" si="10"/>
        <v>0</v>
      </c>
    </row>
    <row r="50" spans="1:9" x14ac:dyDescent="0.25">
      <c r="A50" s="625"/>
      <c r="B50" s="623"/>
      <c r="C50" s="624" t="s">
        <v>445</v>
      </c>
      <c r="D50" s="527">
        <v>0</v>
      </c>
      <c r="E50" s="527">
        <v>0</v>
      </c>
      <c r="F50" s="527">
        <f t="shared" ref="F50:F78" si="11">+D50+E50</f>
        <v>0</v>
      </c>
      <c r="G50" s="527">
        <v>0</v>
      </c>
      <c r="H50" s="527">
        <v>0</v>
      </c>
      <c r="I50" s="524">
        <f>H50-D50</f>
        <v>0</v>
      </c>
    </row>
    <row r="51" spans="1:9" x14ac:dyDescent="0.25">
      <c r="A51" s="625"/>
      <c r="B51" s="623"/>
      <c r="C51" s="624" t="s">
        <v>446</v>
      </c>
      <c r="D51" s="527">
        <v>0</v>
      </c>
      <c r="E51" s="527"/>
      <c r="F51" s="527">
        <f t="shared" si="11"/>
        <v>0</v>
      </c>
      <c r="G51" s="527"/>
      <c r="H51" s="527"/>
      <c r="I51" s="524">
        <f t="shared" ref="I51:I62" si="12">H51-D51</f>
        <v>0</v>
      </c>
    </row>
    <row r="52" spans="1:9" x14ac:dyDescent="0.25">
      <c r="A52" s="625"/>
      <c r="B52" s="623"/>
      <c r="C52" s="624" t="s">
        <v>447</v>
      </c>
      <c r="D52" s="527">
        <v>0</v>
      </c>
      <c r="E52" s="527"/>
      <c r="F52" s="527">
        <f t="shared" si="11"/>
        <v>0</v>
      </c>
      <c r="G52" s="527"/>
      <c r="H52" s="527"/>
      <c r="I52" s="524">
        <f t="shared" si="12"/>
        <v>0</v>
      </c>
    </row>
    <row r="53" spans="1:9" ht="19.5" x14ac:dyDescent="0.25">
      <c r="A53" s="625"/>
      <c r="B53" s="623"/>
      <c r="C53" s="628" t="s">
        <v>448</v>
      </c>
      <c r="D53" s="527">
        <v>0</v>
      </c>
      <c r="E53" s="527"/>
      <c r="F53" s="527">
        <f t="shared" si="11"/>
        <v>0</v>
      </c>
      <c r="G53" s="527"/>
      <c r="H53" s="527"/>
      <c r="I53" s="524">
        <f t="shared" si="12"/>
        <v>0</v>
      </c>
    </row>
    <row r="54" spans="1:9" x14ac:dyDescent="0.25">
      <c r="A54" s="625"/>
      <c r="B54" s="623"/>
      <c r="C54" s="624" t="s">
        <v>449</v>
      </c>
      <c r="D54" s="527">
        <v>0</v>
      </c>
      <c r="E54" s="527">
        <v>0</v>
      </c>
      <c r="F54" s="527">
        <f t="shared" si="11"/>
        <v>0</v>
      </c>
      <c r="G54" s="527">
        <v>0</v>
      </c>
      <c r="H54" s="527">
        <v>0</v>
      </c>
      <c r="I54" s="524">
        <f t="shared" si="12"/>
        <v>0</v>
      </c>
    </row>
    <row r="55" spans="1:9" x14ac:dyDescent="0.25">
      <c r="A55" s="625"/>
      <c r="B55" s="623"/>
      <c r="C55" s="624" t="s">
        <v>450</v>
      </c>
      <c r="D55" s="527">
        <v>0</v>
      </c>
      <c r="E55" s="527"/>
      <c r="F55" s="527">
        <f t="shared" si="11"/>
        <v>0</v>
      </c>
      <c r="G55" s="527"/>
      <c r="H55" s="527"/>
      <c r="I55" s="524">
        <f t="shared" si="12"/>
        <v>0</v>
      </c>
    </row>
    <row r="56" spans="1:9" ht="19.5" x14ac:dyDescent="0.25">
      <c r="A56" s="625"/>
      <c r="B56" s="623"/>
      <c r="C56" s="628" t="s">
        <v>451</v>
      </c>
      <c r="D56" s="527">
        <v>0</v>
      </c>
      <c r="E56" s="527"/>
      <c r="F56" s="527">
        <f t="shared" si="11"/>
        <v>0</v>
      </c>
      <c r="G56" s="527"/>
      <c r="H56" s="527"/>
      <c r="I56" s="524">
        <f t="shared" si="12"/>
        <v>0</v>
      </c>
    </row>
    <row r="57" spans="1:9" ht="19.5" x14ac:dyDescent="0.25">
      <c r="A57" s="625"/>
      <c r="B57" s="623"/>
      <c r="C57" s="628" t="s">
        <v>452</v>
      </c>
      <c r="D57" s="527">
        <v>0</v>
      </c>
      <c r="E57" s="527"/>
      <c r="F57" s="527">
        <f t="shared" si="11"/>
        <v>0</v>
      </c>
      <c r="G57" s="527"/>
      <c r="H57" s="527"/>
      <c r="I57" s="524">
        <f t="shared" si="12"/>
        <v>0</v>
      </c>
    </row>
    <row r="58" spans="1:9" x14ac:dyDescent="0.25">
      <c r="A58" s="625"/>
      <c r="B58" s="1172" t="s">
        <v>453</v>
      </c>
      <c r="C58" s="1173"/>
      <c r="D58" s="524">
        <f t="shared" ref="D58:I58" si="13">SUM(D59:D62)</f>
        <v>115000000</v>
      </c>
      <c r="E58" s="524">
        <f t="shared" si="13"/>
        <v>2114900000</v>
      </c>
      <c r="F58" s="524">
        <f t="shared" si="13"/>
        <v>2229900000</v>
      </c>
      <c r="G58" s="524">
        <f t="shared" si="13"/>
        <v>2171883294.6600003</v>
      </c>
      <c r="H58" s="524">
        <f t="shared" si="13"/>
        <v>2171883294.6600003</v>
      </c>
      <c r="I58" s="524">
        <f t="shared" si="13"/>
        <v>2056883294.6600003</v>
      </c>
    </row>
    <row r="59" spans="1:9" x14ac:dyDescent="0.25">
      <c r="A59" s="625"/>
      <c r="B59" s="623"/>
      <c r="C59" s="624" t="s">
        <v>454</v>
      </c>
      <c r="D59" s="527">
        <v>0</v>
      </c>
      <c r="E59" s="527"/>
      <c r="F59" s="527">
        <f t="shared" si="11"/>
        <v>0</v>
      </c>
      <c r="G59" s="527"/>
      <c r="H59" s="527"/>
      <c r="I59" s="524">
        <f t="shared" si="12"/>
        <v>0</v>
      </c>
    </row>
    <row r="60" spans="1:9" x14ac:dyDescent="0.25">
      <c r="A60" s="625"/>
      <c r="B60" s="623"/>
      <c r="C60" s="624" t="s">
        <v>455</v>
      </c>
      <c r="D60" s="527">
        <v>0</v>
      </c>
      <c r="E60" s="527"/>
      <c r="F60" s="527">
        <v>0</v>
      </c>
      <c r="G60" s="527"/>
      <c r="H60" s="527"/>
      <c r="I60" s="524">
        <f t="shared" si="12"/>
        <v>0</v>
      </c>
    </row>
    <row r="61" spans="1:9" x14ac:dyDescent="0.25">
      <c r="A61" s="625"/>
      <c r="B61" s="623"/>
      <c r="C61" s="624" t="s">
        <v>456</v>
      </c>
      <c r="D61" s="527">
        <v>0</v>
      </c>
      <c r="E61" s="527"/>
      <c r="F61" s="527">
        <v>0</v>
      </c>
      <c r="G61" s="527"/>
      <c r="H61" s="527"/>
      <c r="I61" s="524">
        <f t="shared" si="12"/>
        <v>0</v>
      </c>
    </row>
    <row r="62" spans="1:9" x14ac:dyDescent="0.25">
      <c r="A62" s="625"/>
      <c r="B62" s="623"/>
      <c r="C62" s="624" t="s">
        <v>457</v>
      </c>
      <c r="D62" s="527">
        <v>115000000</v>
      </c>
      <c r="E62" s="527">
        <v>2114900000</v>
      </c>
      <c r="F62" s="527">
        <f>+D62+E62</f>
        <v>2229900000</v>
      </c>
      <c r="G62" s="527">
        <v>2171883294.6600003</v>
      </c>
      <c r="H62" s="527">
        <v>2171883294.6600003</v>
      </c>
      <c r="I62" s="524">
        <f t="shared" si="12"/>
        <v>2056883294.6600003</v>
      </c>
    </row>
    <row r="63" spans="1:9" x14ac:dyDescent="0.25">
      <c r="A63" s="625"/>
      <c r="B63" s="1172" t="s">
        <v>458</v>
      </c>
      <c r="C63" s="1173"/>
      <c r="D63" s="524">
        <f t="shared" ref="D63:I63" si="14">SUM(D64:D65)</f>
        <v>0</v>
      </c>
      <c r="E63" s="524">
        <f t="shared" si="14"/>
        <v>10230926</v>
      </c>
      <c r="F63" s="524">
        <f t="shared" si="14"/>
        <v>10230926</v>
      </c>
      <c r="G63" s="524">
        <f t="shared" si="14"/>
        <v>10230926</v>
      </c>
      <c r="H63" s="524">
        <f t="shared" si="14"/>
        <v>10230926</v>
      </c>
      <c r="I63" s="524">
        <f t="shared" si="14"/>
        <v>10230926</v>
      </c>
    </row>
    <row r="64" spans="1:9" ht="20.25" thickBot="1" x14ac:dyDescent="0.3">
      <c r="A64" s="496"/>
      <c r="B64" s="569"/>
      <c r="C64" s="570" t="s">
        <v>459</v>
      </c>
      <c r="D64" s="528">
        <v>0</v>
      </c>
      <c r="E64" s="528">
        <v>0</v>
      </c>
      <c r="F64" s="528">
        <f t="shared" si="11"/>
        <v>0</v>
      </c>
      <c r="G64" s="528">
        <v>0</v>
      </c>
      <c r="H64" s="528">
        <v>0</v>
      </c>
      <c r="I64" s="525">
        <f>H64-D64</f>
        <v>0</v>
      </c>
    </row>
    <row r="65" spans="1:10" x14ac:dyDescent="0.25">
      <c r="A65" s="625"/>
      <c r="B65" s="623"/>
      <c r="C65" s="628" t="s">
        <v>460</v>
      </c>
      <c r="D65" s="527">
        <v>0</v>
      </c>
      <c r="E65" s="527">
        <v>10230926</v>
      </c>
      <c r="F65" s="612">
        <f>+D65+E65</f>
        <v>10230926</v>
      </c>
      <c r="G65" s="527">
        <v>10230926</v>
      </c>
      <c r="H65" s="527">
        <v>10230926</v>
      </c>
      <c r="I65" s="524">
        <f>H65-D65</f>
        <v>10230926</v>
      </c>
    </row>
    <row r="66" spans="1:10" x14ac:dyDescent="0.25">
      <c r="A66" s="625"/>
      <c r="B66" s="1172" t="s">
        <v>900</v>
      </c>
      <c r="C66" s="1173"/>
      <c r="D66" s="527">
        <v>0</v>
      </c>
      <c r="E66" s="527">
        <v>0</v>
      </c>
      <c r="F66" s="527">
        <f t="shared" si="11"/>
        <v>0</v>
      </c>
      <c r="G66" s="527">
        <v>0</v>
      </c>
      <c r="H66" s="527">
        <v>0</v>
      </c>
      <c r="I66" s="524">
        <f>H66-D66</f>
        <v>0</v>
      </c>
    </row>
    <row r="67" spans="1:10" x14ac:dyDescent="0.25">
      <c r="A67" s="625"/>
      <c r="B67" s="1172" t="s">
        <v>461</v>
      </c>
      <c r="C67" s="1173"/>
      <c r="D67" s="527">
        <v>0</v>
      </c>
      <c r="E67" s="527">
        <v>0</v>
      </c>
      <c r="F67" s="527">
        <f t="shared" si="11"/>
        <v>0</v>
      </c>
      <c r="G67" s="527">
        <v>0</v>
      </c>
      <c r="H67" s="527">
        <v>0</v>
      </c>
      <c r="I67" s="524">
        <f>H67-D67</f>
        <v>0</v>
      </c>
    </row>
    <row r="68" spans="1:10" ht="8.25" customHeight="1" x14ac:dyDescent="0.25">
      <c r="A68" s="625"/>
      <c r="B68" s="1172"/>
      <c r="C68" s="1173"/>
      <c r="D68" s="524"/>
      <c r="E68" s="524"/>
      <c r="F68" s="524" t="s">
        <v>241</v>
      </c>
      <c r="G68" s="524"/>
      <c r="H68" s="524"/>
      <c r="I68" s="524"/>
    </row>
    <row r="69" spans="1:10" x14ac:dyDescent="0.25">
      <c r="A69" s="1176" t="s">
        <v>462</v>
      </c>
      <c r="B69" s="1177"/>
      <c r="C69" s="1178"/>
      <c r="D69" s="526">
        <f t="shared" ref="D69:I69" si="15">+D49+D58+D63+D66+D67</f>
        <v>115000000</v>
      </c>
      <c r="E69" s="526">
        <f t="shared" si="15"/>
        <v>2125130926</v>
      </c>
      <c r="F69" s="526">
        <f t="shared" si="15"/>
        <v>2240130926</v>
      </c>
      <c r="G69" s="526">
        <f t="shared" si="15"/>
        <v>2182114220.6600003</v>
      </c>
      <c r="H69" s="526">
        <f t="shared" si="15"/>
        <v>2182114220.6600003</v>
      </c>
      <c r="I69" s="526">
        <f t="shared" si="15"/>
        <v>2067114220.6600003</v>
      </c>
    </row>
    <row r="70" spans="1:10" ht="6" customHeight="1" x14ac:dyDescent="0.25">
      <c r="A70" s="625"/>
      <c r="B70" s="1172"/>
      <c r="C70" s="1173"/>
      <c r="D70" s="524"/>
      <c r="E70" s="524"/>
      <c r="F70" s="524" t="s">
        <v>241</v>
      </c>
      <c r="G70" s="524"/>
      <c r="H70" s="524"/>
      <c r="I70" s="524"/>
    </row>
    <row r="71" spans="1:10" x14ac:dyDescent="0.25">
      <c r="A71" s="1169" t="s">
        <v>463</v>
      </c>
      <c r="B71" s="1170"/>
      <c r="C71" s="1171"/>
      <c r="D71" s="526">
        <f t="shared" ref="D71:I71" si="16">SUM(D72)</f>
        <v>0</v>
      </c>
      <c r="E71" s="526">
        <f t="shared" si="16"/>
        <v>0</v>
      </c>
      <c r="F71" s="526">
        <f t="shared" si="16"/>
        <v>0</v>
      </c>
      <c r="G71" s="526">
        <f t="shared" si="16"/>
        <v>0</v>
      </c>
      <c r="H71" s="526">
        <f t="shared" si="16"/>
        <v>0</v>
      </c>
      <c r="I71" s="526">
        <f t="shared" si="16"/>
        <v>0</v>
      </c>
    </row>
    <row r="72" spans="1:10" x14ac:dyDescent="0.25">
      <c r="A72" s="625"/>
      <c r="B72" s="1172" t="s">
        <v>464</v>
      </c>
      <c r="C72" s="1173"/>
      <c r="D72" s="527">
        <v>0</v>
      </c>
      <c r="E72" s="527"/>
      <c r="F72" s="527" t="s">
        <v>241</v>
      </c>
      <c r="G72" s="527"/>
      <c r="H72" s="527">
        <v>0</v>
      </c>
      <c r="I72" s="524">
        <f>H72-D72</f>
        <v>0</v>
      </c>
    </row>
    <row r="73" spans="1:10" ht="7.5" customHeight="1" x14ac:dyDescent="0.25">
      <c r="A73" s="625"/>
      <c r="B73" s="1172"/>
      <c r="C73" s="1173"/>
      <c r="D73" s="524"/>
      <c r="E73" s="524"/>
      <c r="F73" s="524" t="s">
        <v>241</v>
      </c>
      <c r="G73" s="524"/>
      <c r="H73" s="524"/>
      <c r="I73" s="524"/>
    </row>
    <row r="74" spans="1:10" x14ac:dyDescent="0.25">
      <c r="A74" s="1169" t="s">
        <v>465</v>
      </c>
      <c r="B74" s="1170"/>
      <c r="C74" s="1171"/>
      <c r="D74" s="526">
        <f t="shared" ref="D74:I74" si="17">+D43+D69+D71</f>
        <v>782667131.31859541</v>
      </c>
      <c r="E74" s="526">
        <f t="shared" si="17"/>
        <v>2369673559.1999998</v>
      </c>
      <c r="F74" s="526">
        <f t="shared" si="17"/>
        <v>3152340690.5185952</v>
      </c>
      <c r="G74" s="526">
        <f t="shared" si="17"/>
        <v>3029627797.3700004</v>
      </c>
      <c r="H74" s="526">
        <f t="shared" si="17"/>
        <v>2943478817.1500006</v>
      </c>
      <c r="I74" s="526">
        <f t="shared" si="17"/>
        <v>2160811685.8314047</v>
      </c>
    </row>
    <row r="75" spans="1:10" ht="6" customHeight="1" x14ac:dyDescent="0.25">
      <c r="A75" s="625"/>
      <c r="B75" s="1172"/>
      <c r="C75" s="1173"/>
      <c r="D75" s="524"/>
      <c r="E75" s="524"/>
      <c r="F75" s="524" t="s">
        <v>241</v>
      </c>
      <c r="G75" s="524"/>
      <c r="H75" s="524"/>
      <c r="I75" s="524"/>
    </row>
    <row r="76" spans="1:10" x14ac:dyDescent="0.25">
      <c r="A76" s="625"/>
      <c r="B76" s="1170" t="s">
        <v>466</v>
      </c>
      <c r="C76" s="1171"/>
      <c r="D76" s="524"/>
      <c r="E76" s="524"/>
      <c r="F76" s="524" t="s">
        <v>241</v>
      </c>
      <c r="G76" s="524"/>
      <c r="H76" s="524"/>
      <c r="I76" s="524"/>
    </row>
    <row r="77" spans="1:10" ht="21.75" customHeight="1" x14ac:dyDescent="0.25">
      <c r="A77" s="625"/>
      <c r="B77" s="1174" t="s">
        <v>467</v>
      </c>
      <c r="C77" s="1175"/>
      <c r="D77" s="527">
        <v>0</v>
      </c>
      <c r="E77" s="527">
        <v>0</v>
      </c>
      <c r="F77" s="527">
        <f t="shared" si="11"/>
        <v>0</v>
      </c>
      <c r="G77" s="527">
        <v>0</v>
      </c>
      <c r="H77" s="527">
        <v>0</v>
      </c>
      <c r="I77" s="524">
        <f t="shared" ref="I77:I78" si="18">H77-D77</f>
        <v>0</v>
      </c>
    </row>
    <row r="78" spans="1:10" ht="22.5" customHeight="1" x14ac:dyDescent="0.25">
      <c r="A78" s="625"/>
      <c r="B78" s="1174" t="s">
        <v>468</v>
      </c>
      <c r="C78" s="1175"/>
      <c r="D78" s="527">
        <v>0</v>
      </c>
      <c r="E78" s="527">
        <v>0</v>
      </c>
      <c r="F78" s="527">
        <f t="shared" si="11"/>
        <v>0</v>
      </c>
      <c r="G78" s="527">
        <v>0</v>
      </c>
      <c r="H78" s="527">
        <v>0</v>
      </c>
      <c r="I78" s="524">
        <f t="shared" si="18"/>
        <v>0</v>
      </c>
    </row>
    <row r="79" spans="1:10" x14ac:dyDescent="0.25">
      <c r="A79" s="625"/>
      <c r="B79" s="1170" t="s">
        <v>469</v>
      </c>
      <c r="C79" s="1171"/>
      <c r="D79" s="526">
        <f t="shared" ref="D79:I79" si="19">+D77+D78</f>
        <v>0</v>
      </c>
      <c r="E79" s="526">
        <f t="shared" si="19"/>
        <v>0</v>
      </c>
      <c r="F79" s="526">
        <f t="shared" si="19"/>
        <v>0</v>
      </c>
      <c r="G79" s="526">
        <f t="shared" si="19"/>
        <v>0</v>
      </c>
      <c r="H79" s="526">
        <f t="shared" si="19"/>
        <v>0</v>
      </c>
      <c r="I79" s="526">
        <f t="shared" si="19"/>
        <v>0</v>
      </c>
      <c r="J79" s="387" t="str">
        <f>IF(D74&lt;&gt;'CPCA-II-01'!C19,"ERROR!!!!! EL MONTO ESTIMADO NO COINCIDE CON LO REPORTADO EN EL FORMATO ETCA-II-01 EN EL TOTAL DE INGRESOS","")</f>
        <v/>
      </c>
    </row>
    <row r="80" spans="1:10" ht="15.75" thickBot="1" x14ac:dyDescent="0.3">
      <c r="A80" s="495"/>
      <c r="B80" s="1167"/>
      <c r="C80" s="1168"/>
      <c r="D80" s="525"/>
      <c r="E80" s="525"/>
      <c r="F80" s="525"/>
      <c r="G80" s="525"/>
      <c r="H80" s="525"/>
      <c r="I80" s="525"/>
      <c r="J80" s="387" t="str">
        <f>IF(E74&lt;&gt;'CPCA-II-01'!D19,"ERROR!!!!! EL MONTO NO COINCIDE CON LO REPORTADO EN EL FORMATO ETCA-II-01 EN EL TOTAL DE INGRESOS","")</f>
        <v/>
      </c>
    </row>
    <row r="81" spans="10:10" x14ac:dyDescent="0.25">
      <c r="J81" s="387" t="str">
        <f>IF(F74&lt;&gt;'CPCA-II-01'!E19,"ERROR!!!!! EL MONTO NO COINCIDE CON LO REPORTADO EN EL FORMATO ETCA-II-01 EN EL TOTAL DE INGRESOS","")</f>
        <v/>
      </c>
    </row>
    <row r="82" spans="10:10" x14ac:dyDescent="0.25">
      <c r="J82" s="387" t="str">
        <f>IF(G74&lt;&gt;'CPCA-II-01'!F19,"ERROR!!!!! EL MONTO NO COINCIDE CON LO REPORTADO EN EL FORMATO ETCA-II-01 EN EL TOTAL DE INGRESOS","")</f>
        <v/>
      </c>
    </row>
    <row r="83" spans="10:10" x14ac:dyDescent="0.25">
      <c r="J83" s="387" t="str">
        <f>IF(H74&lt;&gt;'CPCA-II-01'!G19,"ERROR!!!!! EL MONTO NO COINCIDE CON LO REPORTADO EN EL FORMATO ETCA-II-01 EN EL TOTAL DE INGRESOS","")</f>
        <v/>
      </c>
    </row>
    <row r="84" spans="10:10" x14ac:dyDescent="0.25">
      <c r="J84" s="387" t="str">
        <f>IF(I74&lt;&gt;'CPCA-II-01'!H19,"ERROR!!!!! EL MONTO NO COINCIDE CON LO REPORTADO EN EL FORMATO ETCA-II-01 EN EL TOTAL DE INGRESOS","")</f>
        <v/>
      </c>
    </row>
    <row r="85" spans="10:10" x14ac:dyDescent="0.25">
      <c r="J85" s="387" t="str">
        <f>IF(D74&lt;&gt;'CPCA-II-01'!C44,"ERROR!!!!! EL MONTO NO COINCIDE CON LO REPORTADO EN EL FORMATO ETCA-II-01 EN EL TOTAL DE INGRESOS","")</f>
        <v/>
      </c>
    </row>
    <row r="86" spans="10:10" x14ac:dyDescent="0.25">
      <c r="J86" s="387" t="str">
        <f>IF(E74&lt;&gt;'CPCA-II-01'!D44,"ERROR!!!!! EL MONTO NO COINCIDE CON LO REPORTADO EN EL FORMATO ETCA-II-01 EN EL TOTAL DE INGRESOS","")</f>
        <v/>
      </c>
    </row>
    <row r="87" spans="10:10" x14ac:dyDescent="0.25">
      <c r="J87" s="387" t="str">
        <f>IF(F74&lt;&gt;'CPCA-II-01'!E44,"ERROR!!!!! EL MONTO NO COINCIDE CON LO REPORTADO EN EL FORMATO ETCA-II-01 EN EL TOTAL DE INGRESOS","")</f>
        <v/>
      </c>
    </row>
    <row r="88" spans="10:10" x14ac:dyDescent="0.25">
      <c r="J88" s="387" t="str">
        <f>IF(G74&lt;&gt;'CPCA-II-01'!F44,"ERROR!!!!! EL MONTO NO COINCIDE CON LO REPORTADO EN EL FORMATO ETCA-II-01 EN EL TOTAL DE INGRESOS","")</f>
        <v/>
      </c>
    </row>
    <row r="89" spans="10:10" x14ac:dyDescent="0.25">
      <c r="J89" s="387" t="str">
        <f>IF(H74&lt;&gt;'CPCA-II-01'!G44,"ERROR!!!!! EL MONTO NO COINCIDE CON LO REPORTADO EN EL FORMATO ETCA-II-01 EN EL TOTAL DE INGRESOS","")</f>
        <v/>
      </c>
    </row>
    <row r="90" spans="10:10" x14ac:dyDescent="0.25">
      <c r="J90" s="387" t="str">
        <f>IF(I74&lt;&gt;'CPCA-II-01'!H44,"ERROR!!!!! EL MONTO NO COINCIDE CON LO REPORTADO EN EL FORMATO ETCA-II-01 EN EL TOTAL DE INGRESOS","")</f>
        <v/>
      </c>
    </row>
  </sheetData>
  <sheetProtection password="C115" sheet="1" scenarios="1" formatColumns="0" formatRows="0" insertHyperlinks="0"/>
  <mergeCells count="62">
    <mergeCell ref="A4:I4"/>
    <mergeCell ref="A3:I3"/>
    <mergeCell ref="A2:I2"/>
    <mergeCell ref="A1:I1"/>
    <mergeCell ref="A5:C5"/>
    <mergeCell ref="D5:H5"/>
    <mergeCell ref="I5:I7"/>
    <mergeCell ref="A6:C6"/>
    <mergeCell ref="A7:C7"/>
    <mergeCell ref="D6:D7"/>
    <mergeCell ref="E6:E7"/>
    <mergeCell ref="F6:F7"/>
    <mergeCell ref="G6:G7"/>
    <mergeCell ref="H6:H7"/>
    <mergeCell ref="A8:C8"/>
    <mergeCell ref="B16:C16"/>
    <mergeCell ref="A17:A18"/>
    <mergeCell ref="B17:C17"/>
    <mergeCell ref="B18:C18"/>
    <mergeCell ref="B15:C15"/>
    <mergeCell ref="B14:C14"/>
    <mergeCell ref="A9:C9"/>
    <mergeCell ref="B10:C10"/>
    <mergeCell ref="B11:C11"/>
    <mergeCell ref="B12:C12"/>
    <mergeCell ref="B13:C13"/>
    <mergeCell ref="G43:G45"/>
    <mergeCell ref="H43:H45"/>
    <mergeCell ref="I43:I45"/>
    <mergeCell ref="B30:C30"/>
    <mergeCell ref="B36:C36"/>
    <mergeCell ref="G17:G18"/>
    <mergeCell ref="H17:H18"/>
    <mergeCell ref="I17:I18"/>
    <mergeCell ref="D17:D18"/>
    <mergeCell ref="E17:E18"/>
    <mergeCell ref="A46:C46"/>
    <mergeCell ref="B37:C37"/>
    <mergeCell ref="B39:C39"/>
    <mergeCell ref="D43:D45"/>
    <mergeCell ref="F17:F18"/>
    <mergeCell ref="E43:E45"/>
    <mergeCell ref="F43:F45"/>
    <mergeCell ref="B73:C73"/>
    <mergeCell ref="A48:C48"/>
    <mergeCell ref="B49:C49"/>
    <mergeCell ref="B58:C58"/>
    <mergeCell ref="B63:C63"/>
    <mergeCell ref="B66:C66"/>
    <mergeCell ref="B67:C67"/>
    <mergeCell ref="B68:C68"/>
    <mergeCell ref="A69:C69"/>
    <mergeCell ref="B70:C70"/>
    <mergeCell ref="A71:C71"/>
    <mergeCell ref="B72:C72"/>
    <mergeCell ref="B80:C80"/>
    <mergeCell ref="A74:C74"/>
    <mergeCell ref="B75:C75"/>
    <mergeCell ref="B76:C76"/>
    <mergeCell ref="B77:C77"/>
    <mergeCell ref="B78:C78"/>
    <mergeCell ref="B79:C79"/>
  </mergeCells>
  <printOptions horizontalCentered="1"/>
  <pageMargins left="0.23622047244094491" right="0.23622047244094491" top="0.74803149606299213" bottom="0.74803149606299213" header="0.31496062992125984" footer="0.31496062992125984"/>
  <pageSetup orientation="landscape" r:id="rId1"/>
  <rowBreaks count="1" manualBreakCount="1">
    <brk id="33" max="8" man="1"/>
  </rowBreaks>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4.9989318521683403E-2"/>
  </sheetPr>
  <dimension ref="A1:E27"/>
  <sheetViews>
    <sheetView workbookViewId="0">
      <selection activeCell="C56" sqref="C56"/>
    </sheetView>
  </sheetViews>
  <sheetFormatPr baseColWidth="10" defaultColWidth="11.28515625" defaultRowHeight="16.5" x14ac:dyDescent="0.25"/>
  <cols>
    <col min="1" max="1" width="1.28515625" style="88" customWidth="1"/>
    <col min="2" max="2" width="43.85546875" style="88" customWidth="1"/>
    <col min="3" max="3" width="12.85546875" style="88" customWidth="1"/>
    <col min="4" max="4" width="25.7109375" style="88" customWidth="1"/>
    <col min="5" max="5" width="62" style="6" customWidth="1"/>
    <col min="6" max="16384" width="11.28515625" style="88"/>
  </cols>
  <sheetData>
    <row r="1" spans="1:5" x14ac:dyDescent="0.25">
      <c r="A1" s="1087" t="str">
        <f>'CPCA-I-01'!A1:G1</f>
        <v xml:space="preserve">Comision Estatal del Agua </v>
      </c>
      <c r="B1" s="1087"/>
      <c r="C1" s="1087"/>
      <c r="D1" s="1087"/>
    </row>
    <row r="2" spans="1:5" s="125" customFormat="1" ht="15.75" x14ac:dyDescent="0.25">
      <c r="A2" s="1087" t="s">
        <v>470</v>
      </c>
      <c r="B2" s="1087"/>
      <c r="C2" s="1087"/>
      <c r="D2" s="1087"/>
      <c r="E2" s="313"/>
    </row>
    <row r="3" spans="1:5" s="125" customFormat="1" x14ac:dyDescent="0.25">
      <c r="A3" s="1088" t="str">
        <f>'CPCA-I-01'!A3:G3</f>
        <v>Al 31 de Diciembre del 2023</v>
      </c>
      <c r="B3" s="1088"/>
      <c r="C3" s="1088"/>
      <c r="D3" s="1088"/>
      <c r="E3" s="21"/>
    </row>
    <row r="4" spans="1:5" s="127" customFormat="1" ht="17.25" thickBot="1" x14ac:dyDescent="0.3">
      <c r="A4" s="126"/>
      <c r="B4" s="1091" t="s">
        <v>1684</v>
      </c>
      <c r="C4" s="1091"/>
      <c r="D4" s="79"/>
      <c r="E4" s="314"/>
    </row>
    <row r="5" spans="1:5" s="127" customFormat="1" ht="17.25" thickBot="1" x14ac:dyDescent="0.3">
      <c r="A5" s="1221" t="s">
        <v>243</v>
      </c>
      <c r="B5" s="1221"/>
      <c r="C5" s="1221"/>
      <c r="D5" s="759">
        <v>2023</v>
      </c>
      <c r="E5" s="314"/>
    </row>
    <row r="6" spans="1:5" s="128" customFormat="1" ht="27" customHeight="1" thickBot="1" x14ac:dyDescent="0.3">
      <c r="A6" s="1218" t="s">
        <v>871</v>
      </c>
      <c r="B6" s="1219"/>
      <c r="C6" s="1220"/>
      <c r="D6" s="758">
        <f>'CPCA-II-01'!F19</f>
        <v>3029627797.3700004</v>
      </c>
      <c r="E6" s="315" t="str">
        <f>IF(D6&lt;&gt;'CPCA-II-01'!F44,"ERROR!!!!! EL MONTO NO COINCIDE CON LO REPORTADO EN EL FORMATO ETCA-II-01 EN EL TOTAL DEVENGADO DEL ANALÍTICO DE INGRESOS","")</f>
        <v/>
      </c>
    </row>
    <row r="7" spans="1:5" s="196" customFormat="1" ht="9.75" customHeight="1" x14ac:dyDescent="0.25">
      <c r="A7" s="205"/>
      <c r="B7" s="194"/>
      <c r="C7" s="195"/>
      <c r="D7" s="207"/>
      <c r="E7" s="316"/>
    </row>
    <row r="8" spans="1:5" s="196" customFormat="1" ht="5.25" customHeight="1" thickBot="1" x14ac:dyDescent="0.3">
      <c r="A8" s="206"/>
      <c r="B8" s="197"/>
      <c r="C8" s="198"/>
      <c r="D8" s="208"/>
      <c r="E8" s="315"/>
    </row>
    <row r="9" spans="1:5" ht="20.100000000000001" customHeight="1" thickBot="1" x14ac:dyDescent="0.3">
      <c r="A9" s="1215" t="s">
        <v>1695</v>
      </c>
      <c r="B9" s="1216"/>
      <c r="C9" s="1217"/>
      <c r="D9" s="204">
        <f>SUM(D10:D15)</f>
        <v>0</v>
      </c>
      <c r="E9" s="315"/>
    </row>
    <row r="10" spans="1:5" ht="20.100000000000001" customHeight="1" x14ac:dyDescent="0.2">
      <c r="A10" s="129"/>
      <c r="B10" s="1213" t="s">
        <v>1685</v>
      </c>
      <c r="C10" s="1214"/>
      <c r="D10" s="317"/>
      <c r="E10" s="332" t="str">
        <f>IF(C10&lt;&gt;'CPCA-I-03'!C20,"ERROR!!!, NO COINCIDEN LOS MONTOS CON LO REPORTADO EN EL FORMATO ETCA-I-03","")</f>
        <v/>
      </c>
    </row>
    <row r="11" spans="1:5" ht="20.100000000000001" customHeight="1" x14ac:dyDescent="0.2">
      <c r="A11" s="129"/>
      <c r="B11" s="1209" t="s">
        <v>1686</v>
      </c>
      <c r="C11" s="1210"/>
      <c r="D11" s="317"/>
      <c r="E11" s="332"/>
    </row>
    <row r="12" spans="1:5" ht="33" customHeight="1" x14ac:dyDescent="0.2">
      <c r="A12" s="129"/>
      <c r="B12" s="1209" t="s">
        <v>1687</v>
      </c>
      <c r="C12" s="1210"/>
      <c r="D12" s="317"/>
      <c r="E12" s="332" t="str">
        <f>IF(C12&lt;&gt;'CPCA-I-03'!C21,"ERROR!!!, NO COINCIDEN LOS MONTOS CON LO REPORTADO EN EL FORMATO ETCA-I-03","")</f>
        <v/>
      </c>
    </row>
    <row r="13" spans="1:5" ht="20.100000000000001" customHeight="1" x14ac:dyDescent="0.2">
      <c r="A13" s="130"/>
      <c r="B13" s="1209" t="s">
        <v>1688</v>
      </c>
      <c r="C13" s="1210"/>
      <c r="D13" s="317"/>
      <c r="E13" s="332" t="str">
        <f>IF(C13&lt;&gt;'CPCA-I-03'!C22,"ERROR!!!, NO COINCIDEN LOS MONTOS CON LO REPORTADO EN EL FORMATO ETCA-I-03","")</f>
        <v/>
      </c>
    </row>
    <row r="14" spans="1:5" ht="20.100000000000001" customHeight="1" x14ac:dyDescent="0.2">
      <c r="A14" s="130"/>
      <c r="B14" s="1209" t="s">
        <v>1689</v>
      </c>
      <c r="C14" s="1210"/>
      <c r="D14" s="317"/>
      <c r="E14" s="332"/>
    </row>
    <row r="15" spans="1:5" ht="24.75" customHeight="1" thickBot="1" x14ac:dyDescent="0.3">
      <c r="A15" s="199"/>
      <c r="B15" s="1211" t="s">
        <v>1690</v>
      </c>
      <c r="C15" s="1212"/>
      <c r="D15" s="318"/>
      <c r="E15" s="315"/>
    </row>
    <row r="16" spans="1:5" ht="20.100000000000001" customHeight="1" thickBot="1" x14ac:dyDescent="0.3">
      <c r="A16" s="212"/>
      <c r="B16" s="210"/>
      <c r="C16" s="211"/>
      <c r="D16" s="200"/>
      <c r="E16" s="315"/>
    </row>
    <row r="17" spans="1:5" ht="20.100000000000001" customHeight="1" thickBot="1" x14ac:dyDescent="0.3">
      <c r="A17" s="203" t="s">
        <v>872</v>
      </c>
      <c r="B17" s="760"/>
      <c r="C17" s="761"/>
      <c r="D17" s="204">
        <f>SUM(D18:D20)</f>
        <v>0</v>
      </c>
      <c r="E17" s="315"/>
    </row>
    <row r="18" spans="1:5" ht="20.100000000000001" customHeight="1" x14ac:dyDescent="0.25">
      <c r="A18" s="130"/>
      <c r="B18" s="1213" t="s">
        <v>1691</v>
      </c>
      <c r="C18" s="1214"/>
      <c r="D18" s="317"/>
      <c r="E18" s="315"/>
    </row>
    <row r="19" spans="1:5" ht="20.100000000000001" customHeight="1" x14ac:dyDescent="0.25">
      <c r="A19" s="130"/>
      <c r="B19" s="1209" t="s">
        <v>1692</v>
      </c>
      <c r="C19" s="1210"/>
      <c r="D19" s="317"/>
      <c r="E19" s="315"/>
    </row>
    <row r="20" spans="1:5" ht="20.100000000000001" customHeight="1" thickBot="1" x14ac:dyDescent="0.3">
      <c r="A20" s="201"/>
      <c r="B20" s="1209" t="s">
        <v>1693</v>
      </c>
      <c r="C20" s="1210"/>
      <c r="D20" s="317"/>
      <c r="E20" s="315"/>
    </row>
    <row r="21" spans="1:5" ht="26.25" customHeight="1" thickBot="1" x14ac:dyDescent="0.3">
      <c r="A21" s="1206" t="s">
        <v>1694</v>
      </c>
      <c r="B21" s="1207"/>
      <c r="C21" s="1208"/>
      <c r="D21" s="202">
        <f>D6+D9-D17</f>
        <v>3029627797.3700004</v>
      </c>
      <c r="E21" s="315" t="str">
        <f>IF(D21&lt;&gt;'CPCA-I-03'!C24,"ERROR!!!!! EL MONTO NO COINCIDE CON LO REPORTADO EN EL FORMATO ETCA-I-03 EN EL TOTAL DE INGRESOS Y OTROS BENEFICIOS","")</f>
        <v/>
      </c>
    </row>
    <row r="22" spans="1:5" x14ac:dyDescent="0.25">
      <c r="D22" s="871"/>
    </row>
    <row r="23" spans="1:5" x14ac:dyDescent="0.25">
      <c r="E23" s="870"/>
    </row>
    <row r="24" spans="1:5" s="216" customFormat="1" ht="13.5" x14ac:dyDescent="0.25">
      <c r="B24" s="719" t="s">
        <v>907</v>
      </c>
      <c r="C24" s="719"/>
      <c r="D24" s="719"/>
      <c r="E24" s="713"/>
    </row>
    <row r="25" spans="1:5" s="216" customFormat="1" ht="13.5" x14ac:dyDescent="0.25">
      <c r="B25" s="719" t="s">
        <v>908</v>
      </c>
      <c r="C25" s="719"/>
      <c r="D25" s="719"/>
      <c r="E25" s="869"/>
    </row>
    <row r="26" spans="1:5" x14ac:dyDescent="0.25">
      <c r="E26" s="878"/>
    </row>
    <row r="27" spans="1:5" x14ac:dyDescent="0.25">
      <c r="E27" s="870"/>
    </row>
  </sheetData>
  <mergeCells count="17">
    <mergeCell ref="A6:C6"/>
    <mergeCell ref="A1:D1"/>
    <mergeCell ref="A2:D2"/>
    <mergeCell ref="A3:D3"/>
    <mergeCell ref="B4:C4"/>
    <mergeCell ref="A5:C5"/>
    <mergeCell ref="A9:C9"/>
    <mergeCell ref="B10:C10"/>
    <mergeCell ref="B11:C11"/>
    <mergeCell ref="B12:C12"/>
    <mergeCell ref="B13:C13"/>
    <mergeCell ref="A21:C21"/>
    <mergeCell ref="B14:C14"/>
    <mergeCell ref="B15:C15"/>
    <mergeCell ref="B18:C18"/>
    <mergeCell ref="B19:C19"/>
    <mergeCell ref="B20:C20"/>
  </mergeCells>
  <pageMargins left="0.7" right="0.7" top="0.75" bottom="0.75" header="0.3" footer="0.3"/>
  <pageSetup orientation="portrait" r:id="rId1"/>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4.9989318521683403E-2"/>
  </sheetPr>
  <dimension ref="A1:G91"/>
  <sheetViews>
    <sheetView topLeftCell="A52" workbookViewId="0">
      <selection activeCell="C56" sqref="C56"/>
    </sheetView>
  </sheetViews>
  <sheetFormatPr baseColWidth="10" defaultRowHeight="15" x14ac:dyDescent="0.25"/>
  <cols>
    <col min="1" max="1" width="49.85546875" customWidth="1"/>
    <col min="2" max="2" width="13.7109375" customWidth="1"/>
    <col min="3" max="3" width="15.42578125" customWidth="1"/>
    <col min="4" max="7" width="13.7109375" customWidth="1"/>
  </cols>
  <sheetData>
    <row r="1" spans="1:7" ht="15.75" x14ac:dyDescent="0.25">
      <c r="A1" s="1087" t="str">
        <f>'CPCA-I-01'!A1:G1</f>
        <v xml:space="preserve">Comision Estatal del Agua </v>
      </c>
      <c r="B1" s="1087"/>
      <c r="C1" s="1087"/>
      <c r="D1" s="1087"/>
      <c r="E1" s="1087"/>
      <c r="F1" s="1087"/>
      <c r="G1" s="1087"/>
    </row>
    <row r="2" spans="1:7" ht="15.75" x14ac:dyDescent="0.25">
      <c r="A2" s="1087" t="s">
        <v>471</v>
      </c>
      <c r="B2" s="1087"/>
      <c r="C2" s="1087"/>
      <c r="D2" s="1087"/>
      <c r="E2" s="1087"/>
      <c r="F2" s="1087"/>
      <c r="G2" s="1087"/>
    </row>
    <row r="3" spans="1:7" ht="15.75" x14ac:dyDescent="0.25">
      <c r="A3" s="1087" t="s">
        <v>472</v>
      </c>
      <c r="B3" s="1087"/>
      <c r="C3" s="1087"/>
      <c r="D3" s="1087"/>
      <c r="E3" s="1087"/>
      <c r="F3" s="1087"/>
      <c r="G3" s="1087"/>
    </row>
    <row r="4" spans="1:7" ht="16.5" x14ac:dyDescent="0.25">
      <c r="A4" s="1088" t="str">
        <f>'CPCA-I-03'!A3:D3</f>
        <v xml:space="preserve">Del  01 de Enero de 2023 al 31 de Diciembre de 2023 </v>
      </c>
      <c r="B4" s="1088"/>
      <c r="C4" s="1088"/>
      <c r="D4" s="1088"/>
      <c r="E4" s="1088"/>
      <c r="F4" s="1088"/>
      <c r="G4" s="1088"/>
    </row>
    <row r="5" spans="1:7" ht="17.25" thickBot="1" x14ac:dyDescent="0.3">
      <c r="A5" s="1226" t="s">
        <v>917</v>
      </c>
      <c r="B5" s="1227"/>
      <c r="C5" s="1227"/>
      <c r="D5" s="1227"/>
      <c r="E5" s="1227"/>
      <c r="F5" s="79"/>
      <c r="G5" s="127"/>
    </row>
    <row r="6" spans="1:7" ht="15.75" thickBot="1" x14ac:dyDescent="0.3">
      <c r="A6" s="1222" t="s">
        <v>243</v>
      </c>
      <c r="B6" s="1225" t="s">
        <v>532</v>
      </c>
      <c r="C6" s="1225"/>
      <c r="D6" s="1225"/>
      <c r="E6" s="1225"/>
      <c r="F6" s="1225"/>
      <c r="G6" s="1222" t="s">
        <v>477</v>
      </c>
    </row>
    <row r="7" spans="1:7" ht="26.25" thickBot="1" x14ac:dyDescent="0.3">
      <c r="A7" s="1223"/>
      <c r="B7" s="765" t="s">
        <v>1696</v>
      </c>
      <c r="C7" s="764" t="s">
        <v>404</v>
      </c>
      <c r="D7" s="763" t="s">
        <v>536</v>
      </c>
      <c r="E7" s="763" t="s">
        <v>720</v>
      </c>
      <c r="F7" s="762" t="s">
        <v>1697</v>
      </c>
      <c r="G7" s="1224"/>
    </row>
    <row r="8" spans="1:7" ht="15.75" thickBot="1" x14ac:dyDescent="0.3">
      <c r="A8" s="1224"/>
      <c r="B8" s="766" t="s">
        <v>1702</v>
      </c>
      <c r="C8" s="165" t="s">
        <v>1703</v>
      </c>
      <c r="D8" s="355" t="s">
        <v>1701</v>
      </c>
      <c r="E8" s="166" t="s">
        <v>1704</v>
      </c>
      <c r="F8" s="166" t="s">
        <v>1705</v>
      </c>
      <c r="G8" s="356" t="s">
        <v>1700</v>
      </c>
    </row>
    <row r="9" spans="1:7" x14ac:dyDescent="0.25">
      <c r="A9" s="357" t="s">
        <v>210</v>
      </c>
      <c r="B9" s="344">
        <f>SUM(B10:B16)</f>
        <v>227702200.89527455</v>
      </c>
      <c r="C9" s="344">
        <f>SUM(C10:C16)</f>
        <v>21177279.109999999</v>
      </c>
      <c r="D9" s="344">
        <f>B9+C9</f>
        <v>248879480.00527453</v>
      </c>
      <c r="E9" s="344">
        <f>SUM(E10:E16)</f>
        <v>247313580.75999996</v>
      </c>
      <c r="F9" s="344">
        <f>SUM(F10:F16)</f>
        <v>236451307.04999998</v>
      </c>
      <c r="G9" s="345">
        <f>D9-E9</f>
        <v>1565899.2452745736</v>
      </c>
    </row>
    <row r="10" spans="1:7" x14ac:dyDescent="0.25">
      <c r="A10" s="358" t="s">
        <v>480</v>
      </c>
      <c r="B10" s="343">
        <v>122826728.74877027</v>
      </c>
      <c r="C10" s="343">
        <v>9987715.2500000019</v>
      </c>
      <c r="D10" s="344">
        <f t="shared" ref="D10:D72" si="0">B10+C10</f>
        <v>132814443.99877027</v>
      </c>
      <c r="E10" s="343">
        <v>131289316.21999997</v>
      </c>
      <c r="F10" s="343">
        <v>127833439.17</v>
      </c>
      <c r="G10" s="345">
        <f t="shared" ref="G10:G73" si="1">D10-E10</f>
        <v>1525127.7787702978</v>
      </c>
    </row>
    <row r="11" spans="1:7" x14ac:dyDescent="0.25">
      <c r="A11" s="358" t="s">
        <v>481</v>
      </c>
      <c r="B11" s="343">
        <v>2182566.3062395351</v>
      </c>
      <c r="C11" s="343">
        <v>-954506.50999999989</v>
      </c>
      <c r="D11" s="344">
        <f t="shared" si="0"/>
        <v>1228059.7962395353</v>
      </c>
      <c r="E11" s="343">
        <v>1228059.49</v>
      </c>
      <c r="F11" s="343">
        <v>1182961.1599999999</v>
      </c>
      <c r="G11" s="345">
        <f t="shared" si="1"/>
        <v>0.30623953533358872</v>
      </c>
    </row>
    <row r="12" spans="1:7" x14ac:dyDescent="0.25">
      <c r="A12" s="358" t="s">
        <v>482</v>
      </c>
      <c r="B12" s="343">
        <v>19695507.8909165</v>
      </c>
      <c r="C12" s="343">
        <v>12025337.08</v>
      </c>
      <c r="D12" s="344">
        <f t="shared" si="0"/>
        <v>31720844.970916502</v>
      </c>
      <c r="E12" s="343">
        <v>31720844.870000005</v>
      </c>
      <c r="F12" s="343">
        <v>31513504.610000003</v>
      </c>
      <c r="G12" s="345">
        <f t="shared" si="1"/>
        <v>0.10091649740934372</v>
      </c>
    </row>
    <row r="13" spans="1:7" x14ac:dyDescent="0.25">
      <c r="A13" s="358" t="s">
        <v>483</v>
      </c>
      <c r="B13" s="343">
        <v>43659190.108648501</v>
      </c>
      <c r="C13" s="343">
        <v>69496.739999999292</v>
      </c>
      <c r="D13" s="344">
        <f t="shared" si="0"/>
        <v>43728686.848648503</v>
      </c>
      <c r="E13" s="343">
        <v>43728588.630000003</v>
      </c>
      <c r="F13" s="343">
        <v>39056946.869999997</v>
      </c>
      <c r="G13" s="345">
        <f t="shared" si="1"/>
        <v>98.218648500740528</v>
      </c>
    </row>
    <row r="14" spans="1:7" x14ac:dyDescent="0.25">
      <c r="A14" s="358" t="s">
        <v>484</v>
      </c>
      <c r="B14" s="343">
        <v>36414157.083194152</v>
      </c>
      <c r="C14" s="343">
        <v>60191.140000000596</v>
      </c>
      <c r="D14" s="344">
        <f t="shared" si="0"/>
        <v>36474348.223194152</v>
      </c>
      <c r="E14" s="343">
        <v>36464812.519999996</v>
      </c>
      <c r="F14" s="343">
        <v>34092861.209999993</v>
      </c>
      <c r="G14" s="345">
        <f t="shared" si="1"/>
        <v>9535.7031941562891</v>
      </c>
    </row>
    <row r="15" spans="1:7" x14ac:dyDescent="0.25">
      <c r="A15" s="358" t="s">
        <v>485</v>
      </c>
      <c r="B15" s="343"/>
      <c r="C15" s="343">
        <v>0</v>
      </c>
      <c r="D15" s="344">
        <f t="shared" si="0"/>
        <v>0</v>
      </c>
      <c r="E15" s="343">
        <v>0</v>
      </c>
      <c r="F15" s="343">
        <v>0</v>
      </c>
      <c r="G15" s="345">
        <f t="shared" si="1"/>
        <v>0</v>
      </c>
    </row>
    <row r="16" spans="1:7" x14ac:dyDescent="0.25">
      <c r="A16" s="358" t="s">
        <v>486</v>
      </c>
      <c r="B16" s="343">
        <v>2924050.7575055668</v>
      </c>
      <c r="C16" s="343">
        <v>-10954.589999999967</v>
      </c>
      <c r="D16" s="344">
        <f t="shared" si="0"/>
        <v>2913096.167505567</v>
      </c>
      <c r="E16" s="343">
        <v>2881959.0300000003</v>
      </c>
      <c r="F16" s="343">
        <v>2771594.0300000003</v>
      </c>
      <c r="G16" s="345">
        <f t="shared" si="1"/>
        <v>31137.137505566701</v>
      </c>
    </row>
    <row r="17" spans="1:7" x14ac:dyDescent="0.25">
      <c r="A17" s="359" t="s">
        <v>211</v>
      </c>
      <c r="B17" s="344">
        <f>SUM(B18:B26)</f>
        <v>25483978.082213655</v>
      </c>
      <c r="C17" s="344">
        <f>SUM(C18:C26)</f>
        <v>26192681.009999998</v>
      </c>
      <c r="D17" s="344">
        <f>B17+C17</f>
        <v>51676659.092213653</v>
      </c>
      <c r="E17" s="344">
        <f>SUM(E18:E26)</f>
        <v>27168168.659999996</v>
      </c>
      <c r="F17" s="344">
        <f>SUM(F18:F26)</f>
        <v>24745633.310000002</v>
      </c>
      <c r="G17" s="345">
        <f t="shared" si="1"/>
        <v>24508490.432213657</v>
      </c>
    </row>
    <row r="18" spans="1:7" ht="25.5" x14ac:dyDescent="0.25">
      <c r="A18" s="358" t="s">
        <v>487</v>
      </c>
      <c r="B18" s="343">
        <v>2248291.971737816</v>
      </c>
      <c r="C18" s="343">
        <v>-429139.43</v>
      </c>
      <c r="D18" s="344">
        <f t="shared" si="0"/>
        <v>1819152.5417378161</v>
      </c>
      <c r="E18" s="343">
        <v>1482602.5400000003</v>
      </c>
      <c r="F18" s="343">
        <v>1399969.57</v>
      </c>
      <c r="G18" s="345">
        <f t="shared" si="1"/>
        <v>336550.00173781579</v>
      </c>
    </row>
    <row r="19" spans="1:7" x14ac:dyDescent="0.25">
      <c r="A19" s="358" t="s">
        <v>488</v>
      </c>
      <c r="B19" s="343">
        <v>612802.39880192175</v>
      </c>
      <c r="C19" s="343">
        <v>-147839.09000000003</v>
      </c>
      <c r="D19" s="344">
        <f t="shared" si="0"/>
        <v>464963.30880192172</v>
      </c>
      <c r="E19" s="343">
        <v>402077.98</v>
      </c>
      <c r="F19" s="343">
        <v>321409.37999999995</v>
      </c>
      <c r="G19" s="345">
        <f t="shared" si="1"/>
        <v>62885.328801921743</v>
      </c>
    </row>
    <row r="20" spans="1:7" x14ac:dyDescent="0.25">
      <c r="A20" s="358" t="s">
        <v>489</v>
      </c>
      <c r="B20" s="343">
        <v>2245216.0910823718</v>
      </c>
      <c r="C20" s="343">
        <v>6598564.0999999996</v>
      </c>
      <c r="D20" s="344">
        <f t="shared" si="0"/>
        <v>8843780.1910823714</v>
      </c>
      <c r="E20" s="343">
        <v>6692647.6399999997</v>
      </c>
      <c r="F20" s="343">
        <v>6182328.3700000001</v>
      </c>
      <c r="G20" s="345">
        <f t="shared" si="1"/>
        <v>2151132.5510823717</v>
      </c>
    </row>
    <row r="21" spans="1:7" x14ac:dyDescent="0.25">
      <c r="A21" s="358" t="s">
        <v>490</v>
      </c>
      <c r="B21" s="343">
        <v>877366.97313757439</v>
      </c>
      <c r="C21" s="343">
        <v>-152104.91999999998</v>
      </c>
      <c r="D21" s="344">
        <f t="shared" si="0"/>
        <v>725262.05313757434</v>
      </c>
      <c r="E21" s="343">
        <v>639767.05000000005</v>
      </c>
      <c r="F21" s="343">
        <v>637016.99</v>
      </c>
      <c r="G21" s="345">
        <f t="shared" si="1"/>
        <v>85495.003137574298</v>
      </c>
    </row>
    <row r="22" spans="1:7" x14ac:dyDescent="0.25">
      <c r="A22" s="358" t="s">
        <v>491</v>
      </c>
      <c r="B22" s="343">
        <v>3655443.332885351</v>
      </c>
      <c r="C22" s="343">
        <v>2317105.29</v>
      </c>
      <c r="D22" s="344">
        <f t="shared" si="0"/>
        <v>5972548.6228853511</v>
      </c>
      <c r="E22" s="343">
        <v>1923630.1199999999</v>
      </c>
      <c r="F22" s="343">
        <v>1577741.3199999998</v>
      </c>
      <c r="G22" s="345">
        <f t="shared" si="1"/>
        <v>4048918.502885351</v>
      </c>
    </row>
    <row r="23" spans="1:7" x14ac:dyDescent="0.25">
      <c r="A23" s="358" t="s">
        <v>492</v>
      </c>
      <c r="B23" s="343">
        <v>10294453.783337705</v>
      </c>
      <c r="C23" s="343">
        <v>2886437.1599999997</v>
      </c>
      <c r="D23" s="344">
        <f t="shared" si="0"/>
        <v>13180890.943337705</v>
      </c>
      <c r="E23" s="343">
        <v>11629472.039999999</v>
      </c>
      <c r="F23" s="343">
        <v>10980847.33</v>
      </c>
      <c r="G23" s="345">
        <f t="shared" si="1"/>
        <v>1551418.9033377059</v>
      </c>
    </row>
    <row r="24" spans="1:7" x14ac:dyDescent="0.25">
      <c r="A24" s="358" t="s">
        <v>493</v>
      </c>
      <c r="B24" s="343">
        <v>2625781.0166685618</v>
      </c>
      <c r="C24" s="343">
        <v>-994673.5199999999</v>
      </c>
      <c r="D24" s="344">
        <f t="shared" si="0"/>
        <v>1631107.4966685618</v>
      </c>
      <c r="E24" s="343">
        <v>1061972.2</v>
      </c>
      <c r="F24" s="343">
        <v>463885.03000000009</v>
      </c>
      <c r="G24" s="345">
        <f t="shared" si="1"/>
        <v>569135.29666856187</v>
      </c>
    </row>
    <row r="25" spans="1:7" x14ac:dyDescent="0.25">
      <c r="A25" s="358" t="s">
        <v>494</v>
      </c>
      <c r="B25" s="343">
        <v>6500</v>
      </c>
      <c r="C25" s="343">
        <v>-5400</v>
      </c>
      <c r="D25" s="344">
        <f t="shared" si="0"/>
        <v>1100</v>
      </c>
      <c r="E25" s="343">
        <v>0</v>
      </c>
      <c r="F25" s="343">
        <v>0</v>
      </c>
      <c r="G25" s="345">
        <f t="shared" si="1"/>
        <v>1100</v>
      </c>
    </row>
    <row r="26" spans="1:7" x14ac:dyDescent="0.25">
      <c r="A26" s="358" t="s">
        <v>495</v>
      </c>
      <c r="B26" s="343">
        <v>2918122.5145623544</v>
      </c>
      <c r="C26" s="343">
        <v>16119731.42</v>
      </c>
      <c r="D26" s="344">
        <f t="shared" si="0"/>
        <v>19037853.934562355</v>
      </c>
      <c r="E26" s="343">
        <v>3335999.09</v>
      </c>
      <c r="F26" s="343">
        <v>3182435.3200000003</v>
      </c>
      <c r="G26" s="345">
        <f t="shared" si="1"/>
        <v>15701854.844562355</v>
      </c>
    </row>
    <row r="27" spans="1:7" x14ac:dyDescent="0.25">
      <c r="A27" s="359" t="s">
        <v>212</v>
      </c>
      <c r="B27" s="344">
        <f>SUM(B28:B36)</f>
        <v>147233209.45890099</v>
      </c>
      <c r="C27" s="344">
        <f>SUM(C28:C36)</f>
        <v>168185838.44000003</v>
      </c>
      <c r="D27" s="344">
        <f>B27+C27</f>
        <v>315419047.89890099</v>
      </c>
      <c r="E27" s="344">
        <f>SUM(E28:E36)</f>
        <v>262192437.34999996</v>
      </c>
      <c r="F27" s="344">
        <f>SUM(F28:F36)</f>
        <v>239134501.09999999</v>
      </c>
      <c r="G27" s="345">
        <f t="shared" si="1"/>
        <v>53226610.548901021</v>
      </c>
    </row>
    <row r="28" spans="1:7" x14ac:dyDescent="0.25">
      <c r="A28" s="358" t="s">
        <v>496</v>
      </c>
      <c r="B28" s="343">
        <v>61038412.895877376</v>
      </c>
      <c r="C28" s="343">
        <v>72606782.280000001</v>
      </c>
      <c r="D28" s="344">
        <f t="shared" si="0"/>
        <v>133645195.17587738</v>
      </c>
      <c r="E28" s="343">
        <v>128237716.24999999</v>
      </c>
      <c r="F28" s="343">
        <v>127489707.44999999</v>
      </c>
      <c r="G28" s="345">
        <f t="shared" si="1"/>
        <v>5407478.9258773923</v>
      </c>
    </row>
    <row r="29" spans="1:7" x14ac:dyDescent="0.25">
      <c r="A29" s="358" t="s">
        <v>497</v>
      </c>
      <c r="B29" s="343">
        <v>6517933.3933127671</v>
      </c>
      <c r="C29" s="343">
        <v>4544976.3899999997</v>
      </c>
      <c r="D29" s="344">
        <f t="shared" si="0"/>
        <v>11062909.783312768</v>
      </c>
      <c r="E29" s="343">
        <v>7656212.8300000001</v>
      </c>
      <c r="F29" s="343">
        <v>6768783.1699999999</v>
      </c>
      <c r="G29" s="345">
        <f t="shared" si="1"/>
        <v>3406696.9533127677</v>
      </c>
    </row>
    <row r="30" spans="1:7" x14ac:dyDescent="0.25">
      <c r="A30" s="358" t="s">
        <v>498</v>
      </c>
      <c r="B30" s="343">
        <v>7749041.5543209761</v>
      </c>
      <c r="C30" s="343">
        <v>80734867.11999999</v>
      </c>
      <c r="D30" s="344">
        <f t="shared" si="0"/>
        <v>88483908.674320966</v>
      </c>
      <c r="E30" s="343">
        <v>86284238.400000006</v>
      </c>
      <c r="F30" s="343">
        <v>85599806.280000001</v>
      </c>
      <c r="G30" s="345">
        <f t="shared" si="1"/>
        <v>2199670.27432096</v>
      </c>
    </row>
    <row r="31" spans="1:7" x14ac:dyDescent="0.25">
      <c r="A31" s="358" t="s">
        <v>499</v>
      </c>
      <c r="B31" s="343">
        <v>10191755.271978199</v>
      </c>
      <c r="C31" s="343">
        <v>-5373304.2199999997</v>
      </c>
      <c r="D31" s="344">
        <f t="shared" si="0"/>
        <v>4818451.0519781997</v>
      </c>
      <c r="E31" s="343">
        <v>3121123.85</v>
      </c>
      <c r="F31" s="343">
        <v>2918303.0900000003</v>
      </c>
      <c r="G31" s="345">
        <f t="shared" si="1"/>
        <v>1697327.2019781996</v>
      </c>
    </row>
    <row r="32" spans="1:7" ht="25.5" x14ac:dyDescent="0.25">
      <c r="A32" s="358" t="s">
        <v>500</v>
      </c>
      <c r="B32" s="343">
        <v>16927289.39632158</v>
      </c>
      <c r="C32" s="343">
        <v>-2408016.4499999997</v>
      </c>
      <c r="D32" s="344">
        <f t="shared" si="0"/>
        <v>14519272.946321581</v>
      </c>
      <c r="E32" s="343">
        <v>10569506.140000001</v>
      </c>
      <c r="F32" s="343">
        <v>8330071.4100000001</v>
      </c>
      <c r="G32" s="345">
        <f t="shared" si="1"/>
        <v>3949766.80632158</v>
      </c>
    </row>
    <row r="33" spans="1:7" x14ac:dyDescent="0.25">
      <c r="A33" s="358" t="s">
        <v>501</v>
      </c>
      <c r="B33" s="343">
        <v>1803370.7264297067</v>
      </c>
      <c r="C33" s="343">
        <v>-1334992.1299999999</v>
      </c>
      <c r="D33" s="344">
        <f t="shared" si="0"/>
        <v>468378.59642970678</v>
      </c>
      <c r="E33" s="343">
        <v>118011</v>
      </c>
      <c r="F33" s="343">
        <v>118011</v>
      </c>
      <c r="G33" s="345">
        <f t="shared" si="1"/>
        <v>350367.59642970678</v>
      </c>
    </row>
    <row r="34" spans="1:7" x14ac:dyDescent="0.25">
      <c r="A34" s="358" t="s">
        <v>502</v>
      </c>
      <c r="B34" s="343">
        <v>2769974.7739054281</v>
      </c>
      <c r="C34" s="343">
        <v>-644309.97000000009</v>
      </c>
      <c r="D34" s="344">
        <f t="shared" si="0"/>
        <v>2125664.8039054279</v>
      </c>
      <c r="E34" s="343">
        <v>1799477.41</v>
      </c>
      <c r="F34" s="343">
        <v>1797531.28</v>
      </c>
      <c r="G34" s="345">
        <f t="shared" si="1"/>
        <v>326187.39390542801</v>
      </c>
    </row>
    <row r="35" spans="1:7" ht="15.75" thickBot="1" x14ac:dyDescent="0.3">
      <c r="A35" s="360" t="s">
        <v>503</v>
      </c>
      <c r="B35" s="362">
        <v>92700</v>
      </c>
      <c r="C35" s="362">
        <v>658592.99</v>
      </c>
      <c r="D35" s="350">
        <f t="shared" si="0"/>
        <v>751292.99</v>
      </c>
      <c r="E35" s="362">
        <v>749934.99</v>
      </c>
      <c r="F35" s="362">
        <v>749934.99</v>
      </c>
      <c r="G35" s="351">
        <f t="shared" si="1"/>
        <v>1358</v>
      </c>
    </row>
    <row r="36" spans="1:7" x14ac:dyDescent="0.25">
      <c r="A36" s="358" t="s">
        <v>504</v>
      </c>
      <c r="B36" s="343">
        <v>40142731.44675497</v>
      </c>
      <c r="C36" s="343">
        <v>19401242.430000003</v>
      </c>
      <c r="D36" s="344">
        <f t="shared" si="0"/>
        <v>59543973.876754969</v>
      </c>
      <c r="E36" s="343">
        <v>23656216.479999997</v>
      </c>
      <c r="F36" s="343">
        <v>5362352.43</v>
      </c>
      <c r="G36" s="345">
        <f t="shared" si="1"/>
        <v>35887757.396754973</v>
      </c>
    </row>
    <row r="37" spans="1:7" x14ac:dyDescent="0.25">
      <c r="A37" s="359" t="s">
        <v>396</v>
      </c>
      <c r="B37" s="344">
        <f>SUM(B38:B46)</f>
        <v>0</v>
      </c>
      <c r="C37" s="344">
        <f>SUM(C38:C46)</f>
        <v>0</v>
      </c>
      <c r="D37" s="344">
        <f>B37+C37</f>
        <v>0</v>
      </c>
      <c r="E37" s="344">
        <f>SUM(E38:E46)</f>
        <v>0</v>
      </c>
      <c r="F37" s="344">
        <f>SUM(F38:F46)</f>
        <v>0</v>
      </c>
      <c r="G37" s="345">
        <f t="shared" si="1"/>
        <v>0</v>
      </c>
    </row>
    <row r="38" spans="1:7" x14ac:dyDescent="0.25">
      <c r="A38" s="358" t="s">
        <v>213</v>
      </c>
      <c r="B38" s="343"/>
      <c r="C38" s="343"/>
      <c r="D38" s="344">
        <f t="shared" si="0"/>
        <v>0</v>
      </c>
      <c r="E38" s="343"/>
      <c r="F38" s="343"/>
      <c r="G38" s="345">
        <f t="shared" si="1"/>
        <v>0</v>
      </c>
    </row>
    <row r="39" spans="1:7" x14ac:dyDescent="0.25">
      <c r="A39" s="358" t="s">
        <v>214</v>
      </c>
      <c r="B39" s="343"/>
      <c r="C39" s="343"/>
      <c r="D39" s="344">
        <f t="shared" si="0"/>
        <v>0</v>
      </c>
      <c r="E39" s="343"/>
      <c r="F39" s="343"/>
      <c r="G39" s="345">
        <f t="shared" si="1"/>
        <v>0</v>
      </c>
    </row>
    <row r="40" spans="1:7" x14ac:dyDescent="0.25">
      <c r="A40" s="358" t="s">
        <v>215</v>
      </c>
      <c r="B40" s="343"/>
      <c r="C40" s="343"/>
      <c r="D40" s="344">
        <f t="shared" si="0"/>
        <v>0</v>
      </c>
      <c r="E40" s="343"/>
      <c r="F40" s="343"/>
      <c r="G40" s="345">
        <f t="shared" si="1"/>
        <v>0</v>
      </c>
    </row>
    <row r="41" spans="1:7" x14ac:dyDescent="0.25">
      <c r="A41" s="358" t="s">
        <v>216</v>
      </c>
      <c r="B41" s="343"/>
      <c r="C41" s="343"/>
      <c r="D41" s="344">
        <f t="shared" si="0"/>
        <v>0</v>
      </c>
      <c r="E41" s="343"/>
      <c r="F41" s="343"/>
      <c r="G41" s="345">
        <f t="shared" si="1"/>
        <v>0</v>
      </c>
    </row>
    <row r="42" spans="1:7" x14ac:dyDescent="0.25">
      <c r="A42" s="358" t="s">
        <v>217</v>
      </c>
      <c r="B42" s="343"/>
      <c r="C42" s="343"/>
      <c r="D42" s="344">
        <f t="shared" si="0"/>
        <v>0</v>
      </c>
      <c r="E42" s="343"/>
      <c r="F42" s="343"/>
      <c r="G42" s="345">
        <f t="shared" si="1"/>
        <v>0</v>
      </c>
    </row>
    <row r="43" spans="1:7" x14ac:dyDescent="0.25">
      <c r="A43" s="358" t="s">
        <v>505</v>
      </c>
      <c r="B43" s="343"/>
      <c r="C43" s="343"/>
      <c r="D43" s="344">
        <f t="shared" si="0"/>
        <v>0</v>
      </c>
      <c r="E43" s="343"/>
      <c r="F43" s="343"/>
      <c r="G43" s="345">
        <f t="shared" si="1"/>
        <v>0</v>
      </c>
    </row>
    <row r="44" spans="1:7" x14ac:dyDescent="0.25">
      <c r="A44" s="358" t="s">
        <v>219</v>
      </c>
      <c r="B44" s="343"/>
      <c r="C44" s="343"/>
      <c r="D44" s="344">
        <f t="shared" si="0"/>
        <v>0</v>
      </c>
      <c r="E44" s="343"/>
      <c r="F44" s="343"/>
      <c r="G44" s="345">
        <f t="shared" si="1"/>
        <v>0</v>
      </c>
    </row>
    <row r="45" spans="1:7" x14ac:dyDescent="0.25">
      <c r="A45" s="358" t="s">
        <v>220</v>
      </c>
      <c r="B45" s="343"/>
      <c r="C45" s="343"/>
      <c r="D45" s="344">
        <f t="shared" si="0"/>
        <v>0</v>
      </c>
      <c r="E45" s="343"/>
      <c r="F45" s="343"/>
      <c r="G45" s="345">
        <f t="shared" si="1"/>
        <v>0</v>
      </c>
    </row>
    <row r="46" spans="1:7" x14ac:dyDescent="0.25">
      <c r="A46" s="358" t="s">
        <v>221</v>
      </c>
      <c r="B46" s="343"/>
      <c r="C46" s="343"/>
      <c r="D46" s="344">
        <f t="shared" si="0"/>
        <v>0</v>
      </c>
      <c r="E46" s="343"/>
      <c r="F46" s="343"/>
      <c r="G46" s="345">
        <f t="shared" si="1"/>
        <v>0</v>
      </c>
    </row>
    <row r="47" spans="1:7" x14ac:dyDescent="0.25">
      <c r="A47" s="359" t="s">
        <v>506</v>
      </c>
      <c r="B47" s="344">
        <f>SUM(B48:B56)</f>
        <v>4296626.8851000005</v>
      </c>
      <c r="C47" s="344">
        <f>SUM(C48:C56)</f>
        <v>20204593.010000002</v>
      </c>
      <c r="D47" s="344">
        <f>B47+C47</f>
        <v>24501219.895100001</v>
      </c>
      <c r="E47" s="344">
        <f>SUM(E48:E56)</f>
        <v>24334825.75</v>
      </c>
      <c r="F47" s="344">
        <f>SUM(F48:F56)</f>
        <v>20623712.390000001</v>
      </c>
      <c r="G47" s="345">
        <f t="shared" si="1"/>
        <v>166394.14510000125</v>
      </c>
    </row>
    <row r="48" spans="1:7" x14ac:dyDescent="0.25">
      <c r="A48" s="358" t="s">
        <v>507</v>
      </c>
      <c r="B48" s="343">
        <v>180354.8</v>
      </c>
      <c r="C48" s="343">
        <v>1119369.48</v>
      </c>
      <c r="D48" s="344">
        <f t="shared" si="0"/>
        <v>1299724.28</v>
      </c>
      <c r="E48" s="343">
        <v>1299360.48</v>
      </c>
      <c r="F48" s="343">
        <v>1147796.48</v>
      </c>
      <c r="G48" s="345">
        <f>D48-E48</f>
        <v>363.80000000004657</v>
      </c>
    </row>
    <row r="49" spans="1:7" x14ac:dyDescent="0.25">
      <c r="A49" s="358" t="s">
        <v>508</v>
      </c>
      <c r="B49" s="343"/>
      <c r="C49" s="343"/>
      <c r="D49" s="344">
        <f t="shared" si="0"/>
        <v>0</v>
      </c>
      <c r="E49" s="343"/>
      <c r="F49" s="343"/>
      <c r="G49" s="345">
        <f t="shared" si="1"/>
        <v>0</v>
      </c>
    </row>
    <row r="50" spans="1:7" x14ac:dyDescent="0.25">
      <c r="A50" s="358" t="s">
        <v>509</v>
      </c>
      <c r="B50" s="343"/>
      <c r="C50" s="343">
        <v>121800</v>
      </c>
      <c r="D50" s="344">
        <f t="shared" si="0"/>
        <v>121800</v>
      </c>
      <c r="E50" s="343">
        <v>121800</v>
      </c>
      <c r="F50" s="343">
        <v>121800</v>
      </c>
      <c r="G50" s="345">
        <f t="shared" si="1"/>
        <v>0</v>
      </c>
    </row>
    <row r="51" spans="1:7" x14ac:dyDescent="0.25">
      <c r="A51" s="358" t="s">
        <v>510</v>
      </c>
      <c r="B51" s="343">
        <v>1595000</v>
      </c>
      <c r="C51" s="343">
        <v>13254790</v>
      </c>
      <c r="D51" s="344">
        <f t="shared" si="0"/>
        <v>14849790</v>
      </c>
      <c r="E51" s="343">
        <v>14738790</v>
      </c>
      <c r="F51" s="343">
        <v>14738790</v>
      </c>
      <c r="G51" s="345">
        <f t="shared" si="1"/>
        <v>111000</v>
      </c>
    </row>
    <row r="52" spans="1:7" x14ac:dyDescent="0.25">
      <c r="A52" s="358" t="s">
        <v>511</v>
      </c>
      <c r="B52" s="343"/>
      <c r="C52" s="343"/>
      <c r="D52" s="344">
        <f t="shared" si="0"/>
        <v>0</v>
      </c>
      <c r="E52" s="343"/>
      <c r="F52" s="343"/>
      <c r="G52" s="345">
        <f t="shared" si="1"/>
        <v>0</v>
      </c>
    </row>
    <row r="53" spans="1:7" x14ac:dyDescent="0.25">
      <c r="A53" s="358" t="s">
        <v>512</v>
      </c>
      <c r="B53" s="343">
        <v>2521272.0851000003</v>
      </c>
      <c r="C53" s="343">
        <v>5602284.6099999994</v>
      </c>
      <c r="D53" s="344">
        <f t="shared" si="0"/>
        <v>8123556.6951000001</v>
      </c>
      <c r="E53" s="343">
        <v>8068526.3499999996</v>
      </c>
      <c r="F53" s="343">
        <v>4508976.99</v>
      </c>
      <c r="G53" s="345">
        <f t="shared" si="1"/>
        <v>55030.345100000501</v>
      </c>
    </row>
    <row r="54" spans="1:7" x14ac:dyDescent="0.25">
      <c r="A54" s="358" t="s">
        <v>513</v>
      </c>
      <c r="B54" s="343"/>
      <c r="C54" s="343"/>
      <c r="D54" s="344">
        <f t="shared" si="0"/>
        <v>0</v>
      </c>
      <c r="E54" s="343"/>
      <c r="F54" s="343"/>
      <c r="G54" s="345">
        <f t="shared" si="1"/>
        <v>0</v>
      </c>
    </row>
    <row r="55" spans="1:7" x14ac:dyDescent="0.25">
      <c r="A55" s="358" t="s">
        <v>514</v>
      </c>
      <c r="B55" s="343"/>
      <c r="C55" s="343"/>
      <c r="D55" s="344">
        <f t="shared" si="0"/>
        <v>0</v>
      </c>
      <c r="E55" s="343"/>
      <c r="F55" s="343"/>
      <c r="G55" s="345">
        <f t="shared" si="1"/>
        <v>0</v>
      </c>
    </row>
    <row r="56" spans="1:7" x14ac:dyDescent="0.25">
      <c r="A56" s="358" t="s">
        <v>54</v>
      </c>
      <c r="B56" s="343"/>
      <c r="C56" s="343">
        <v>106348.92000000001</v>
      </c>
      <c r="D56" s="344">
        <f t="shared" si="0"/>
        <v>106348.92000000001</v>
      </c>
      <c r="E56" s="343">
        <v>106348.92000000001</v>
      </c>
      <c r="F56" s="343">
        <v>106348.92000000001</v>
      </c>
      <c r="G56" s="345">
        <f t="shared" si="1"/>
        <v>0</v>
      </c>
    </row>
    <row r="57" spans="1:7" x14ac:dyDescent="0.25">
      <c r="A57" s="359" t="s">
        <v>236</v>
      </c>
      <c r="B57" s="344">
        <f>SUM(B58:B60)</f>
        <v>259999999.995</v>
      </c>
      <c r="C57" s="344">
        <f>SUM(C58:C60)</f>
        <v>3111819113.9400001</v>
      </c>
      <c r="D57" s="344">
        <f>B57+C57</f>
        <v>3371819113.9349999</v>
      </c>
      <c r="E57" s="344">
        <f>SUM(E58:E60)</f>
        <v>1910427426.0899999</v>
      </c>
      <c r="F57" s="344">
        <f>SUM(F58:F60)</f>
        <v>1882674905.8399999</v>
      </c>
      <c r="G57" s="345">
        <f t="shared" si="1"/>
        <v>1461391687.845</v>
      </c>
    </row>
    <row r="58" spans="1:7" x14ac:dyDescent="0.25">
      <c r="A58" s="358" t="s">
        <v>515</v>
      </c>
      <c r="B58" s="343">
        <v>259999999.995</v>
      </c>
      <c r="C58" s="343">
        <v>3109369193.9400001</v>
      </c>
      <c r="D58" s="344">
        <f t="shared" si="0"/>
        <v>3369369193.9349999</v>
      </c>
      <c r="E58" s="343">
        <v>1908143425.29</v>
      </c>
      <c r="F58" s="343">
        <v>1880390905.04</v>
      </c>
      <c r="G58" s="345">
        <f t="shared" si="1"/>
        <v>1461225768.645</v>
      </c>
    </row>
    <row r="59" spans="1:7" x14ac:dyDescent="0.25">
      <c r="A59" s="358" t="s">
        <v>516</v>
      </c>
      <c r="B59" s="343"/>
      <c r="C59" s="343">
        <v>2449920</v>
      </c>
      <c r="D59" s="344">
        <f t="shared" si="0"/>
        <v>2449920</v>
      </c>
      <c r="E59" s="343">
        <v>2284000.7999999998</v>
      </c>
      <c r="F59" s="343">
        <v>2284000.7999999998</v>
      </c>
      <c r="G59" s="345">
        <f t="shared" si="1"/>
        <v>165919.20000000019</v>
      </c>
    </row>
    <row r="60" spans="1:7" x14ac:dyDescent="0.25">
      <c r="A60" s="358" t="s">
        <v>517</v>
      </c>
      <c r="B60" s="343"/>
      <c r="C60" s="343"/>
      <c r="D60" s="344">
        <f t="shared" si="0"/>
        <v>0</v>
      </c>
      <c r="E60" s="343"/>
      <c r="F60" s="343"/>
      <c r="G60" s="345">
        <f t="shared" si="1"/>
        <v>0</v>
      </c>
    </row>
    <row r="61" spans="1:7" x14ac:dyDescent="0.25">
      <c r="A61" s="359" t="s">
        <v>518</v>
      </c>
      <c r="B61" s="344">
        <f>SUM(B62:B68)</f>
        <v>27951116.004999999</v>
      </c>
      <c r="C61" s="344">
        <f>SUM(C62:C68)</f>
        <v>0</v>
      </c>
      <c r="D61" s="344">
        <f>B61+C61</f>
        <v>27951116.004999999</v>
      </c>
      <c r="E61" s="344">
        <f>SUM(E62:E68)</f>
        <v>0</v>
      </c>
      <c r="F61" s="344">
        <f>SUM(F62:F68)</f>
        <v>0</v>
      </c>
      <c r="G61" s="345">
        <f t="shared" si="1"/>
        <v>27951116.004999999</v>
      </c>
    </row>
    <row r="62" spans="1:7" x14ac:dyDescent="0.25">
      <c r="A62" s="358" t="s">
        <v>519</v>
      </c>
      <c r="B62" s="343"/>
      <c r="C62" s="343"/>
      <c r="D62" s="344">
        <f t="shared" si="0"/>
        <v>0</v>
      </c>
      <c r="E62" s="343"/>
      <c r="F62" s="343"/>
      <c r="G62" s="345">
        <f t="shared" si="1"/>
        <v>0</v>
      </c>
    </row>
    <row r="63" spans="1:7" ht="15.75" thickBot="1" x14ac:dyDescent="0.3">
      <c r="A63" s="360" t="s">
        <v>520</v>
      </c>
      <c r="B63" s="362"/>
      <c r="C63" s="362"/>
      <c r="D63" s="350">
        <f t="shared" si="0"/>
        <v>0</v>
      </c>
      <c r="E63" s="362"/>
      <c r="F63" s="362"/>
      <c r="G63" s="351">
        <f t="shared" si="1"/>
        <v>0</v>
      </c>
    </row>
    <row r="64" spans="1:7" x14ac:dyDescent="0.25">
      <c r="A64" s="358" t="s">
        <v>521</v>
      </c>
      <c r="B64" s="343"/>
      <c r="C64" s="343"/>
      <c r="D64" s="344">
        <f t="shared" si="0"/>
        <v>0</v>
      </c>
      <c r="E64" s="343"/>
      <c r="F64" s="343"/>
      <c r="G64" s="345">
        <f t="shared" si="1"/>
        <v>0</v>
      </c>
    </row>
    <row r="65" spans="1:7" x14ac:dyDescent="0.25">
      <c r="A65" s="358" t="s">
        <v>522</v>
      </c>
      <c r="B65" s="343"/>
      <c r="C65" s="343"/>
      <c r="D65" s="344">
        <f t="shared" si="0"/>
        <v>0</v>
      </c>
      <c r="E65" s="343"/>
      <c r="F65" s="343"/>
      <c r="G65" s="345">
        <f t="shared" si="1"/>
        <v>0</v>
      </c>
    </row>
    <row r="66" spans="1:7" x14ac:dyDescent="0.25">
      <c r="A66" s="358" t="s">
        <v>523</v>
      </c>
      <c r="B66" s="343"/>
      <c r="C66" s="343"/>
      <c r="D66" s="344">
        <f t="shared" si="0"/>
        <v>0</v>
      </c>
      <c r="E66" s="343"/>
      <c r="F66" s="343"/>
      <c r="G66" s="345">
        <f t="shared" si="1"/>
        <v>0</v>
      </c>
    </row>
    <row r="67" spans="1:7" x14ac:dyDescent="0.25">
      <c r="A67" s="358" t="s">
        <v>524</v>
      </c>
      <c r="B67" s="343"/>
      <c r="C67" s="343"/>
      <c r="D67" s="344">
        <f t="shared" si="0"/>
        <v>0</v>
      </c>
      <c r="E67" s="343"/>
      <c r="F67" s="343"/>
      <c r="G67" s="345">
        <f t="shared" si="1"/>
        <v>0</v>
      </c>
    </row>
    <row r="68" spans="1:7" x14ac:dyDescent="0.25">
      <c r="A68" s="358" t="s">
        <v>525</v>
      </c>
      <c r="B68" s="343">
        <v>27951116.004999999</v>
      </c>
      <c r="C68" s="343"/>
      <c r="D68" s="344">
        <f t="shared" si="0"/>
        <v>27951116.004999999</v>
      </c>
      <c r="E68" s="343"/>
      <c r="F68" s="343"/>
      <c r="G68" s="345">
        <f t="shared" si="1"/>
        <v>27951116.004999999</v>
      </c>
    </row>
    <row r="69" spans="1:7" x14ac:dyDescent="0.25">
      <c r="A69" s="359" t="s">
        <v>200</v>
      </c>
      <c r="B69" s="344">
        <f>SUM(B70:B72)</f>
        <v>0</v>
      </c>
      <c r="C69" s="344">
        <f>SUM(C70:C72)</f>
        <v>0</v>
      </c>
      <c r="D69" s="344">
        <f>B69+C69</f>
        <v>0</v>
      </c>
      <c r="E69" s="344">
        <f>SUM(E70:E72)</f>
        <v>0</v>
      </c>
      <c r="F69" s="344">
        <f>SUM(F70:F72)</f>
        <v>0</v>
      </c>
      <c r="G69" s="345">
        <f t="shared" si="1"/>
        <v>0</v>
      </c>
    </row>
    <row r="70" spans="1:7" x14ac:dyDescent="0.25">
      <c r="A70" s="358" t="s">
        <v>223</v>
      </c>
      <c r="B70" s="343"/>
      <c r="C70" s="343"/>
      <c r="D70" s="344">
        <f t="shared" si="0"/>
        <v>0</v>
      </c>
      <c r="E70" s="343"/>
      <c r="F70" s="343"/>
      <c r="G70" s="345">
        <f t="shared" si="1"/>
        <v>0</v>
      </c>
    </row>
    <row r="71" spans="1:7" x14ac:dyDescent="0.25">
      <c r="A71" s="358" t="s">
        <v>66</v>
      </c>
      <c r="B71" s="343"/>
      <c r="C71" s="343"/>
      <c r="D71" s="344">
        <f t="shared" si="0"/>
        <v>0</v>
      </c>
      <c r="E71" s="343"/>
      <c r="F71" s="343"/>
      <c r="G71" s="345">
        <f t="shared" si="1"/>
        <v>0</v>
      </c>
    </row>
    <row r="72" spans="1:7" x14ac:dyDescent="0.25">
      <c r="A72" s="358" t="s">
        <v>224</v>
      </c>
      <c r="B72" s="343"/>
      <c r="C72" s="343"/>
      <c r="D72" s="344">
        <f t="shared" si="0"/>
        <v>0</v>
      </c>
      <c r="E72" s="343"/>
      <c r="F72" s="343"/>
      <c r="G72" s="345">
        <f t="shared" si="1"/>
        <v>0</v>
      </c>
    </row>
    <row r="73" spans="1:7" x14ac:dyDescent="0.25">
      <c r="A73" s="359" t="s">
        <v>526</v>
      </c>
      <c r="B73" s="344">
        <f>SUM(B74:B80)</f>
        <v>90000000</v>
      </c>
      <c r="C73" s="344">
        <f>SUM(C74:C80)</f>
        <v>-330666.93999997154</v>
      </c>
      <c r="D73" s="344">
        <f>B73+C73</f>
        <v>89669333.060000032</v>
      </c>
      <c r="E73" s="344">
        <f>SUM(E74:E80)</f>
        <v>69977902.400000006</v>
      </c>
      <c r="F73" s="344">
        <f>SUM(F74:F80)</f>
        <v>68698950.810000002</v>
      </c>
      <c r="G73" s="345">
        <f t="shared" si="1"/>
        <v>19691430.660000026</v>
      </c>
    </row>
    <row r="74" spans="1:7" x14ac:dyDescent="0.25">
      <c r="A74" s="358" t="s">
        <v>527</v>
      </c>
      <c r="B74" s="343">
        <v>90000000</v>
      </c>
      <c r="C74" s="343">
        <v>-56608003.209999979</v>
      </c>
      <c r="D74" s="344">
        <f t="shared" ref="D74:D80" si="2">B74+C74</f>
        <v>33391996.790000021</v>
      </c>
      <c r="E74" s="343">
        <v>30931478.789999999</v>
      </c>
      <c r="F74" s="343">
        <v>30933478.789999999</v>
      </c>
      <c r="G74" s="345">
        <f t="shared" ref="G74:G80" si="3">D74-E74</f>
        <v>2460518.0000000224</v>
      </c>
    </row>
    <row r="75" spans="1:7" x14ac:dyDescent="0.25">
      <c r="A75" s="358" t="s">
        <v>226</v>
      </c>
      <c r="B75" s="343"/>
      <c r="C75" s="343">
        <v>28432546.320000004</v>
      </c>
      <c r="D75" s="344">
        <f t="shared" si="2"/>
        <v>28432546.320000004</v>
      </c>
      <c r="E75" s="343">
        <v>28432546.32</v>
      </c>
      <c r="F75" s="343">
        <v>28432546.32</v>
      </c>
      <c r="G75" s="345">
        <f t="shared" si="3"/>
        <v>0</v>
      </c>
    </row>
    <row r="76" spans="1:7" x14ac:dyDescent="0.25">
      <c r="A76" s="358" t="s">
        <v>227</v>
      </c>
      <c r="B76" s="343"/>
      <c r="C76" s="343"/>
      <c r="D76" s="344">
        <f t="shared" si="2"/>
        <v>0</v>
      </c>
      <c r="E76" s="343"/>
      <c r="F76" s="343"/>
      <c r="G76" s="345">
        <f t="shared" si="3"/>
        <v>0</v>
      </c>
    </row>
    <row r="77" spans="1:7" x14ac:dyDescent="0.25">
      <c r="A77" s="358" t="s">
        <v>228</v>
      </c>
      <c r="B77" s="343"/>
      <c r="C77" s="343"/>
      <c r="D77" s="344">
        <f t="shared" si="2"/>
        <v>0</v>
      </c>
      <c r="E77" s="343"/>
      <c r="F77" s="343"/>
      <c r="G77" s="345">
        <f t="shared" si="3"/>
        <v>0</v>
      </c>
    </row>
    <row r="78" spans="1:7" x14ac:dyDescent="0.25">
      <c r="A78" s="358" t="s">
        <v>229</v>
      </c>
      <c r="B78" s="343"/>
      <c r="C78" s="343"/>
      <c r="D78" s="344">
        <f t="shared" si="2"/>
        <v>0</v>
      </c>
      <c r="E78" s="343"/>
      <c r="F78" s="343"/>
      <c r="G78" s="345">
        <f t="shared" si="3"/>
        <v>0</v>
      </c>
    </row>
    <row r="79" spans="1:7" x14ac:dyDescent="0.25">
      <c r="A79" s="358" t="s">
        <v>230</v>
      </c>
      <c r="B79" s="343"/>
      <c r="C79" s="343"/>
      <c r="D79" s="344">
        <f t="shared" si="2"/>
        <v>0</v>
      </c>
      <c r="E79" s="343"/>
      <c r="F79" s="343"/>
      <c r="G79" s="345">
        <f t="shared" si="3"/>
        <v>0</v>
      </c>
    </row>
    <row r="80" spans="1:7" ht="15.75" thickBot="1" x14ac:dyDescent="0.3">
      <c r="A80" s="360" t="s">
        <v>528</v>
      </c>
      <c r="B80" s="362"/>
      <c r="C80" s="362">
        <v>27844789.950000003</v>
      </c>
      <c r="D80" s="350">
        <f t="shared" si="2"/>
        <v>27844789.950000003</v>
      </c>
      <c r="E80" s="362">
        <v>10613877.289999999</v>
      </c>
      <c r="F80" s="362">
        <v>9332925.6999999993</v>
      </c>
      <c r="G80" s="351">
        <f t="shared" si="3"/>
        <v>17230912.660000004</v>
      </c>
    </row>
    <row r="81" spans="1:7" ht="15.75" thickBot="1" x14ac:dyDescent="0.3">
      <c r="A81" s="361" t="s">
        <v>529</v>
      </c>
      <c r="B81" s="339">
        <f>B73+B69+B61+B57+B47+B37+B27+B17+B9</f>
        <v>782667131.32148921</v>
      </c>
      <c r="C81" s="339">
        <f>C73+C69+C61+C57+C47+C37+C27+C17+C9</f>
        <v>3347248838.5700006</v>
      </c>
      <c r="D81" s="339">
        <f>B81+C81</f>
        <v>4129915969.89149</v>
      </c>
      <c r="E81" s="339">
        <f>E73+E69+E61+E57+E47+E37+E27+E17+E9</f>
        <v>2541414341.0099998</v>
      </c>
      <c r="F81" s="339">
        <f>F73+F69+F61+F57+F47+F37+F27+F17+F9</f>
        <v>2472329010.5</v>
      </c>
      <c r="G81" s="349">
        <f>D81-E81</f>
        <v>1588501628.8814902</v>
      </c>
    </row>
    <row r="82" spans="1:7" x14ac:dyDescent="0.25">
      <c r="A82" s="454"/>
      <c r="B82" s="374"/>
      <c r="C82" s="374"/>
      <c r="D82" s="374"/>
      <c r="E82" s="374"/>
      <c r="F82" s="374"/>
      <c r="G82" s="374"/>
    </row>
    <row r="83" spans="1:7" x14ac:dyDescent="0.25">
      <c r="A83" s="454"/>
      <c r="B83" s="374"/>
      <c r="C83" s="374"/>
      <c r="D83" s="374"/>
      <c r="E83" s="374"/>
      <c r="F83" s="374"/>
      <c r="G83" s="374"/>
    </row>
    <row r="84" spans="1:7" x14ac:dyDescent="0.25">
      <c r="A84" s="454"/>
      <c r="B84" s="374"/>
      <c r="C84" s="374"/>
      <c r="D84" s="374"/>
      <c r="E84" s="374"/>
      <c r="F84" s="374"/>
      <c r="G84" s="374"/>
    </row>
    <row r="85" spans="1:7" x14ac:dyDescent="0.25">
      <c r="A85" s="454"/>
      <c r="B85" s="374"/>
      <c r="C85" s="374"/>
      <c r="D85" s="374"/>
      <c r="E85" s="374"/>
      <c r="F85" s="374"/>
      <c r="G85" s="374"/>
    </row>
    <row r="86" spans="1:7" x14ac:dyDescent="0.25">
      <c r="A86" s="454"/>
      <c r="B86" s="374"/>
      <c r="C86" s="374"/>
      <c r="D86" s="374"/>
      <c r="E86" s="374"/>
      <c r="F86" s="374"/>
      <c r="G86" s="374"/>
    </row>
    <row r="87" spans="1:7" x14ac:dyDescent="0.25">
      <c r="A87" s="454"/>
      <c r="B87" s="374"/>
      <c r="C87" s="374"/>
      <c r="D87" s="374"/>
      <c r="E87" s="374"/>
      <c r="F87" s="374"/>
      <c r="G87" s="374"/>
    </row>
    <row r="88" spans="1:7" ht="16.5" x14ac:dyDescent="0.25">
      <c r="A88" s="88"/>
      <c r="B88" s="88"/>
      <c r="C88" s="88"/>
      <c r="D88" s="88"/>
      <c r="E88" s="88"/>
      <c r="F88" s="88"/>
      <c r="G88" s="88"/>
    </row>
    <row r="89" spans="1:7" ht="16.5" x14ac:dyDescent="0.25">
      <c r="A89" s="88"/>
      <c r="B89" s="88"/>
      <c r="C89" s="88"/>
      <c r="D89" s="88"/>
      <c r="E89" s="88"/>
      <c r="F89" s="88"/>
      <c r="G89" s="88"/>
    </row>
    <row r="90" spans="1:7" ht="16.5" x14ac:dyDescent="0.25">
      <c r="A90" s="88"/>
      <c r="B90" s="88"/>
      <c r="C90" s="88"/>
      <c r="D90" s="88"/>
      <c r="E90" s="88"/>
      <c r="F90" s="88"/>
      <c r="G90" s="88"/>
    </row>
    <row r="91" spans="1:7" ht="16.5" x14ac:dyDescent="0.25">
      <c r="A91" s="88"/>
      <c r="B91" s="88"/>
      <c r="C91" s="88"/>
      <c r="D91" s="88"/>
      <c r="E91" s="88"/>
      <c r="F91" s="88"/>
      <c r="G91" s="88"/>
    </row>
  </sheetData>
  <mergeCells count="8">
    <mergeCell ref="A6:A8"/>
    <mergeCell ref="B6:F6"/>
    <mergeCell ref="G6:G7"/>
    <mergeCell ref="A1:G1"/>
    <mergeCell ref="A2:G2"/>
    <mergeCell ref="A3:G3"/>
    <mergeCell ref="A4:G4"/>
    <mergeCell ref="A5:E5"/>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4.9989318521683403E-2"/>
  </sheetPr>
  <dimension ref="A1:I159"/>
  <sheetViews>
    <sheetView view="pageBreakPreview" topLeftCell="A127" zoomScaleSheetLayoutView="100" workbookViewId="0">
      <selection activeCell="C56" sqref="C56"/>
    </sheetView>
  </sheetViews>
  <sheetFormatPr baseColWidth="10" defaultRowHeight="15" x14ac:dyDescent="0.25"/>
  <cols>
    <col min="1" max="1" width="6.140625" customWidth="1"/>
    <col min="2" max="2" width="55.42578125" customWidth="1"/>
    <col min="3" max="3" width="13.5703125" customWidth="1"/>
    <col min="4" max="5" width="14.140625" bestFit="1" customWidth="1"/>
    <col min="6" max="6" width="13.85546875" bestFit="1" customWidth="1"/>
    <col min="7" max="7" width="14.42578125" bestFit="1" customWidth="1"/>
    <col min="8" max="8" width="14.140625" bestFit="1" customWidth="1"/>
  </cols>
  <sheetData>
    <row r="1" spans="1:8" ht="15.75" x14ac:dyDescent="0.25">
      <c r="A1" s="1231" t="str">
        <f>'CPCA-I-01'!A1:G1</f>
        <v xml:space="preserve">Comision Estatal del Agua </v>
      </c>
      <c r="B1" s="1232"/>
      <c r="C1" s="1232"/>
      <c r="D1" s="1232"/>
      <c r="E1" s="1232"/>
      <c r="F1" s="1232"/>
      <c r="G1" s="1232"/>
      <c r="H1" s="1233"/>
    </row>
    <row r="2" spans="1:8" x14ac:dyDescent="0.25">
      <c r="A2" s="1234" t="s">
        <v>530</v>
      </c>
      <c r="B2" s="1235"/>
      <c r="C2" s="1235"/>
      <c r="D2" s="1235"/>
      <c r="E2" s="1235"/>
      <c r="F2" s="1235"/>
      <c r="G2" s="1235"/>
      <c r="H2" s="1236"/>
    </row>
    <row r="3" spans="1:8" x14ac:dyDescent="0.25">
      <c r="A3" s="1234" t="s">
        <v>531</v>
      </c>
      <c r="B3" s="1235"/>
      <c r="C3" s="1235"/>
      <c r="D3" s="1235"/>
      <c r="E3" s="1235"/>
      <c r="F3" s="1235"/>
      <c r="G3" s="1235"/>
      <c r="H3" s="1236"/>
    </row>
    <row r="4" spans="1:8" x14ac:dyDescent="0.25">
      <c r="A4" s="1234" t="str">
        <f>'CPCA-II-02'!A3:I3</f>
        <v xml:space="preserve">Del  01 de Enero de 2023 al 31 de Diciembre de 2023 </v>
      </c>
      <c r="B4" s="1235"/>
      <c r="C4" s="1235"/>
      <c r="D4" s="1235"/>
      <c r="E4" s="1235"/>
      <c r="F4" s="1235"/>
      <c r="G4" s="1235"/>
      <c r="H4" s="1236"/>
    </row>
    <row r="5" spans="1:8" ht="15.75" thickBot="1" x14ac:dyDescent="0.3">
      <c r="A5" s="1228" t="s">
        <v>82</v>
      </c>
      <c r="B5" s="1229"/>
      <c r="C5" s="1229"/>
      <c r="D5" s="1229"/>
      <c r="E5" s="1229"/>
      <c r="F5" s="1229"/>
      <c r="G5" s="1229"/>
      <c r="H5" s="1230"/>
    </row>
    <row r="6" spans="1:8" ht="15.75" thickBot="1" x14ac:dyDescent="0.3">
      <c r="A6" s="1239" t="s">
        <v>83</v>
      </c>
      <c r="B6" s="1240"/>
      <c r="C6" s="1242" t="s">
        <v>532</v>
      </c>
      <c r="D6" s="1243"/>
      <c r="E6" s="1243"/>
      <c r="F6" s="1243"/>
      <c r="G6" s="1244"/>
      <c r="H6" s="1245" t="s">
        <v>533</v>
      </c>
    </row>
    <row r="7" spans="1:8" ht="18.75" thickBot="1" x14ac:dyDescent="0.3">
      <c r="A7" s="1228"/>
      <c r="B7" s="1241"/>
      <c r="C7" s="671" t="s">
        <v>534</v>
      </c>
      <c r="D7" s="560" t="s">
        <v>535</v>
      </c>
      <c r="E7" s="671" t="s">
        <v>536</v>
      </c>
      <c r="F7" s="671" t="s">
        <v>406</v>
      </c>
      <c r="G7" s="671" t="s">
        <v>537</v>
      </c>
      <c r="H7" s="1246"/>
    </row>
    <row r="8" spans="1:8" x14ac:dyDescent="0.25">
      <c r="A8" s="672"/>
      <c r="B8" s="604"/>
      <c r="C8" s="604"/>
      <c r="D8" s="605"/>
      <c r="E8" s="604"/>
      <c r="F8" s="604"/>
      <c r="G8" s="604"/>
      <c r="H8" s="606"/>
    </row>
    <row r="9" spans="1:8" x14ac:dyDescent="0.25">
      <c r="A9" s="1247" t="s">
        <v>538</v>
      </c>
      <c r="B9" s="1248"/>
      <c r="C9" s="556">
        <f t="shared" ref="C9:H9" si="0">+C10+C18+C28+C38+C48+C58+C62+C71+C75</f>
        <v>667667131.32648921</v>
      </c>
      <c r="D9" s="556">
        <f t="shared" si="0"/>
        <v>309673060.06</v>
      </c>
      <c r="E9" s="556">
        <f t="shared" si="0"/>
        <v>977340191.38648915</v>
      </c>
      <c r="F9" s="556">
        <f t="shared" si="0"/>
        <v>806764021.71999991</v>
      </c>
      <c r="G9" s="556">
        <f t="shared" si="0"/>
        <v>760362523.8599999</v>
      </c>
      <c r="H9" s="556">
        <f t="shared" si="0"/>
        <v>170576169.66648927</v>
      </c>
    </row>
    <row r="10" spans="1:8" x14ac:dyDescent="0.25">
      <c r="A10" s="1237" t="s">
        <v>539</v>
      </c>
      <c r="B10" s="1238"/>
      <c r="C10" s="557">
        <f>SUM(C11:C17)</f>
        <v>227702200.89527455</v>
      </c>
      <c r="D10" s="557">
        <f t="shared" ref="D10:H10" si="1">SUM(D11:D17)</f>
        <v>21177279.109999999</v>
      </c>
      <c r="E10" s="557">
        <f t="shared" si="1"/>
        <v>248879480.0052745</v>
      </c>
      <c r="F10" s="557">
        <f t="shared" si="1"/>
        <v>247313580.75999996</v>
      </c>
      <c r="G10" s="557">
        <f t="shared" si="1"/>
        <v>236451307.04999998</v>
      </c>
      <c r="H10" s="557">
        <f t="shared" si="1"/>
        <v>1565899.2452745542</v>
      </c>
    </row>
    <row r="11" spans="1:8" x14ac:dyDescent="0.25">
      <c r="A11" s="670"/>
      <c r="B11" s="592" t="s">
        <v>540</v>
      </c>
      <c r="C11" s="559">
        <v>122826728.74877027</v>
      </c>
      <c r="D11" s="559">
        <v>9987715.2500000019</v>
      </c>
      <c r="E11" s="557">
        <f>C11+D11</f>
        <v>132814443.99877027</v>
      </c>
      <c r="F11" s="559">
        <v>131289316.21999997</v>
      </c>
      <c r="G11" s="559">
        <v>127833439.17</v>
      </c>
      <c r="H11" s="558">
        <f t="shared" ref="H11:H17" si="2">+E11-F11</f>
        <v>1525127.7787702978</v>
      </c>
    </row>
    <row r="12" spans="1:8" x14ac:dyDescent="0.25">
      <c r="A12" s="670"/>
      <c r="B12" s="592" t="s">
        <v>541</v>
      </c>
      <c r="C12" s="559">
        <v>2182566.3062395351</v>
      </c>
      <c r="D12" s="559">
        <v>-954506.50999999989</v>
      </c>
      <c r="E12" s="557">
        <f t="shared" ref="E12:E76" si="3">C12+D12</f>
        <v>1228059.7962395353</v>
      </c>
      <c r="F12" s="559">
        <v>1228059.49</v>
      </c>
      <c r="G12" s="559">
        <v>1182961.1599999999</v>
      </c>
      <c r="H12" s="558">
        <f t="shared" si="2"/>
        <v>0.30623953533358872</v>
      </c>
    </row>
    <row r="13" spans="1:8" x14ac:dyDescent="0.25">
      <c r="A13" s="670"/>
      <c r="B13" s="592" t="s">
        <v>542</v>
      </c>
      <c r="C13" s="559">
        <v>19695507.8909165</v>
      </c>
      <c r="D13" s="559">
        <v>12025337.08</v>
      </c>
      <c r="E13" s="557">
        <f t="shared" si="3"/>
        <v>31720844.970916502</v>
      </c>
      <c r="F13" s="559">
        <v>31720844.870000005</v>
      </c>
      <c r="G13" s="559">
        <v>31513504.610000003</v>
      </c>
      <c r="H13" s="558">
        <f t="shared" si="2"/>
        <v>0.10091649740934372</v>
      </c>
    </row>
    <row r="14" spans="1:8" x14ac:dyDescent="0.25">
      <c r="A14" s="670"/>
      <c r="B14" s="592" t="s">
        <v>543</v>
      </c>
      <c r="C14" s="559">
        <v>43659190.108648501</v>
      </c>
      <c r="D14" s="559">
        <v>69496.739999999292</v>
      </c>
      <c r="E14" s="557">
        <f t="shared" si="3"/>
        <v>43728686.848648503</v>
      </c>
      <c r="F14" s="559">
        <v>43728588.630000003</v>
      </c>
      <c r="G14" s="559">
        <v>39056946.869999997</v>
      </c>
      <c r="H14" s="558">
        <f t="shared" si="2"/>
        <v>98.218648500740528</v>
      </c>
    </row>
    <row r="15" spans="1:8" x14ac:dyDescent="0.25">
      <c r="A15" s="670"/>
      <c r="B15" s="592" t="s">
        <v>544</v>
      </c>
      <c r="C15" s="559">
        <v>36414157.083194152</v>
      </c>
      <c r="D15" s="559">
        <v>60191.140000000596</v>
      </c>
      <c r="E15" s="557">
        <f t="shared" si="3"/>
        <v>36474348.223194152</v>
      </c>
      <c r="F15" s="559">
        <v>36464812.519999996</v>
      </c>
      <c r="G15" s="559">
        <v>34092861.209999993</v>
      </c>
      <c r="H15" s="558">
        <f t="shared" si="2"/>
        <v>9535.7031941562891</v>
      </c>
    </row>
    <row r="16" spans="1:8" x14ac:dyDescent="0.25">
      <c r="A16" s="670"/>
      <c r="B16" s="592" t="s">
        <v>545</v>
      </c>
      <c r="C16" s="559"/>
      <c r="D16" s="559">
        <v>0</v>
      </c>
      <c r="E16" s="557">
        <f t="shared" si="3"/>
        <v>0</v>
      </c>
      <c r="F16" s="559">
        <v>0</v>
      </c>
      <c r="G16" s="559">
        <v>0</v>
      </c>
      <c r="H16" s="558">
        <f t="shared" si="2"/>
        <v>0</v>
      </c>
    </row>
    <row r="17" spans="1:8" x14ac:dyDescent="0.25">
      <c r="A17" s="670"/>
      <c r="B17" s="592" t="s">
        <v>546</v>
      </c>
      <c r="C17" s="559">
        <v>2924050.7575055668</v>
      </c>
      <c r="D17" s="559">
        <v>-10954.589999999967</v>
      </c>
      <c r="E17" s="557">
        <f t="shared" si="3"/>
        <v>2913096.167505567</v>
      </c>
      <c r="F17" s="559">
        <v>2881959.0300000003</v>
      </c>
      <c r="G17" s="559">
        <v>2771594.0300000003</v>
      </c>
      <c r="H17" s="558">
        <f t="shared" si="2"/>
        <v>31137.137505566701</v>
      </c>
    </row>
    <row r="18" spans="1:8" x14ac:dyDescent="0.25">
      <c r="A18" s="1237" t="s">
        <v>547</v>
      </c>
      <c r="B18" s="1238"/>
      <c r="C18" s="557">
        <f>SUM(C19:C27)</f>
        <v>25483978.082213655</v>
      </c>
      <c r="D18" s="557">
        <f t="shared" ref="D18:H18" si="4">SUM(D19:D27)</f>
        <v>26192681.009999998</v>
      </c>
      <c r="E18" s="557">
        <f t="shared" si="4"/>
        <v>51676659.09221366</v>
      </c>
      <c r="F18" s="557">
        <f t="shared" si="4"/>
        <v>27168168.659999996</v>
      </c>
      <c r="G18" s="557">
        <f t="shared" si="4"/>
        <v>24745633.310000002</v>
      </c>
      <c r="H18" s="557">
        <f t="shared" si="4"/>
        <v>24508490.432213657</v>
      </c>
    </row>
    <row r="19" spans="1:8" x14ac:dyDescent="0.25">
      <c r="A19" s="670"/>
      <c r="B19" s="592" t="s">
        <v>548</v>
      </c>
      <c r="C19" s="559">
        <v>2248291.971737816</v>
      </c>
      <c r="D19" s="559">
        <v>-429139.43</v>
      </c>
      <c r="E19" s="557">
        <f t="shared" si="3"/>
        <v>1819152.5417378161</v>
      </c>
      <c r="F19" s="559">
        <v>1482602.5400000003</v>
      </c>
      <c r="G19" s="559">
        <v>1399969.57</v>
      </c>
      <c r="H19" s="558">
        <f t="shared" ref="H19:H82" si="5">+E19-F19</f>
        <v>336550.00173781579</v>
      </c>
    </row>
    <row r="20" spans="1:8" x14ac:dyDescent="0.25">
      <c r="A20" s="670"/>
      <c r="B20" s="592" t="s">
        <v>549</v>
      </c>
      <c r="C20" s="559">
        <v>612802.39880192175</v>
      </c>
      <c r="D20" s="559">
        <v>-147839.09000000003</v>
      </c>
      <c r="E20" s="557">
        <f t="shared" si="3"/>
        <v>464963.30880192172</v>
      </c>
      <c r="F20" s="559">
        <v>402077.98</v>
      </c>
      <c r="G20" s="559">
        <v>321409.37999999995</v>
      </c>
      <c r="H20" s="558">
        <f t="shared" si="5"/>
        <v>62885.328801921743</v>
      </c>
    </row>
    <row r="21" spans="1:8" x14ac:dyDescent="0.25">
      <c r="A21" s="670"/>
      <c r="B21" s="592" t="s">
        <v>550</v>
      </c>
      <c r="C21" s="559">
        <v>2245216.0910823718</v>
      </c>
      <c r="D21" s="559">
        <v>6598564.0999999996</v>
      </c>
      <c r="E21" s="557">
        <f t="shared" si="3"/>
        <v>8843780.1910823714</v>
      </c>
      <c r="F21" s="559">
        <v>6692647.6399999997</v>
      </c>
      <c r="G21" s="559">
        <v>6182328.3700000001</v>
      </c>
      <c r="H21" s="558">
        <f t="shared" si="5"/>
        <v>2151132.5510823717</v>
      </c>
    </row>
    <row r="22" spans="1:8" x14ac:dyDescent="0.25">
      <c r="A22" s="670"/>
      <c r="B22" s="592" t="s">
        <v>551</v>
      </c>
      <c r="C22" s="559">
        <v>877366.97313757439</v>
      </c>
      <c r="D22" s="559">
        <v>-152104.91999999998</v>
      </c>
      <c r="E22" s="557">
        <f t="shared" si="3"/>
        <v>725262.05313757434</v>
      </c>
      <c r="F22" s="559">
        <v>639767.05000000005</v>
      </c>
      <c r="G22" s="559">
        <v>637016.99</v>
      </c>
      <c r="H22" s="558">
        <f t="shared" si="5"/>
        <v>85495.003137574298</v>
      </c>
    </row>
    <row r="23" spans="1:8" x14ac:dyDescent="0.25">
      <c r="A23" s="670"/>
      <c r="B23" s="592" t="s">
        <v>552</v>
      </c>
      <c r="C23" s="559">
        <v>3655443.332885351</v>
      </c>
      <c r="D23" s="559">
        <v>2317105.29</v>
      </c>
      <c r="E23" s="557">
        <f t="shared" si="3"/>
        <v>5972548.6228853511</v>
      </c>
      <c r="F23" s="559">
        <v>1923630.1199999999</v>
      </c>
      <c r="G23" s="559">
        <v>1577741.3199999998</v>
      </c>
      <c r="H23" s="558">
        <f t="shared" si="5"/>
        <v>4048918.502885351</v>
      </c>
    </row>
    <row r="24" spans="1:8" x14ac:dyDescent="0.25">
      <c r="A24" s="670"/>
      <c r="B24" s="592" t="s">
        <v>553</v>
      </c>
      <c r="C24" s="559">
        <v>10294453.783337705</v>
      </c>
      <c r="D24" s="559">
        <v>2886437.1599999997</v>
      </c>
      <c r="E24" s="557">
        <f t="shared" si="3"/>
        <v>13180890.943337705</v>
      </c>
      <c r="F24" s="559">
        <v>11629472.039999999</v>
      </c>
      <c r="G24" s="559">
        <v>10980847.33</v>
      </c>
      <c r="H24" s="558">
        <f t="shared" si="5"/>
        <v>1551418.9033377059</v>
      </c>
    </row>
    <row r="25" spans="1:8" x14ac:dyDescent="0.25">
      <c r="A25" s="670"/>
      <c r="B25" s="592" t="s">
        <v>554</v>
      </c>
      <c r="C25" s="559">
        <v>2625781.0166685618</v>
      </c>
      <c r="D25" s="559">
        <v>-994673.5199999999</v>
      </c>
      <c r="E25" s="557">
        <f t="shared" si="3"/>
        <v>1631107.4966685618</v>
      </c>
      <c r="F25" s="559">
        <v>1061972.2</v>
      </c>
      <c r="G25" s="559">
        <v>463885.03000000009</v>
      </c>
      <c r="H25" s="558">
        <f t="shared" si="5"/>
        <v>569135.29666856187</v>
      </c>
    </row>
    <row r="26" spans="1:8" x14ac:dyDescent="0.25">
      <c r="A26" s="670"/>
      <c r="B26" s="592" t="s">
        <v>555</v>
      </c>
      <c r="C26" s="559">
        <v>6500</v>
      </c>
      <c r="D26" s="559">
        <v>-5400</v>
      </c>
      <c r="E26" s="557">
        <f t="shared" si="3"/>
        <v>1100</v>
      </c>
      <c r="F26" s="559">
        <v>0</v>
      </c>
      <c r="G26" s="559">
        <v>0</v>
      </c>
      <c r="H26" s="558">
        <f t="shared" si="5"/>
        <v>1100</v>
      </c>
    </row>
    <row r="27" spans="1:8" x14ac:dyDescent="0.25">
      <c r="A27" s="670"/>
      <c r="B27" s="592" t="s">
        <v>556</v>
      </c>
      <c r="C27" s="559">
        <v>2918122.5145623544</v>
      </c>
      <c r="D27" s="559">
        <v>16119731.42</v>
      </c>
      <c r="E27" s="557">
        <f t="shared" si="3"/>
        <v>19037853.934562355</v>
      </c>
      <c r="F27" s="559">
        <v>3335999.09</v>
      </c>
      <c r="G27" s="559">
        <v>3182435.3200000003</v>
      </c>
      <c r="H27" s="558">
        <f t="shared" si="5"/>
        <v>15701854.844562355</v>
      </c>
    </row>
    <row r="28" spans="1:8" x14ac:dyDescent="0.25">
      <c r="A28" s="1237" t="s">
        <v>557</v>
      </c>
      <c r="B28" s="1238"/>
      <c r="C28" s="557">
        <f>SUM(C29:C37)</f>
        <v>147233209.45890099</v>
      </c>
      <c r="D28" s="557">
        <f t="shared" ref="D28:H28" si="6">SUM(D29:D37)</f>
        <v>168185838.44000003</v>
      </c>
      <c r="E28" s="557">
        <f t="shared" si="6"/>
        <v>315419047.89890099</v>
      </c>
      <c r="F28" s="557">
        <f t="shared" si="6"/>
        <v>262192437.34999996</v>
      </c>
      <c r="G28" s="557">
        <f t="shared" si="6"/>
        <v>239134501.09999999</v>
      </c>
      <c r="H28" s="557">
        <f t="shared" si="6"/>
        <v>53226610.548901007</v>
      </c>
    </row>
    <row r="29" spans="1:8" x14ac:dyDescent="0.25">
      <c r="A29" s="670"/>
      <c r="B29" s="592" t="s">
        <v>558</v>
      </c>
      <c r="C29" s="559">
        <v>61038412.895877376</v>
      </c>
      <c r="D29" s="559">
        <v>72606782.280000001</v>
      </c>
      <c r="E29" s="557">
        <f t="shared" si="3"/>
        <v>133645195.17587738</v>
      </c>
      <c r="F29" s="559">
        <v>128237716.24999999</v>
      </c>
      <c r="G29" s="559">
        <v>127489707.44999999</v>
      </c>
      <c r="H29" s="558">
        <f t="shared" si="5"/>
        <v>5407478.9258773923</v>
      </c>
    </row>
    <row r="30" spans="1:8" x14ac:dyDescent="0.25">
      <c r="A30" s="670"/>
      <c r="B30" s="592" t="s">
        <v>559</v>
      </c>
      <c r="C30" s="559">
        <v>6517933.3933127671</v>
      </c>
      <c r="D30" s="559">
        <v>4544976.3899999997</v>
      </c>
      <c r="E30" s="557">
        <f t="shared" si="3"/>
        <v>11062909.783312768</v>
      </c>
      <c r="F30" s="559">
        <v>7656212.8300000001</v>
      </c>
      <c r="G30" s="559">
        <v>6768783.1699999999</v>
      </c>
      <c r="H30" s="558">
        <f t="shared" si="5"/>
        <v>3406696.9533127677</v>
      </c>
    </row>
    <row r="31" spans="1:8" x14ac:dyDescent="0.25">
      <c r="A31" s="670"/>
      <c r="B31" s="592" t="s">
        <v>560</v>
      </c>
      <c r="C31" s="559">
        <v>7749041.5543209761</v>
      </c>
      <c r="D31" s="559">
        <v>80734867.11999999</v>
      </c>
      <c r="E31" s="557">
        <f t="shared" si="3"/>
        <v>88483908.674320966</v>
      </c>
      <c r="F31" s="559">
        <v>86284238.400000006</v>
      </c>
      <c r="G31" s="559">
        <v>85599806.280000001</v>
      </c>
      <c r="H31" s="558">
        <f t="shared" si="5"/>
        <v>2199670.27432096</v>
      </c>
    </row>
    <row r="32" spans="1:8" x14ac:dyDescent="0.25">
      <c r="A32" s="670"/>
      <c r="B32" s="592" t="s">
        <v>561</v>
      </c>
      <c r="C32" s="559">
        <v>10191755.271978199</v>
      </c>
      <c r="D32" s="559">
        <v>-5373304.2199999997</v>
      </c>
      <c r="E32" s="557">
        <f t="shared" si="3"/>
        <v>4818451.0519781997</v>
      </c>
      <c r="F32" s="559">
        <v>3121123.85</v>
      </c>
      <c r="G32" s="559">
        <v>2918303.0900000003</v>
      </c>
      <c r="H32" s="558">
        <f t="shared" si="5"/>
        <v>1697327.2019781996</v>
      </c>
    </row>
    <row r="33" spans="1:8" x14ac:dyDescent="0.25">
      <c r="A33" s="670"/>
      <c r="B33" s="592" t="s">
        <v>562</v>
      </c>
      <c r="C33" s="559">
        <v>16927289.39632158</v>
      </c>
      <c r="D33" s="559">
        <v>-2408016.4499999997</v>
      </c>
      <c r="E33" s="557">
        <f t="shared" si="3"/>
        <v>14519272.946321581</v>
      </c>
      <c r="F33" s="559">
        <v>10569506.140000001</v>
      </c>
      <c r="G33" s="559">
        <v>8330071.4100000001</v>
      </c>
      <c r="H33" s="558">
        <f t="shared" si="5"/>
        <v>3949766.80632158</v>
      </c>
    </row>
    <row r="34" spans="1:8" x14ac:dyDescent="0.25">
      <c r="A34" s="670"/>
      <c r="B34" s="592" t="s">
        <v>563</v>
      </c>
      <c r="C34" s="559">
        <v>1803370.7264297067</v>
      </c>
      <c r="D34" s="559">
        <v>-1334992.1299999999</v>
      </c>
      <c r="E34" s="557">
        <f t="shared" si="3"/>
        <v>468378.59642970678</v>
      </c>
      <c r="F34" s="559">
        <v>118011</v>
      </c>
      <c r="G34" s="559">
        <v>118011</v>
      </c>
      <c r="H34" s="558">
        <f t="shared" si="5"/>
        <v>350367.59642970678</v>
      </c>
    </row>
    <row r="35" spans="1:8" x14ac:dyDescent="0.25">
      <c r="A35" s="670"/>
      <c r="B35" s="592" t="s">
        <v>564</v>
      </c>
      <c r="C35" s="559">
        <v>2769974.7739054281</v>
      </c>
      <c r="D35" s="559">
        <v>-644309.97000000009</v>
      </c>
      <c r="E35" s="557">
        <f t="shared" si="3"/>
        <v>2125664.8039054279</v>
      </c>
      <c r="F35" s="559">
        <v>1799477.41</v>
      </c>
      <c r="G35" s="559">
        <v>1797531.28</v>
      </c>
      <c r="H35" s="558">
        <f t="shared" si="5"/>
        <v>326187.39390542801</v>
      </c>
    </row>
    <row r="36" spans="1:8" x14ac:dyDescent="0.25">
      <c r="A36" s="670"/>
      <c r="B36" s="592" t="s">
        <v>565</v>
      </c>
      <c r="C36" s="559">
        <v>92700</v>
      </c>
      <c r="D36" s="559">
        <v>658592.99</v>
      </c>
      <c r="E36" s="557">
        <f t="shared" si="3"/>
        <v>751292.99</v>
      </c>
      <c r="F36" s="559">
        <v>749934.99</v>
      </c>
      <c r="G36" s="559">
        <v>749934.99</v>
      </c>
      <c r="H36" s="558">
        <f t="shared" si="5"/>
        <v>1358</v>
      </c>
    </row>
    <row r="37" spans="1:8" ht="15.75" thickBot="1" x14ac:dyDescent="0.3">
      <c r="A37" s="591"/>
      <c r="B37" s="531" t="s">
        <v>566</v>
      </c>
      <c r="C37" s="571">
        <v>40142731.44675497</v>
      </c>
      <c r="D37" s="571">
        <v>19401242.430000003</v>
      </c>
      <c r="E37" s="572">
        <f t="shared" si="3"/>
        <v>59543973.876754969</v>
      </c>
      <c r="F37" s="571">
        <v>23656216.479999997</v>
      </c>
      <c r="G37" s="571">
        <v>5362352.43</v>
      </c>
      <c r="H37" s="573">
        <f t="shared" si="5"/>
        <v>35887757.396754973</v>
      </c>
    </row>
    <row r="38" spans="1:8" x14ac:dyDescent="0.25">
      <c r="A38" s="1237" t="s">
        <v>567</v>
      </c>
      <c r="B38" s="1238"/>
      <c r="C38" s="557">
        <f t="shared" ref="C38:H38" si="7">SUM(C39:C47)</f>
        <v>0</v>
      </c>
      <c r="D38" s="557">
        <f t="shared" si="7"/>
        <v>0</v>
      </c>
      <c r="E38" s="557">
        <f t="shared" si="7"/>
        <v>0</v>
      </c>
      <c r="F38" s="557">
        <f t="shared" si="7"/>
        <v>0</v>
      </c>
      <c r="G38" s="557">
        <f t="shared" si="7"/>
        <v>0</v>
      </c>
      <c r="H38" s="557">
        <f t="shared" si="7"/>
        <v>0</v>
      </c>
    </row>
    <row r="39" spans="1:8" x14ac:dyDescent="0.25">
      <c r="A39" s="670"/>
      <c r="B39" s="592" t="s">
        <v>568</v>
      </c>
      <c r="C39" s="559"/>
      <c r="D39" s="559"/>
      <c r="E39" s="557">
        <f t="shared" si="3"/>
        <v>0</v>
      </c>
      <c r="F39" s="559"/>
      <c r="G39" s="559"/>
      <c r="H39" s="558">
        <f t="shared" si="5"/>
        <v>0</v>
      </c>
    </row>
    <row r="40" spans="1:8" x14ac:dyDescent="0.25">
      <c r="A40" s="670"/>
      <c r="B40" s="592" t="s">
        <v>569</v>
      </c>
      <c r="C40" s="559"/>
      <c r="D40" s="559"/>
      <c r="E40" s="557">
        <f t="shared" si="3"/>
        <v>0</v>
      </c>
      <c r="F40" s="559"/>
      <c r="G40" s="559"/>
      <c r="H40" s="558">
        <f t="shared" si="5"/>
        <v>0</v>
      </c>
    </row>
    <row r="41" spans="1:8" x14ac:dyDescent="0.25">
      <c r="A41" s="670"/>
      <c r="B41" s="592" t="s">
        <v>570</v>
      </c>
      <c r="C41" s="559"/>
      <c r="D41" s="559"/>
      <c r="E41" s="557">
        <f t="shared" si="3"/>
        <v>0</v>
      </c>
      <c r="F41" s="559"/>
      <c r="G41" s="559"/>
      <c r="H41" s="558">
        <f t="shared" si="5"/>
        <v>0</v>
      </c>
    </row>
    <row r="42" spans="1:8" x14ac:dyDescent="0.25">
      <c r="A42" s="670"/>
      <c r="B42" s="592" t="s">
        <v>571</v>
      </c>
      <c r="C42" s="559"/>
      <c r="D42" s="559"/>
      <c r="E42" s="557">
        <f t="shared" si="3"/>
        <v>0</v>
      </c>
      <c r="F42" s="559"/>
      <c r="G42" s="559"/>
      <c r="H42" s="558">
        <f t="shared" si="5"/>
        <v>0</v>
      </c>
    </row>
    <row r="43" spans="1:8" x14ac:dyDescent="0.25">
      <c r="A43" s="670"/>
      <c r="B43" s="592" t="s">
        <v>572</v>
      </c>
      <c r="C43" s="559"/>
      <c r="D43" s="559"/>
      <c r="E43" s="557">
        <f t="shared" si="3"/>
        <v>0</v>
      </c>
      <c r="F43" s="559"/>
      <c r="G43" s="559"/>
      <c r="H43" s="558">
        <f t="shared" si="5"/>
        <v>0</v>
      </c>
    </row>
    <row r="44" spans="1:8" x14ac:dyDescent="0.25">
      <c r="A44" s="670"/>
      <c r="B44" s="592" t="s">
        <v>573</v>
      </c>
      <c r="C44" s="559"/>
      <c r="D44" s="559"/>
      <c r="E44" s="557">
        <f t="shared" si="3"/>
        <v>0</v>
      </c>
      <c r="F44" s="559"/>
      <c r="G44" s="559"/>
      <c r="H44" s="558">
        <f t="shared" si="5"/>
        <v>0</v>
      </c>
    </row>
    <row r="45" spans="1:8" x14ac:dyDescent="0.25">
      <c r="A45" s="670"/>
      <c r="B45" s="592" t="s">
        <v>574</v>
      </c>
      <c r="C45" s="559"/>
      <c r="D45" s="559"/>
      <c r="E45" s="557">
        <f t="shared" si="3"/>
        <v>0</v>
      </c>
      <c r="F45" s="559"/>
      <c r="G45" s="559"/>
      <c r="H45" s="558">
        <f t="shared" si="5"/>
        <v>0</v>
      </c>
    </row>
    <row r="46" spans="1:8" x14ac:dyDescent="0.25">
      <c r="A46" s="670"/>
      <c r="B46" s="592" t="s">
        <v>575</v>
      </c>
      <c r="C46" s="559"/>
      <c r="D46" s="559"/>
      <c r="E46" s="557">
        <f t="shared" si="3"/>
        <v>0</v>
      </c>
      <c r="F46" s="559"/>
      <c r="G46" s="559"/>
      <c r="H46" s="558">
        <f t="shared" si="5"/>
        <v>0</v>
      </c>
    </row>
    <row r="47" spans="1:8" x14ac:dyDescent="0.25">
      <c r="A47" s="670"/>
      <c r="B47" s="592" t="s">
        <v>576</v>
      </c>
      <c r="C47" s="559"/>
      <c r="D47" s="559"/>
      <c r="E47" s="557">
        <f t="shared" si="3"/>
        <v>0</v>
      </c>
      <c r="F47" s="559"/>
      <c r="G47" s="559"/>
      <c r="H47" s="558">
        <f t="shared" si="5"/>
        <v>0</v>
      </c>
    </row>
    <row r="48" spans="1:8" x14ac:dyDescent="0.25">
      <c r="A48" s="1237" t="s">
        <v>577</v>
      </c>
      <c r="B48" s="1238"/>
      <c r="C48" s="557">
        <f>SUM(C49:C57)</f>
        <v>4296626.8851000005</v>
      </c>
      <c r="D48" s="557">
        <f t="shared" ref="D48:H48" si="8">SUM(D49:D57)</f>
        <v>20204593.010000002</v>
      </c>
      <c r="E48" s="557">
        <f t="shared" si="8"/>
        <v>24501219.895100001</v>
      </c>
      <c r="F48" s="557">
        <f t="shared" si="8"/>
        <v>24334825.75</v>
      </c>
      <c r="G48" s="557">
        <f t="shared" si="8"/>
        <v>20623712.390000001</v>
      </c>
      <c r="H48" s="557">
        <f t="shared" si="8"/>
        <v>166394.14510000055</v>
      </c>
    </row>
    <row r="49" spans="1:8" x14ac:dyDescent="0.25">
      <c r="A49" s="670"/>
      <c r="B49" s="592" t="s">
        <v>578</v>
      </c>
      <c r="C49" s="559">
        <v>180354.8</v>
      </c>
      <c r="D49" s="559">
        <v>1119369.48</v>
      </c>
      <c r="E49" s="557">
        <f t="shared" si="3"/>
        <v>1299724.28</v>
      </c>
      <c r="F49" s="559">
        <v>1299360.48</v>
      </c>
      <c r="G49" s="559">
        <v>1147796.48</v>
      </c>
      <c r="H49" s="558">
        <f t="shared" si="5"/>
        <v>363.80000000004657</v>
      </c>
    </row>
    <row r="50" spans="1:8" x14ac:dyDescent="0.25">
      <c r="A50" s="670"/>
      <c r="B50" s="592" t="s">
        <v>579</v>
      </c>
      <c r="C50" s="559"/>
      <c r="D50" s="559"/>
      <c r="E50" s="557">
        <f t="shared" si="3"/>
        <v>0</v>
      </c>
      <c r="F50" s="559"/>
      <c r="G50" s="559"/>
      <c r="H50" s="558">
        <f t="shared" si="5"/>
        <v>0</v>
      </c>
    </row>
    <row r="51" spans="1:8" x14ac:dyDescent="0.25">
      <c r="A51" s="670"/>
      <c r="B51" s="592" t="s">
        <v>580</v>
      </c>
      <c r="C51" s="559"/>
      <c r="D51" s="559">
        <v>121800</v>
      </c>
      <c r="E51" s="557">
        <f t="shared" si="3"/>
        <v>121800</v>
      </c>
      <c r="F51" s="559">
        <v>121800</v>
      </c>
      <c r="G51" s="559">
        <v>121800</v>
      </c>
      <c r="H51" s="558">
        <f t="shared" si="5"/>
        <v>0</v>
      </c>
    </row>
    <row r="52" spans="1:8" x14ac:dyDescent="0.25">
      <c r="A52" s="670"/>
      <c r="B52" s="592" t="s">
        <v>581</v>
      </c>
      <c r="C52" s="559">
        <v>1595000</v>
      </c>
      <c r="D52" s="559">
        <v>13254790</v>
      </c>
      <c r="E52" s="557">
        <f t="shared" si="3"/>
        <v>14849790</v>
      </c>
      <c r="F52" s="559">
        <v>14738790</v>
      </c>
      <c r="G52" s="559">
        <v>14738790</v>
      </c>
      <c r="H52" s="558">
        <f t="shared" si="5"/>
        <v>111000</v>
      </c>
    </row>
    <row r="53" spans="1:8" x14ac:dyDescent="0.25">
      <c r="A53" s="670"/>
      <c r="B53" s="592" t="s">
        <v>582</v>
      </c>
      <c r="C53" s="559"/>
      <c r="D53" s="559"/>
      <c r="E53" s="557">
        <f t="shared" si="3"/>
        <v>0</v>
      </c>
      <c r="F53" s="559"/>
      <c r="G53" s="559"/>
      <c r="H53" s="558">
        <f t="shared" si="5"/>
        <v>0</v>
      </c>
    </row>
    <row r="54" spans="1:8" x14ac:dyDescent="0.25">
      <c r="A54" s="670"/>
      <c r="B54" s="592" t="s">
        <v>583</v>
      </c>
      <c r="C54" s="559">
        <v>2521272.0851000003</v>
      </c>
      <c r="D54" s="559">
        <v>5602284.6099999994</v>
      </c>
      <c r="E54" s="557">
        <f t="shared" si="3"/>
        <v>8123556.6951000001</v>
      </c>
      <c r="F54" s="559">
        <v>8068526.3499999996</v>
      </c>
      <c r="G54" s="559">
        <v>4508976.99</v>
      </c>
      <c r="H54" s="558">
        <f t="shared" si="5"/>
        <v>55030.345100000501</v>
      </c>
    </row>
    <row r="55" spans="1:8" x14ac:dyDescent="0.25">
      <c r="A55" s="670"/>
      <c r="B55" s="592" t="s">
        <v>584</v>
      </c>
      <c r="C55" s="559"/>
      <c r="D55" s="559"/>
      <c r="E55" s="557">
        <f t="shared" si="3"/>
        <v>0</v>
      </c>
      <c r="F55" s="559"/>
      <c r="G55" s="559"/>
      <c r="H55" s="558">
        <f t="shared" si="5"/>
        <v>0</v>
      </c>
    </row>
    <row r="56" spans="1:8" x14ac:dyDescent="0.25">
      <c r="A56" s="670"/>
      <c r="B56" s="592" t="s">
        <v>585</v>
      </c>
      <c r="C56" s="559"/>
      <c r="D56" s="559"/>
      <c r="E56" s="557">
        <f t="shared" si="3"/>
        <v>0</v>
      </c>
      <c r="F56" s="559"/>
      <c r="G56" s="559"/>
      <c r="H56" s="558">
        <f t="shared" si="5"/>
        <v>0</v>
      </c>
    </row>
    <row r="57" spans="1:8" x14ac:dyDescent="0.25">
      <c r="A57" s="670"/>
      <c r="B57" s="592" t="s">
        <v>586</v>
      </c>
      <c r="C57" s="559"/>
      <c r="D57" s="559">
        <v>106348.92000000001</v>
      </c>
      <c r="E57" s="557">
        <f t="shared" si="3"/>
        <v>106348.92000000001</v>
      </c>
      <c r="F57" s="559">
        <v>106348.92000000001</v>
      </c>
      <c r="G57" s="559">
        <v>106348.92000000001</v>
      </c>
      <c r="H57" s="558">
        <f t="shared" si="5"/>
        <v>0</v>
      </c>
    </row>
    <row r="58" spans="1:8" x14ac:dyDescent="0.25">
      <c r="A58" s="1237" t="s">
        <v>587</v>
      </c>
      <c r="B58" s="1238"/>
      <c r="C58" s="557">
        <f>SUM(C59:C61)</f>
        <v>145000000</v>
      </c>
      <c r="D58" s="557">
        <f t="shared" ref="D58:H58" si="9">SUM(D59:D61)</f>
        <v>74243335.430000007</v>
      </c>
      <c r="E58" s="557">
        <f t="shared" si="9"/>
        <v>219243335.43000001</v>
      </c>
      <c r="F58" s="557">
        <f t="shared" si="9"/>
        <v>175777106.79999998</v>
      </c>
      <c r="G58" s="557">
        <f t="shared" si="9"/>
        <v>170708419.19999999</v>
      </c>
      <c r="H58" s="557">
        <f t="shared" si="9"/>
        <v>43466228.63000004</v>
      </c>
    </row>
    <row r="59" spans="1:8" x14ac:dyDescent="0.25">
      <c r="A59" s="670"/>
      <c r="B59" s="592" t="s">
        <v>588</v>
      </c>
      <c r="C59" s="559">
        <v>145000000</v>
      </c>
      <c r="D59" s="559">
        <v>71793415.430000007</v>
      </c>
      <c r="E59" s="557">
        <f t="shared" si="3"/>
        <v>216793415.43000001</v>
      </c>
      <c r="F59" s="559">
        <v>173493105.99999997</v>
      </c>
      <c r="G59" s="559">
        <v>168424418.39999998</v>
      </c>
      <c r="H59" s="558">
        <f t="shared" si="5"/>
        <v>43300309.430000037</v>
      </c>
    </row>
    <row r="60" spans="1:8" x14ac:dyDescent="0.25">
      <c r="A60" s="670"/>
      <c r="B60" s="592" t="s">
        <v>589</v>
      </c>
      <c r="C60" s="559">
        <v>0</v>
      </c>
      <c r="D60" s="559">
        <v>2449920</v>
      </c>
      <c r="E60" s="557">
        <f t="shared" si="3"/>
        <v>2449920</v>
      </c>
      <c r="F60" s="559">
        <v>2284000.7999999998</v>
      </c>
      <c r="G60" s="559">
        <v>2284000.7999999998</v>
      </c>
      <c r="H60" s="558">
        <f t="shared" si="5"/>
        <v>165919.20000000019</v>
      </c>
    </row>
    <row r="61" spans="1:8" x14ac:dyDescent="0.25">
      <c r="A61" s="670"/>
      <c r="B61" s="592" t="s">
        <v>590</v>
      </c>
      <c r="C61" s="559"/>
      <c r="D61" s="559"/>
      <c r="E61" s="557">
        <f t="shared" si="3"/>
        <v>0</v>
      </c>
      <c r="F61" s="559"/>
      <c r="G61" s="559"/>
      <c r="H61" s="558">
        <f t="shared" si="5"/>
        <v>0</v>
      </c>
    </row>
    <row r="62" spans="1:8" x14ac:dyDescent="0.25">
      <c r="A62" s="1237" t="s">
        <v>591</v>
      </c>
      <c r="B62" s="1238"/>
      <c r="C62" s="557">
        <f t="shared" ref="C62:H62" si="10">SUM(C63:C70)</f>
        <v>27951116.004999999</v>
      </c>
      <c r="D62" s="557">
        <f t="shared" si="10"/>
        <v>0</v>
      </c>
      <c r="E62" s="557">
        <f t="shared" si="10"/>
        <v>27951116.004999999</v>
      </c>
      <c r="F62" s="557">
        <f t="shared" si="10"/>
        <v>0</v>
      </c>
      <c r="G62" s="557">
        <f t="shared" si="10"/>
        <v>0</v>
      </c>
      <c r="H62" s="557">
        <f t="shared" si="10"/>
        <v>27951116.004999999</v>
      </c>
    </row>
    <row r="63" spans="1:8" x14ac:dyDescent="0.25">
      <c r="A63" s="670"/>
      <c r="B63" s="592" t="s">
        <v>592</v>
      </c>
      <c r="C63" s="559"/>
      <c r="D63" s="559"/>
      <c r="E63" s="557">
        <f t="shared" si="3"/>
        <v>0</v>
      </c>
      <c r="F63" s="559"/>
      <c r="G63" s="559"/>
      <c r="H63" s="558">
        <f t="shared" si="5"/>
        <v>0</v>
      </c>
    </row>
    <row r="64" spans="1:8" x14ac:dyDescent="0.25">
      <c r="A64" s="670"/>
      <c r="B64" s="592" t="s">
        <v>593</v>
      </c>
      <c r="C64" s="559"/>
      <c r="D64" s="559"/>
      <c r="E64" s="557">
        <f t="shared" si="3"/>
        <v>0</v>
      </c>
      <c r="F64" s="559"/>
      <c r="G64" s="559"/>
      <c r="H64" s="558">
        <f t="shared" si="5"/>
        <v>0</v>
      </c>
    </row>
    <row r="65" spans="1:8" x14ac:dyDescent="0.25">
      <c r="A65" s="670"/>
      <c r="B65" s="592" t="s">
        <v>594</v>
      </c>
      <c r="C65" s="559"/>
      <c r="D65" s="559"/>
      <c r="E65" s="557">
        <f t="shared" si="3"/>
        <v>0</v>
      </c>
      <c r="F65" s="559"/>
      <c r="G65" s="559"/>
      <c r="H65" s="558">
        <f t="shared" si="5"/>
        <v>0</v>
      </c>
    </row>
    <row r="66" spans="1:8" x14ac:dyDescent="0.25">
      <c r="A66" s="670"/>
      <c r="B66" s="592" t="s">
        <v>595</v>
      </c>
      <c r="C66" s="559"/>
      <c r="D66" s="559"/>
      <c r="E66" s="557">
        <f t="shared" si="3"/>
        <v>0</v>
      </c>
      <c r="F66" s="559"/>
      <c r="G66" s="559"/>
      <c r="H66" s="558">
        <f t="shared" si="5"/>
        <v>0</v>
      </c>
    </row>
    <row r="67" spans="1:8" x14ac:dyDescent="0.25">
      <c r="A67" s="670"/>
      <c r="B67" s="592" t="s">
        <v>596</v>
      </c>
      <c r="C67" s="559"/>
      <c r="D67" s="559"/>
      <c r="E67" s="557">
        <f t="shared" si="3"/>
        <v>0</v>
      </c>
      <c r="F67" s="559"/>
      <c r="G67" s="559"/>
      <c r="H67" s="558">
        <f t="shared" si="5"/>
        <v>0</v>
      </c>
    </row>
    <row r="68" spans="1:8" x14ac:dyDescent="0.25">
      <c r="A68" s="670"/>
      <c r="B68" s="592" t="s">
        <v>597</v>
      </c>
      <c r="C68" s="559"/>
      <c r="D68" s="559"/>
      <c r="E68" s="557">
        <f t="shared" si="3"/>
        <v>0</v>
      </c>
      <c r="F68" s="559"/>
      <c r="G68" s="559"/>
      <c r="H68" s="558">
        <f t="shared" si="5"/>
        <v>0</v>
      </c>
    </row>
    <row r="69" spans="1:8" x14ac:dyDescent="0.25">
      <c r="A69" s="670"/>
      <c r="B69" s="592" t="s">
        <v>598</v>
      </c>
      <c r="C69" s="559"/>
      <c r="D69" s="559"/>
      <c r="E69" s="557">
        <f t="shared" si="3"/>
        <v>0</v>
      </c>
      <c r="F69" s="559"/>
      <c r="G69" s="559"/>
      <c r="H69" s="558">
        <f t="shared" si="5"/>
        <v>0</v>
      </c>
    </row>
    <row r="70" spans="1:8" x14ac:dyDescent="0.25">
      <c r="A70" s="670"/>
      <c r="B70" s="592" t="s">
        <v>599</v>
      </c>
      <c r="C70" s="559">
        <v>27951116.004999999</v>
      </c>
      <c r="D70" s="559"/>
      <c r="E70" s="557">
        <f t="shared" si="3"/>
        <v>27951116.004999999</v>
      </c>
      <c r="F70" s="559"/>
      <c r="G70" s="559"/>
      <c r="H70" s="558">
        <f t="shared" si="5"/>
        <v>27951116.004999999</v>
      </c>
    </row>
    <row r="71" spans="1:8" x14ac:dyDescent="0.25">
      <c r="A71" s="1237" t="s">
        <v>600</v>
      </c>
      <c r="B71" s="1238"/>
      <c r="C71" s="557">
        <f>SUM(C72:C74)</f>
        <v>0</v>
      </c>
      <c r="D71" s="557">
        <f t="shared" ref="D71:H71" si="11">SUM(D72:D74)</f>
        <v>0</v>
      </c>
      <c r="E71" s="557">
        <f t="shared" si="11"/>
        <v>0</v>
      </c>
      <c r="F71" s="557">
        <f t="shared" si="11"/>
        <v>0</v>
      </c>
      <c r="G71" s="557">
        <f t="shared" si="11"/>
        <v>0</v>
      </c>
      <c r="H71" s="557">
        <f t="shared" si="11"/>
        <v>0</v>
      </c>
    </row>
    <row r="72" spans="1:8" ht="15.75" thickBot="1" x14ac:dyDescent="0.3">
      <c r="A72" s="591"/>
      <c r="B72" s="531" t="s">
        <v>601</v>
      </c>
      <c r="C72" s="571"/>
      <c r="D72" s="571"/>
      <c r="E72" s="572">
        <f t="shared" si="3"/>
        <v>0</v>
      </c>
      <c r="F72" s="571"/>
      <c r="G72" s="571"/>
      <c r="H72" s="573">
        <f t="shared" si="5"/>
        <v>0</v>
      </c>
    </row>
    <row r="73" spans="1:8" x14ac:dyDescent="0.25">
      <c r="A73" s="670"/>
      <c r="B73" s="592" t="s">
        <v>602</v>
      </c>
      <c r="C73" s="559"/>
      <c r="D73" s="559"/>
      <c r="E73" s="557">
        <f t="shared" si="3"/>
        <v>0</v>
      </c>
      <c r="F73" s="559"/>
      <c r="G73" s="559"/>
      <c r="H73" s="558">
        <f t="shared" si="5"/>
        <v>0</v>
      </c>
    </row>
    <row r="74" spans="1:8" x14ac:dyDescent="0.25">
      <c r="A74" s="670"/>
      <c r="B74" s="592" t="s">
        <v>603</v>
      </c>
      <c r="C74" s="559"/>
      <c r="D74" s="559"/>
      <c r="E74" s="557">
        <f t="shared" si="3"/>
        <v>0</v>
      </c>
      <c r="F74" s="559"/>
      <c r="G74" s="559"/>
      <c r="H74" s="558">
        <f t="shared" si="5"/>
        <v>0</v>
      </c>
    </row>
    <row r="75" spans="1:8" x14ac:dyDescent="0.25">
      <c r="A75" s="1237" t="s">
        <v>604</v>
      </c>
      <c r="B75" s="1238"/>
      <c r="C75" s="557">
        <f>SUM(C76:C82)</f>
        <v>90000000</v>
      </c>
      <c r="D75" s="557">
        <f t="shared" ref="D75:H75" si="12">SUM(D76:D82)</f>
        <v>-330666.93999997154</v>
      </c>
      <c r="E75" s="557">
        <f t="shared" si="12"/>
        <v>89669333.060000032</v>
      </c>
      <c r="F75" s="557">
        <f t="shared" si="12"/>
        <v>69977902.400000006</v>
      </c>
      <c r="G75" s="557">
        <f t="shared" si="12"/>
        <v>68698950.810000002</v>
      </c>
      <c r="H75" s="557">
        <f t="shared" si="12"/>
        <v>19691430.660000026</v>
      </c>
    </row>
    <row r="76" spans="1:8" x14ac:dyDescent="0.25">
      <c r="A76" s="670"/>
      <c r="B76" s="592" t="s">
        <v>605</v>
      </c>
      <c r="C76" s="559">
        <v>90000000</v>
      </c>
      <c r="D76" s="559">
        <v>-56608003.209999979</v>
      </c>
      <c r="E76" s="557">
        <f t="shared" si="3"/>
        <v>33391996.790000021</v>
      </c>
      <c r="F76" s="559">
        <v>30931478.789999999</v>
      </c>
      <c r="G76" s="559">
        <v>30933478.789999999</v>
      </c>
      <c r="H76" s="558">
        <f t="shared" si="5"/>
        <v>2460518.0000000224</v>
      </c>
    </row>
    <row r="77" spans="1:8" x14ac:dyDescent="0.25">
      <c r="A77" s="670"/>
      <c r="B77" s="592" t="s">
        <v>606</v>
      </c>
      <c r="C77" s="559">
        <v>0</v>
      </c>
      <c r="D77" s="559">
        <v>28432546.320000004</v>
      </c>
      <c r="E77" s="557">
        <f t="shared" ref="E77:E82" si="13">C77+D77</f>
        <v>28432546.320000004</v>
      </c>
      <c r="F77" s="559">
        <v>28432546.32</v>
      </c>
      <c r="G77" s="559">
        <v>28432546.32</v>
      </c>
      <c r="H77" s="558">
        <f t="shared" si="5"/>
        <v>0</v>
      </c>
    </row>
    <row r="78" spans="1:8" x14ac:dyDescent="0.25">
      <c r="A78" s="670"/>
      <c r="B78" s="592" t="s">
        <v>607</v>
      </c>
      <c r="C78" s="559"/>
      <c r="D78" s="559"/>
      <c r="E78" s="557">
        <f t="shared" si="13"/>
        <v>0</v>
      </c>
      <c r="F78" s="559"/>
      <c r="G78" s="559"/>
      <c r="H78" s="558">
        <f t="shared" si="5"/>
        <v>0</v>
      </c>
    </row>
    <row r="79" spans="1:8" x14ac:dyDescent="0.25">
      <c r="A79" s="670"/>
      <c r="B79" s="592" t="s">
        <v>608</v>
      </c>
      <c r="C79" s="559"/>
      <c r="D79" s="559"/>
      <c r="E79" s="557">
        <f t="shared" si="13"/>
        <v>0</v>
      </c>
      <c r="F79" s="559"/>
      <c r="G79" s="559"/>
      <c r="H79" s="558">
        <f t="shared" si="5"/>
        <v>0</v>
      </c>
    </row>
    <row r="80" spans="1:8" x14ac:dyDescent="0.25">
      <c r="A80" s="670"/>
      <c r="B80" s="592" t="s">
        <v>609</v>
      </c>
      <c r="C80" s="559"/>
      <c r="D80" s="559"/>
      <c r="E80" s="557">
        <f t="shared" si="13"/>
        <v>0</v>
      </c>
      <c r="F80" s="559"/>
      <c r="G80" s="559"/>
      <c r="H80" s="558">
        <f t="shared" si="5"/>
        <v>0</v>
      </c>
    </row>
    <row r="81" spans="1:8" x14ac:dyDescent="0.25">
      <c r="A81" s="670"/>
      <c r="B81" s="592" t="s">
        <v>610</v>
      </c>
      <c r="C81" s="559"/>
      <c r="D81" s="559"/>
      <c r="E81" s="557">
        <f t="shared" si="13"/>
        <v>0</v>
      </c>
      <c r="F81" s="559"/>
      <c r="G81" s="559"/>
      <c r="H81" s="558">
        <f t="shared" si="5"/>
        <v>0</v>
      </c>
    </row>
    <row r="82" spans="1:8" x14ac:dyDescent="0.25">
      <c r="A82" s="670"/>
      <c r="B82" s="592" t="s">
        <v>611</v>
      </c>
      <c r="C82" s="559"/>
      <c r="D82" s="559">
        <v>27844789.950000003</v>
      </c>
      <c r="E82" s="557">
        <f t="shared" si="13"/>
        <v>27844789.950000003</v>
      </c>
      <c r="F82" s="559">
        <v>10613877.289999999</v>
      </c>
      <c r="G82" s="559">
        <v>9332925.6999999993</v>
      </c>
      <c r="H82" s="558">
        <f t="shared" si="5"/>
        <v>17230912.660000004</v>
      </c>
    </row>
    <row r="83" spans="1:8" x14ac:dyDescent="0.25">
      <c r="A83" s="1247" t="s">
        <v>612</v>
      </c>
      <c r="B83" s="1248"/>
      <c r="C83" s="556">
        <f>+C84+C92+C102+C112+C122+C132+C136+C145+C149</f>
        <v>114999999.995</v>
      </c>
      <c r="D83" s="556">
        <f t="shared" ref="D83:H83" si="14">+D84+D92+D102+D112+D122+D132+D136+D145+D149</f>
        <v>3037575778.5100002</v>
      </c>
      <c r="E83" s="556">
        <f t="shared" si="14"/>
        <v>3152575778.5050001</v>
      </c>
      <c r="F83" s="556">
        <f t="shared" si="14"/>
        <v>1734650319.29</v>
      </c>
      <c r="G83" s="556">
        <f t="shared" si="14"/>
        <v>1711966486.6399999</v>
      </c>
      <c r="H83" s="556">
        <f t="shared" si="14"/>
        <v>1417925459.2150002</v>
      </c>
    </row>
    <row r="84" spans="1:8" x14ac:dyDescent="0.25">
      <c r="A84" s="1237" t="s">
        <v>539</v>
      </c>
      <c r="B84" s="1238"/>
      <c r="C84" s="557">
        <f>SUM(C85:C91)</f>
        <v>0</v>
      </c>
      <c r="D84" s="557">
        <f t="shared" ref="D84:H84" si="15">SUM(D85:D91)</f>
        <v>0</v>
      </c>
      <c r="E84" s="557">
        <f t="shared" si="15"/>
        <v>0</v>
      </c>
      <c r="F84" s="557">
        <f t="shared" si="15"/>
        <v>0</v>
      </c>
      <c r="G84" s="557">
        <f t="shared" si="15"/>
        <v>0</v>
      </c>
      <c r="H84" s="557">
        <f t="shared" si="15"/>
        <v>0</v>
      </c>
    </row>
    <row r="85" spans="1:8" x14ac:dyDescent="0.25">
      <c r="A85" s="670"/>
      <c r="B85" s="592" t="s">
        <v>540</v>
      </c>
      <c r="C85" s="559"/>
      <c r="D85" s="559"/>
      <c r="E85" s="557">
        <f t="shared" ref="E85:E91" si="16">C85+D85</f>
        <v>0</v>
      </c>
      <c r="F85" s="559"/>
      <c r="G85" s="559"/>
      <c r="H85" s="558">
        <f t="shared" ref="H85:H148" si="17">+E85-F85</f>
        <v>0</v>
      </c>
    </row>
    <row r="86" spans="1:8" x14ac:dyDescent="0.25">
      <c r="A86" s="670"/>
      <c r="B86" s="592" t="s">
        <v>541</v>
      </c>
      <c r="C86" s="559"/>
      <c r="D86" s="559"/>
      <c r="E86" s="557">
        <f t="shared" si="16"/>
        <v>0</v>
      </c>
      <c r="F86" s="559"/>
      <c r="G86" s="559"/>
      <c r="H86" s="558">
        <f t="shared" si="17"/>
        <v>0</v>
      </c>
    </row>
    <row r="87" spans="1:8" x14ac:dyDescent="0.25">
      <c r="A87" s="670"/>
      <c r="B87" s="592" t="s">
        <v>542</v>
      </c>
      <c r="C87" s="559"/>
      <c r="D87" s="559"/>
      <c r="E87" s="557">
        <f t="shared" si="16"/>
        <v>0</v>
      </c>
      <c r="F87" s="559"/>
      <c r="G87" s="559"/>
      <c r="H87" s="558">
        <f t="shared" si="17"/>
        <v>0</v>
      </c>
    </row>
    <row r="88" spans="1:8" x14ac:dyDescent="0.25">
      <c r="A88" s="670"/>
      <c r="B88" s="592" t="s">
        <v>543</v>
      </c>
      <c r="C88" s="559"/>
      <c r="D88" s="559"/>
      <c r="E88" s="557">
        <f t="shared" si="16"/>
        <v>0</v>
      </c>
      <c r="F88" s="559"/>
      <c r="G88" s="559"/>
      <c r="H88" s="558">
        <f t="shared" si="17"/>
        <v>0</v>
      </c>
    </row>
    <row r="89" spans="1:8" x14ac:dyDescent="0.25">
      <c r="A89" s="670"/>
      <c r="B89" s="592" t="s">
        <v>544</v>
      </c>
      <c r="C89" s="559"/>
      <c r="D89" s="559"/>
      <c r="E89" s="557">
        <f t="shared" si="16"/>
        <v>0</v>
      </c>
      <c r="F89" s="559"/>
      <c r="G89" s="559"/>
      <c r="H89" s="558">
        <f t="shared" si="17"/>
        <v>0</v>
      </c>
    </row>
    <row r="90" spans="1:8" x14ac:dyDescent="0.25">
      <c r="A90" s="670"/>
      <c r="B90" s="592" t="s">
        <v>545</v>
      </c>
      <c r="C90" s="559"/>
      <c r="D90" s="559"/>
      <c r="E90" s="557">
        <f t="shared" si="16"/>
        <v>0</v>
      </c>
      <c r="F90" s="559"/>
      <c r="G90" s="559"/>
      <c r="H90" s="558">
        <f t="shared" si="17"/>
        <v>0</v>
      </c>
    </row>
    <row r="91" spans="1:8" x14ac:dyDescent="0.25">
      <c r="A91" s="670"/>
      <c r="B91" s="592" t="s">
        <v>546</v>
      </c>
      <c r="C91" s="559"/>
      <c r="D91" s="559"/>
      <c r="E91" s="557">
        <f t="shared" si="16"/>
        <v>0</v>
      </c>
      <c r="F91" s="559"/>
      <c r="G91" s="559"/>
      <c r="H91" s="558">
        <f t="shared" si="17"/>
        <v>0</v>
      </c>
    </row>
    <row r="92" spans="1:8" x14ac:dyDescent="0.25">
      <c r="A92" s="1237" t="s">
        <v>547</v>
      </c>
      <c r="B92" s="1238"/>
      <c r="C92" s="557">
        <f>SUM(C93:C101)</f>
        <v>0</v>
      </c>
      <c r="D92" s="557">
        <f t="shared" ref="D92:H92" si="18">SUM(D93:D101)</f>
        <v>0</v>
      </c>
      <c r="E92" s="557">
        <f t="shared" si="18"/>
        <v>0</v>
      </c>
      <c r="F92" s="557">
        <f t="shared" si="18"/>
        <v>0</v>
      </c>
      <c r="G92" s="557">
        <f t="shared" si="18"/>
        <v>0</v>
      </c>
      <c r="H92" s="557">
        <f t="shared" si="18"/>
        <v>0</v>
      </c>
    </row>
    <row r="93" spans="1:8" x14ac:dyDescent="0.25">
      <c r="A93" s="670"/>
      <c r="B93" s="592" t="s">
        <v>548</v>
      </c>
      <c r="C93" s="559"/>
      <c r="D93" s="559"/>
      <c r="E93" s="557">
        <f t="shared" ref="E93:E101" si="19">C93+D93</f>
        <v>0</v>
      </c>
      <c r="F93" s="559"/>
      <c r="G93" s="559"/>
      <c r="H93" s="558">
        <f t="shared" si="17"/>
        <v>0</v>
      </c>
    </row>
    <row r="94" spans="1:8" x14ac:dyDescent="0.25">
      <c r="A94" s="670"/>
      <c r="B94" s="592" t="s">
        <v>549</v>
      </c>
      <c r="C94" s="559"/>
      <c r="D94" s="559"/>
      <c r="E94" s="557">
        <f t="shared" si="19"/>
        <v>0</v>
      </c>
      <c r="F94" s="559"/>
      <c r="G94" s="559"/>
      <c r="H94" s="558">
        <f t="shared" si="17"/>
        <v>0</v>
      </c>
    </row>
    <row r="95" spans="1:8" x14ac:dyDescent="0.25">
      <c r="A95" s="670"/>
      <c r="B95" s="592" t="s">
        <v>550</v>
      </c>
      <c r="C95" s="559"/>
      <c r="D95" s="559"/>
      <c r="E95" s="557">
        <f t="shared" si="19"/>
        <v>0</v>
      </c>
      <c r="F95" s="559"/>
      <c r="G95" s="559"/>
      <c r="H95" s="558">
        <f t="shared" si="17"/>
        <v>0</v>
      </c>
    </row>
    <row r="96" spans="1:8" x14ac:dyDescent="0.25">
      <c r="A96" s="670"/>
      <c r="B96" s="592" t="s">
        <v>551</v>
      </c>
      <c r="C96" s="559"/>
      <c r="D96" s="559"/>
      <c r="E96" s="557">
        <f t="shared" si="19"/>
        <v>0</v>
      </c>
      <c r="F96" s="559"/>
      <c r="G96" s="559"/>
      <c r="H96" s="558">
        <f t="shared" si="17"/>
        <v>0</v>
      </c>
    </row>
    <row r="97" spans="1:8" x14ac:dyDescent="0.25">
      <c r="A97" s="670"/>
      <c r="B97" s="592" t="s">
        <v>552</v>
      </c>
      <c r="C97" s="559"/>
      <c r="D97" s="559"/>
      <c r="E97" s="557">
        <f t="shared" si="19"/>
        <v>0</v>
      </c>
      <c r="F97" s="559"/>
      <c r="G97" s="559"/>
      <c r="H97" s="558">
        <f t="shared" si="17"/>
        <v>0</v>
      </c>
    </row>
    <row r="98" spans="1:8" x14ac:dyDescent="0.25">
      <c r="A98" s="670"/>
      <c r="B98" s="592" t="s">
        <v>553</v>
      </c>
      <c r="C98" s="559"/>
      <c r="D98" s="559"/>
      <c r="E98" s="557">
        <f t="shared" si="19"/>
        <v>0</v>
      </c>
      <c r="F98" s="559"/>
      <c r="G98" s="559"/>
      <c r="H98" s="558">
        <f t="shared" si="17"/>
        <v>0</v>
      </c>
    </row>
    <row r="99" spans="1:8" x14ac:dyDescent="0.25">
      <c r="A99" s="670"/>
      <c r="B99" s="592" t="s">
        <v>554</v>
      </c>
      <c r="C99" s="559"/>
      <c r="D99" s="559"/>
      <c r="E99" s="557">
        <f t="shared" si="19"/>
        <v>0</v>
      </c>
      <c r="F99" s="559"/>
      <c r="G99" s="559"/>
      <c r="H99" s="558">
        <f t="shared" si="17"/>
        <v>0</v>
      </c>
    </row>
    <row r="100" spans="1:8" x14ac:dyDescent="0.25">
      <c r="A100" s="670"/>
      <c r="B100" s="592" t="s">
        <v>555</v>
      </c>
      <c r="C100" s="559"/>
      <c r="D100" s="559"/>
      <c r="E100" s="557">
        <f t="shared" si="19"/>
        <v>0</v>
      </c>
      <c r="F100" s="559"/>
      <c r="G100" s="559"/>
      <c r="H100" s="558">
        <f t="shared" si="17"/>
        <v>0</v>
      </c>
    </row>
    <row r="101" spans="1:8" x14ac:dyDescent="0.25">
      <c r="A101" s="670"/>
      <c r="B101" s="592" t="s">
        <v>556</v>
      </c>
      <c r="C101" s="559"/>
      <c r="D101" s="559"/>
      <c r="E101" s="557">
        <f t="shared" si="19"/>
        <v>0</v>
      </c>
      <c r="F101" s="559"/>
      <c r="G101" s="559"/>
      <c r="H101" s="558">
        <f t="shared" si="17"/>
        <v>0</v>
      </c>
    </row>
    <row r="102" spans="1:8" x14ac:dyDescent="0.25">
      <c r="A102" s="1237" t="s">
        <v>557</v>
      </c>
      <c r="B102" s="1238"/>
      <c r="C102" s="557">
        <f>SUM(C103:C111)</f>
        <v>0</v>
      </c>
      <c r="D102" s="557">
        <f t="shared" ref="D102:H102" si="20">SUM(D103:D111)</f>
        <v>0</v>
      </c>
      <c r="E102" s="557">
        <f t="shared" si="20"/>
        <v>0</v>
      </c>
      <c r="F102" s="557">
        <f t="shared" si="20"/>
        <v>0</v>
      </c>
      <c r="G102" s="557">
        <f t="shared" si="20"/>
        <v>0</v>
      </c>
      <c r="H102" s="557">
        <f t="shared" si="20"/>
        <v>0</v>
      </c>
    </row>
    <row r="103" spans="1:8" x14ac:dyDescent="0.25">
      <c r="A103" s="670"/>
      <c r="B103" s="592" t="s">
        <v>558</v>
      </c>
      <c r="C103" s="559"/>
      <c r="D103" s="559"/>
      <c r="E103" s="557">
        <f t="shared" ref="E103:E111" si="21">C103+D103</f>
        <v>0</v>
      </c>
      <c r="F103" s="559"/>
      <c r="G103" s="559"/>
      <c r="H103" s="558">
        <f t="shared" si="17"/>
        <v>0</v>
      </c>
    </row>
    <row r="104" spans="1:8" x14ac:dyDescent="0.25">
      <c r="A104" s="670"/>
      <c r="B104" s="592" t="s">
        <v>559</v>
      </c>
      <c r="C104" s="559"/>
      <c r="D104" s="559"/>
      <c r="E104" s="557">
        <f t="shared" si="21"/>
        <v>0</v>
      </c>
      <c r="F104" s="559"/>
      <c r="G104" s="559"/>
      <c r="H104" s="558">
        <f t="shared" si="17"/>
        <v>0</v>
      </c>
    </row>
    <row r="105" spans="1:8" x14ac:dyDescent="0.25">
      <c r="A105" s="670"/>
      <c r="B105" s="592" t="s">
        <v>560</v>
      </c>
      <c r="C105" s="559"/>
      <c r="D105" s="559"/>
      <c r="E105" s="557">
        <f t="shared" si="21"/>
        <v>0</v>
      </c>
      <c r="F105" s="559"/>
      <c r="G105" s="559"/>
      <c r="H105" s="558">
        <f t="shared" si="17"/>
        <v>0</v>
      </c>
    </row>
    <row r="106" spans="1:8" x14ac:dyDescent="0.25">
      <c r="A106" s="670"/>
      <c r="B106" s="592" t="s">
        <v>561</v>
      </c>
      <c r="C106" s="559"/>
      <c r="D106" s="559"/>
      <c r="E106" s="557">
        <f t="shared" si="21"/>
        <v>0</v>
      </c>
      <c r="F106" s="559"/>
      <c r="G106" s="559"/>
      <c r="H106" s="558">
        <f t="shared" si="17"/>
        <v>0</v>
      </c>
    </row>
    <row r="107" spans="1:8" ht="15.75" thickBot="1" x14ac:dyDescent="0.3">
      <c r="A107" s="591"/>
      <c r="B107" s="531" t="s">
        <v>562</v>
      </c>
      <c r="C107" s="571"/>
      <c r="D107" s="571"/>
      <c r="E107" s="572">
        <f t="shared" si="21"/>
        <v>0</v>
      </c>
      <c r="F107" s="571"/>
      <c r="G107" s="571"/>
      <c r="H107" s="573">
        <f t="shared" si="17"/>
        <v>0</v>
      </c>
    </row>
    <row r="108" spans="1:8" x14ac:dyDescent="0.25">
      <c r="A108" s="670"/>
      <c r="B108" s="592" t="s">
        <v>563</v>
      </c>
      <c r="C108" s="559"/>
      <c r="D108" s="559"/>
      <c r="E108" s="557">
        <f t="shared" si="21"/>
        <v>0</v>
      </c>
      <c r="F108" s="559"/>
      <c r="G108" s="559"/>
      <c r="H108" s="558">
        <f t="shared" si="17"/>
        <v>0</v>
      </c>
    </row>
    <row r="109" spans="1:8" x14ac:dyDescent="0.25">
      <c r="A109" s="670"/>
      <c r="B109" s="592" t="s">
        <v>564</v>
      </c>
      <c r="C109" s="559"/>
      <c r="D109" s="559"/>
      <c r="E109" s="557">
        <f t="shared" si="21"/>
        <v>0</v>
      </c>
      <c r="F109" s="559"/>
      <c r="G109" s="559"/>
      <c r="H109" s="558">
        <f t="shared" si="17"/>
        <v>0</v>
      </c>
    </row>
    <row r="110" spans="1:8" x14ac:dyDescent="0.25">
      <c r="A110" s="670"/>
      <c r="B110" s="592" t="s">
        <v>565</v>
      </c>
      <c r="C110" s="559"/>
      <c r="D110" s="559"/>
      <c r="E110" s="557">
        <f t="shared" si="21"/>
        <v>0</v>
      </c>
      <c r="F110" s="559"/>
      <c r="G110" s="559"/>
      <c r="H110" s="558">
        <f t="shared" si="17"/>
        <v>0</v>
      </c>
    </row>
    <row r="111" spans="1:8" x14ac:dyDescent="0.25">
      <c r="A111" s="670"/>
      <c r="B111" s="592" t="s">
        <v>566</v>
      </c>
      <c r="C111" s="559"/>
      <c r="D111" s="559"/>
      <c r="E111" s="557">
        <f t="shared" si="21"/>
        <v>0</v>
      </c>
      <c r="F111" s="559"/>
      <c r="G111" s="559"/>
      <c r="H111" s="558">
        <f t="shared" si="17"/>
        <v>0</v>
      </c>
    </row>
    <row r="112" spans="1:8" x14ac:dyDescent="0.25">
      <c r="A112" s="1237" t="s">
        <v>567</v>
      </c>
      <c r="B112" s="1238"/>
      <c r="C112" s="557">
        <f>SUM(C113:C121)</f>
        <v>0</v>
      </c>
      <c r="D112" s="557">
        <f t="shared" ref="D112:H112" si="22">SUM(D113:D121)</f>
        <v>0</v>
      </c>
      <c r="E112" s="557">
        <f t="shared" si="22"/>
        <v>0</v>
      </c>
      <c r="F112" s="557">
        <f t="shared" si="22"/>
        <v>0</v>
      </c>
      <c r="G112" s="557">
        <f t="shared" si="22"/>
        <v>0</v>
      </c>
      <c r="H112" s="557">
        <f t="shared" si="22"/>
        <v>0</v>
      </c>
    </row>
    <row r="113" spans="1:8" x14ac:dyDescent="0.25">
      <c r="A113" s="670"/>
      <c r="B113" s="592" t="s">
        <v>568</v>
      </c>
      <c r="C113" s="559"/>
      <c r="D113" s="559"/>
      <c r="E113" s="557">
        <f t="shared" ref="E113:E121" si="23">C113+D113</f>
        <v>0</v>
      </c>
      <c r="F113" s="559"/>
      <c r="G113" s="559"/>
      <c r="H113" s="558">
        <f t="shared" si="17"/>
        <v>0</v>
      </c>
    </row>
    <row r="114" spans="1:8" x14ac:dyDescent="0.25">
      <c r="A114" s="670"/>
      <c r="B114" s="592" t="s">
        <v>569</v>
      </c>
      <c r="C114" s="559"/>
      <c r="D114" s="559"/>
      <c r="E114" s="557">
        <f t="shared" si="23"/>
        <v>0</v>
      </c>
      <c r="F114" s="559"/>
      <c r="G114" s="559"/>
      <c r="H114" s="558">
        <f t="shared" si="17"/>
        <v>0</v>
      </c>
    </row>
    <row r="115" spans="1:8" x14ac:dyDescent="0.25">
      <c r="A115" s="670"/>
      <c r="B115" s="592" t="s">
        <v>570</v>
      </c>
      <c r="C115" s="559"/>
      <c r="D115" s="559"/>
      <c r="E115" s="557">
        <f t="shared" si="23"/>
        <v>0</v>
      </c>
      <c r="F115" s="559"/>
      <c r="G115" s="559"/>
      <c r="H115" s="558">
        <f t="shared" si="17"/>
        <v>0</v>
      </c>
    </row>
    <row r="116" spans="1:8" x14ac:dyDescent="0.25">
      <c r="A116" s="670"/>
      <c r="B116" s="592" t="s">
        <v>571</v>
      </c>
      <c r="C116" s="559"/>
      <c r="D116" s="559"/>
      <c r="E116" s="557">
        <f t="shared" si="23"/>
        <v>0</v>
      </c>
      <c r="F116" s="559"/>
      <c r="G116" s="559"/>
      <c r="H116" s="558">
        <f t="shared" si="17"/>
        <v>0</v>
      </c>
    </row>
    <row r="117" spans="1:8" x14ac:dyDescent="0.25">
      <c r="A117" s="670"/>
      <c r="B117" s="592" t="s">
        <v>572</v>
      </c>
      <c r="C117" s="559"/>
      <c r="D117" s="559"/>
      <c r="E117" s="557">
        <f t="shared" si="23"/>
        <v>0</v>
      </c>
      <c r="F117" s="559"/>
      <c r="G117" s="559"/>
      <c r="H117" s="558">
        <f t="shared" si="17"/>
        <v>0</v>
      </c>
    </row>
    <row r="118" spans="1:8" x14ac:dyDescent="0.25">
      <c r="A118" s="670"/>
      <c r="B118" s="592" t="s">
        <v>573</v>
      </c>
      <c r="C118" s="559"/>
      <c r="D118" s="559"/>
      <c r="E118" s="557">
        <f t="shared" si="23"/>
        <v>0</v>
      </c>
      <c r="F118" s="559"/>
      <c r="G118" s="559"/>
      <c r="H118" s="558">
        <f t="shared" si="17"/>
        <v>0</v>
      </c>
    </row>
    <row r="119" spans="1:8" x14ac:dyDescent="0.25">
      <c r="A119" s="670"/>
      <c r="B119" s="592" t="s">
        <v>574</v>
      </c>
      <c r="C119" s="559"/>
      <c r="D119" s="559"/>
      <c r="E119" s="557">
        <f t="shared" si="23"/>
        <v>0</v>
      </c>
      <c r="F119" s="559"/>
      <c r="G119" s="559"/>
      <c r="H119" s="558">
        <f t="shared" si="17"/>
        <v>0</v>
      </c>
    </row>
    <row r="120" spans="1:8" x14ac:dyDescent="0.25">
      <c r="A120" s="670"/>
      <c r="B120" s="592" t="s">
        <v>575</v>
      </c>
      <c r="C120" s="559"/>
      <c r="D120" s="559"/>
      <c r="E120" s="557">
        <f t="shared" si="23"/>
        <v>0</v>
      </c>
      <c r="F120" s="559"/>
      <c r="G120" s="559"/>
      <c r="H120" s="558">
        <f t="shared" si="17"/>
        <v>0</v>
      </c>
    </row>
    <row r="121" spans="1:8" x14ac:dyDescent="0.25">
      <c r="A121" s="670"/>
      <c r="B121" s="592" t="s">
        <v>576</v>
      </c>
      <c r="C121" s="559"/>
      <c r="D121" s="559"/>
      <c r="E121" s="557">
        <f t="shared" si="23"/>
        <v>0</v>
      </c>
      <c r="F121" s="559"/>
      <c r="G121" s="559"/>
      <c r="H121" s="558">
        <f t="shared" si="17"/>
        <v>0</v>
      </c>
    </row>
    <row r="122" spans="1:8" x14ac:dyDescent="0.25">
      <c r="A122" s="1237" t="s">
        <v>577</v>
      </c>
      <c r="B122" s="1238"/>
      <c r="C122" s="557">
        <f>SUM(C123:C131)</f>
        <v>0</v>
      </c>
      <c r="D122" s="557">
        <f t="shared" ref="D122:H122" si="24">SUM(D123:D131)</f>
        <v>0</v>
      </c>
      <c r="E122" s="557">
        <f t="shared" si="24"/>
        <v>0</v>
      </c>
      <c r="F122" s="557">
        <f t="shared" si="24"/>
        <v>0</v>
      </c>
      <c r="G122" s="557">
        <f t="shared" si="24"/>
        <v>0</v>
      </c>
      <c r="H122" s="557">
        <f t="shared" si="24"/>
        <v>0</v>
      </c>
    </row>
    <row r="123" spans="1:8" x14ac:dyDescent="0.25">
      <c r="A123" s="670"/>
      <c r="B123" s="592" t="s">
        <v>578</v>
      </c>
      <c r="C123" s="559">
        <v>0</v>
      </c>
      <c r="D123" s="559"/>
      <c r="E123" s="557">
        <f t="shared" ref="E123:E131" si="25">C123+D123</f>
        <v>0</v>
      </c>
      <c r="F123" s="559"/>
      <c r="G123" s="559"/>
      <c r="H123" s="558">
        <f t="shared" si="17"/>
        <v>0</v>
      </c>
    </row>
    <row r="124" spans="1:8" x14ac:dyDescent="0.25">
      <c r="A124" s="670"/>
      <c r="B124" s="592" t="s">
        <v>579</v>
      </c>
      <c r="C124" s="559"/>
      <c r="D124" s="559"/>
      <c r="E124" s="557">
        <f t="shared" si="25"/>
        <v>0</v>
      </c>
      <c r="F124" s="559"/>
      <c r="G124" s="559"/>
      <c r="H124" s="558">
        <f t="shared" si="17"/>
        <v>0</v>
      </c>
    </row>
    <row r="125" spans="1:8" x14ac:dyDescent="0.25">
      <c r="A125" s="670"/>
      <c r="B125" s="592" t="s">
        <v>580</v>
      </c>
      <c r="C125" s="559"/>
      <c r="D125" s="559"/>
      <c r="E125" s="557">
        <f t="shared" si="25"/>
        <v>0</v>
      </c>
      <c r="F125" s="559"/>
      <c r="G125" s="559"/>
      <c r="H125" s="558">
        <f t="shared" si="17"/>
        <v>0</v>
      </c>
    </row>
    <row r="126" spans="1:8" x14ac:dyDescent="0.25">
      <c r="A126" s="670"/>
      <c r="B126" s="592" t="s">
        <v>581</v>
      </c>
      <c r="C126" s="559"/>
      <c r="D126" s="559"/>
      <c r="E126" s="557">
        <f t="shared" si="25"/>
        <v>0</v>
      </c>
      <c r="F126" s="559"/>
      <c r="G126" s="559"/>
      <c r="H126" s="558">
        <f t="shared" si="17"/>
        <v>0</v>
      </c>
    </row>
    <row r="127" spans="1:8" x14ac:dyDescent="0.25">
      <c r="A127" s="670"/>
      <c r="B127" s="592" t="s">
        <v>582</v>
      </c>
      <c r="C127" s="559"/>
      <c r="D127" s="559"/>
      <c r="E127" s="557">
        <f t="shared" si="25"/>
        <v>0</v>
      </c>
      <c r="F127" s="559"/>
      <c r="G127" s="559"/>
      <c r="H127" s="558">
        <f t="shared" si="17"/>
        <v>0</v>
      </c>
    </row>
    <row r="128" spans="1:8" x14ac:dyDescent="0.25">
      <c r="A128" s="670"/>
      <c r="B128" s="592" t="s">
        <v>583</v>
      </c>
      <c r="C128" s="559"/>
      <c r="D128" s="559"/>
      <c r="E128" s="557">
        <f t="shared" si="25"/>
        <v>0</v>
      </c>
      <c r="F128" s="559"/>
      <c r="G128" s="559"/>
      <c r="H128" s="558">
        <f t="shared" si="17"/>
        <v>0</v>
      </c>
    </row>
    <row r="129" spans="1:8" x14ac:dyDescent="0.25">
      <c r="A129" s="670"/>
      <c r="B129" s="592" t="s">
        <v>584</v>
      </c>
      <c r="C129" s="559"/>
      <c r="D129" s="559"/>
      <c r="E129" s="557">
        <f t="shared" si="25"/>
        <v>0</v>
      </c>
      <c r="F129" s="559"/>
      <c r="G129" s="559"/>
      <c r="H129" s="558">
        <f t="shared" si="17"/>
        <v>0</v>
      </c>
    </row>
    <row r="130" spans="1:8" x14ac:dyDescent="0.25">
      <c r="A130" s="670"/>
      <c r="B130" s="592" t="s">
        <v>585</v>
      </c>
      <c r="C130" s="559"/>
      <c r="D130" s="559"/>
      <c r="E130" s="557">
        <f t="shared" si="25"/>
        <v>0</v>
      </c>
      <c r="F130" s="559"/>
      <c r="G130" s="559"/>
      <c r="H130" s="558">
        <f t="shared" si="17"/>
        <v>0</v>
      </c>
    </row>
    <row r="131" spans="1:8" x14ac:dyDescent="0.25">
      <c r="A131" s="670"/>
      <c r="B131" s="592" t="s">
        <v>586</v>
      </c>
      <c r="C131" s="559"/>
      <c r="D131" s="559"/>
      <c r="E131" s="557">
        <f t="shared" si="25"/>
        <v>0</v>
      </c>
      <c r="F131" s="559"/>
      <c r="G131" s="559"/>
      <c r="H131" s="558">
        <f t="shared" si="17"/>
        <v>0</v>
      </c>
    </row>
    <row r="132" spans="1:8" x14ac:dyDescent="0.25">
      <c r="A132" s="1237" t="s">
        <v>587</v>
      </c>
      <c r="B132" s="1238"/>
      <c r="C132" s="557">
        <f>SUM(C133:C135)</f>
        <v>114999999.995</v>
      </c>
      <c r="D132" s="557">
        <f t="shared" ref="D132:H132" si="26">SUM(D133:D135)</f>
        <v>3037575778.5100002</v>
      </c>
      <c r="E132" s="557">
        <f t="shared" si="26"/>
        <v>3152575778.5050001</v>
      </c>
      <c r="F132" s="557">
        <f t="shared" si="26"/>
        <v>1734650319.29</v>
      </c>
      <c r="G132" s="557">
        <f t="shared" si="26"/>
        <v>1711966486.6399999</v>
      </c>
      <c r="H132" s="557">
        <f t="shared" si="26"/>
        <v>1417925459.2150002</v>
      </c>
    </row>
    <row r="133" spans="1:8" x14ac:dyDescent="0.25">
      <c r="A133" s="670"/>
      <c r="B133" s="592" t="s">
        <v>588</v>
      </c>
      <c r="C133" s="559">
        <v>114999999.995</v>
      </c>
      <c r="D133" s="559">
        <v>3037575778.5100002</v>
      </c>
      <c r="E133" s="557">
        <f t="shared" ref="E133:E135" si="27">C133+D133</f>
        <v>3152575778.5050001</v>
      </c>
      <c r="F133" s="559">
        <v>1734650319.29</v>
      </c>
      <c r="G133" s="559">
        <v>1711966486.6399999</v>
      </c>
      <c r="H133" s="558">
        <f t="shared" si="17"/>
        <v>1417925459.2150002</v>
      </c>
    </row>
    <row r="134" spans="1:8" x14ac:dyDescent="0.25">
      <c r="A134" s="670"/>
      <c r="B134" s="592" t="s">
        <v>589</v>
      </c>
      <c r="C134" s="559"/>
      <c r="D134" s="559"/>
      <c r="E134" s="557">
        <f t="shared" si="27"/>
        <v>0</v>
      </c>
      <c r="F134" s="559"/>
      <c r="G134" s="559"/>
      <c r="H134" s="558">
        <f t="shared" si="17"/>
        <v>0</v>
      </c>
    </row>
    <row r="135" spans="1:8" x14ac:dyDescent="0.25">
      <c r="A135" s="670"/>
      <c r="B135" s="592" t="s">
        <v>590</v>
      </c>
      <c r="C135" s="559"/>
      <c r="D135" s="559"/>
      <c r="E135" s="557">
        <f t="shared" si="27"/>
        <v>0</v>
      </c>
      <c r="F135" s="559"/>
      <c r="G135" s="559"/>
      <c r="H135" s="558">
        <f t="shared" si="17"/>
        <v>0</v>
      </c>
    </row>
    <row r="136" spans="1:8" x14ac:dyDescent="0.25">
      <c r="A136" s="1237" t="s">
        <v>591</v>
      </c>
      <c r="B136" s="1238"/>
      <c r="C136" s="557">
        <f>SUM(C137:C144)</f>
        <v>0</v>
      </c>
      <c r="D136" s="557">
        <f t="shared" ref="D136:H136" si="28">SUM(D137:D144)</f>
        <v>0</v>
      </c>
      <c r="E136" s="557">
        <f t="shared" si="28"/>
        <v>0</v>
      </c>
      <c r="F136" s="557">
        <f t="shared" si="28"/>
        <v>0</v>
      </c>
      <c r="G136" s="557">
        <f t="shared" si="28"/>
        <v>0</v>
      </c>
      <c r="H136" s="557">
        <f t="shared" si="28"/>
        <v>0</v>
      </c>
    </row>
    <row r="137" spans="1:8" x14ac:dyDescent="0.25">
      <c r="A137" s="670"/>
      <c r="B137" s="592" t="s">
        <v>592</v>
      </c>
      <c r="C137" s="559"/>
      <c r="D137" s="559"/>
      <c r="E137" s="557">
        <f t="shared" ref="E137:E144" si="29">C137+D137</f>
        <v>0</v>
      </c>
      <c r="F137" s="559"/>
      <c r="G137" s="559"/>
      <c r="H137" s="558">
        <f t="shared" si="17"/>
        <v>0</v>
      </c>
    </row>
    <row r="138" spans="1:8" x14ac:dyDescent="0.25">
      <c r="A138" s="670"/>
      <c r="B138" s="592" t="s">
        <v>593</v>
      </c>
      <c r="C138" s="559"/>
      <c r="D138" s="559"/>
      <c r="E138" s="557">
        <f t="shared" si="29"/>
        <v>0</v>
      </c>
      <c r="F138" s="559"/>
      <c r="G138" s="559"/>
      <c r="H138" s="558">
        <f t="shared" si="17"/>
        <v>0</v>
      </c>
    </row>
    <row r="139" spans="1:8" x14ac:dyDescent="0.25">
      <c r="A139" s="670"/>
      <c r="B139" s="592" t="s">
        <v>594</v>
      </c>
      <c r="C139" s="559"/>
      <c r="D139" s="559"/>
      <c r="E139" s="557">
        <f t="shared" si="29"/>
        <v>0</v>
      </c>
      <c r="F139" s="559"/>
      <c r="G139" s="559"/>
      <c r="H139" s="558">
        <f t="shared" si="17"/>
        <v>0</v>
      </c>
    </row>
    <row r="140" spans="1:8" x14ac:dyDescent="0.25">
      <c r="A140" s="670"/>
      <c r="B140" s="592" t="s">
        <v>595</v>
      </c>
      <c r="C140" s="559"/>
      <c r="D140" s="559"/>
      <c r="E140" s="557">
        <f t="shared" si="29"/>
        <v>0</v>
      </c>
      <c r="F140" s="559"/>
      <c r="G140" s="559"/>
      <c r="H140" s="558">
        <f t="shared" si="17"/>
        <v>0</v>
      </c>
    </row>
    <row r="141" spans="1:8" x14ac:dyDescent="0.25">
      <c r="A141" s="670"/>
      <c r="B141" s="592" t="s">
        <v>596</v>
      </c>
      <c r="C141" s="559"/>
      <c r="D141" s="559"/>
      <c r="E141" s="557">
        <f t="shared" si="29"/>
        <v>0</v>
      </c>
      <c r="F141" s="559"/>
      <c r="G141" s="559"/>
      <c r="H141" s="558">
        <f t="shared" si="17"/>
        <v>0</v>
      </c>
    </row>
    <row r="142" spans="1:8" ht="15.75" thickBot="1" x14ac:dyDescent="0.3">
      <c r="A142" s="591"/>
      <c r="B142" s="531" t="s">
        <v>597</v>
      </c>
      <c r="C142" s="571"/>
      <c r="D142" s="571"/>
      <c r="E142" s="572">
        <f t="shared" si="29"/>
        <v>0</v>
      </c>
      <c r="F142" s="571"/>
      <c r="G142" s="571"/>
      <c r="H142" s="573">
        <f t="shared" si="17"/>
        <v>0</v>
      </c>
    </row>
    <row r="143" spans="1:8" x14ac:dyDescent="0.25">
      <c r="A143" s="670"/>
      <c r="B143" s="592" t="s">
        <v>598</v>
      </c>
      <c r="C143" s="559"/>
      <c r="D143" s="559"/>
      <c r="E143" s="557">
        <f t="shared" si="29"/>
        <v>0</v>
      </c>
      <c r="F143" s="559"/>
      <c r="G143" s="559"/>
      <c r="H143" s="558">
        <f t="shared" si="17"/>
        <v>0</v>
      </c>
    </row>
    <row r="144" spans="1:8" x14ac:dyDescent="0.25">
      <c r="A144" s="670"/>
      <c r="B144" s="592" t="s">
        <v>599</v>
      </c>
      <c r="C144" s="559"/>
      <c r="D144" s="559"/>
      <c r="E144" s="557">
        <f t="shared" si="29"/>
        <v>0</v>
      </c>
      <c r="F144" s="559"/>
      <c r="G144" s="559"/>
      <c r="H144" s="558">
        <f t="shared" si="17"/>
        <v>0</v>
      </c>
    </row>
    <row r="145" spans="1:9" x14ac:dyDescent="0.25">
      <c r="A145" s="1237" t="s">
        <v>600</v>
      </c>
      <c r="B145" s="1238"/>
      <c r="C145" s="557">
        <f>SUM(C146:C148)</f>
        <v>0</v>
      </c>
      <c r="D145" s="557">
        <f t="shared" ref="D145:H145" si="30">SUM(D146:D148)</f>
        <v>0</v>
      </c>
      <c r="E145" s="557">
        <f t="shared" si="30"/>
        <v>0</v>
      </c>
      <c r="F145" s="557">
        <f t="shared" si="30"/>
        <v>0</v>
      </c>
      <c r="G145" s="557">
        <f t="shared" si="30"/>
        <v>0</v>
      </c>
      <c r="H145" s="557">
        <f t="shared" si="30"/>
        <v>0</v>
      </c>
    </row>
    <row r="146" spans="1:9" x14ac:dyDescent="0.25">
      <c r="A146" s="670"/>
      <c r="B146" s="592" t="s">
        <v>601</v>
      </c>
      <c r="C146" s="559"/>
      <c r="D146" s="559"/>
      <c r="E146" s="557">
        <f t="shared" ref="E146:E148" si="31">C146+D146</f>
        <v>0</v>
      </c>
      <c r="F146" s="559"/>
      <c r="G146" s="559"/>
      <c r="H146" s="558">
        <f t="shared" si="17"/>
        <v>0</v>
      </c>
    </row>
    <row r="147" spans="1:9" x14ac:dyDescent="0.25">
      <c r="A147" s="670"/>
      <c r="B147" s="592" t="s">
        <v>602</v>
      </c>
      <c r="C147" s="559"/>
      <c r="D147" s="559"/>
      <c r="E147" s="557">
        <f t="shared" si="31"/>
        <v>0</v>
      </c>
      <c r="F147" s="559"/>
      <c r="G147" s="559"/>
      <c r="H147" s="558">
        <f t="shared" si="17"/>
        <v>0</v>
      </c>
    </row>
    <row r="148" spans="1:9" x14ac:dyDescent="0.25">
      <c r="A148" s="670"/>
      <c r="B148" s="592" t="s">
        <v>603</v>
      </c>
      <c r="C148" s="559"/>
      <c r="D148" s="559"/>
      <c r="E148" s="557">
        <f t="shared" si="31"/>
        <v>0</v>
      </c>
      <c r="F148" s="559"/>
      <c r="G148" s="559"/>
      <c r="H148" s="558">
        <f t="shared" si="17"/>
        <v>0</v>
      </c>
    </row>
    <row r="149" spans="1:9" x14ac:dyDescent="0.25">
      <c r="A149" s="1237" t="s">
        <v>604</v>
      </c>
      <c r="B149" s="1238"/>
      <c r="C149" s="557">
        <f>SUM(C150:C156)</f>
        <v>0</v>
      </c>
      <c r="D149" s="557">
        <f t="shared" ref="D149:H149" si="32">SUM(D150:D156)</f>
        <v>0</v>
      </c>
      <c r="E149" s="557">
        <f t="shared" si="32"/>
        <v>0</v>
      </c>
      <c r="F149" s="557">
        <f t="shared" si="32"/>
        <v>0</v>
      </c>
      <c r="G149" s="557">
        <f t="shared" si="32"/>
        <v>0</v>
      </c>
      <c r="H149" s="557">
        <f t="shared" si="32"/>
        <v>0</v>
      </c>
    </row>
    <row r="150" spans="1:9" x14ac:dyDescent="0.25">
      <c r="A150" s="670"/>
      <c r="B150" s="592" t="s">
        <v>605</v>
      </c>
      <c r="C150" s="559"/>
      <c r="D150" s="559"/>
      <c r="E150" s="557">
        <f t="shared" ref="E150:E157" si="33">C150+D150</f>
        <v>0</v>
      </c>
      <c r="F150" s="559"/>
      <c r="G150" s="559"/>
      <c r="H150" s="558">
        <f t="shared" ref="H150:H156" si="34">+E150-F150</f>
        <v>0</v>
      </c>
    </row>
    <row r="151" spans="1:9" x14ac:dyDescent="0.25">
      <c r="A151" s="670"/>
      <c r="B151" s="592" t="s">
        <v>606</v>
      </c>
      <c r="C151" s="559"/>
      <c r="D151" s="559"/>
      <c r="E151" s="557">
        <f t="shared" si="33"/>
        <v>0</v>
      </c>
      <c r="F151" s="559"/>
      <c r="G151" s="559"/>
      <c r="H151" s="558">
        <f t="shared" si="34"/>
        <v>0</v>
      </c>
    </row>
    <row r="152" spans="1:9" x14ac:dyDescent="0.25">
      <c r="A152" s="670"/>
      <c r="B152" s="592" t="s">
        <v>607</v>
      </c>
      <c r="C152" s="559"/>
      <c r="D152" s="559"/>
      <c r="E152" s="557">
        <f t="shared" si="33"/>
        <v>0</v>
      </c>
      <c r="F152" s="559"/>
      <c r="G152" s="559"/>
      <c r="H152" s="558">
        <f t="shared" si="34"/>
        <v>0</v>
      </c>
    </row>
    <row r="153" spans="1:9" x14ac:dyDescent="0.25">
      <c r="A153" s="670"/>
      <c r="B153" s="592" t="s">
        <v>608</v>
      </c>
      <c r="C153" s="559"/>
      <c r="D153" s="559"/>
      <c r="E153" s="557">
        <f t="shared" si="33"/>
        <v>0</v>
      </c>
      <c r="F153" s="559"/>
      <c r="G153" s="559"/>
      <c r="H153" s="558">
        <f t="shared" si="34"/>
        <v>0</v>
      </c>
    </row>
    <row r="154" spans="1:9" x14ac:dyDescent="0.25">
      <c r="A154" s="670"/>
      <c r="B154" s="592" t="s">
        <v>609</v>
      </c>
      <c r="C154" s="559"/>
      <c r="D154" s="559"/>
      <c r="E154" s="557">
        <f t="shared" si="33"/>
        <v>0</v>
      </c>
      <c r="F154" s="559"/>
      <c r="G154" s="559"/>
      <c r="H154" s="558">
        <f t="shared" si="34"/>
        <v>0</v>
      </c>
      <c r="I154" s="387" t="e">
        <f>IF((C158-#REF!)&gt;0.9,"ERROR!!!!! EL MONTO NO COINCIDE CON LO REPORTADO EN EL FORMATO ETCA-II-04 EN EL TOTAL DEL GASTO","")</f>
        <v>#REF!</v>
      </c>
    </row>
    <row r="155" spans="1:9" x14ac:dyDescent="0.25">
      <c r="A155" s="670"/>
      <c r="B155" s="592" t="s">
        <v>610</v>
      </c>
      <c r="C155" s="559"/>
      <c r="D155" s="559"/>
      <c r="E155" s="557">
        <f t="shared" si="33"/>
        <v>0</v>
      </c>
      <c r="F155" s="559"/>
      <c r="G155" s="559"/>
      <c r="H155" s="558">
        <f t="shared" si="34"/>
        <v>0</v>
      </c>
      <c r="I155" s="387" t="e">
        <f>IF((D158-#REF!)&gt;0.9,"ERROR!!!!! EL MONTO NO COINCIDE CON LO REPORTADO EN EL FORMATO ETCA-II-04 EN EL TOTAL DEL GASTO","")</f>
        <v>#REF!</v>
      </c>
    </row>
    <row r="156" spans="1:9" x14ac:dyDescent="0.25">
      <c r="A156" s="670"/>
      <c r="B156" s="592" t="s">
        <v>611</v>
      </c>
      <c r="C156" s="559"/>
      <c r="D156" s="559"/>
      <c r="E156" s="557">
        <f t="shared" si="33"/>
        <v>0</v>
      </c>
      <c r="F156" s="559"/>
      <c r="G156" s="559"/>
      <c r="H156" s="558">
        <f t="shared" si="34"/>
        <v>0</v>
      </c>
      <c r="I156" s="387" t="e">
        <f>IF((E158-#REF!)&gt;0.9,"ERROR!!!!! EL MONTO NO COINCIDE CON LO REPORTADO EN EL FORMATO ETCA-II-04 EN EL TOTAL DEL GASTO","")</f>
        <v>#REF!</v>
      </c>
    </row>
    <row r="157" spans="1:9" x14ac:dyDescent="0.25">
      <c r="A157" s="670"/>
      <c r="B157" s="592"/>
      <c r="C157" s="557"/>
      <c r="D157" s="557"/>
      <c r="E157" s="557">
        <f t="shared" si="33"/>
        <v>0</v>
      </c>
      <c r="F157" s="557"/>
      <c r="G157" s="557"/>
      <c r="H157" s="558"/>
      <c r="I157" s="387" t="e">
        <f>IF((H158-#REF!)&gt;0.9,"ERROR!!!!! EL MONTO NO COINCIDE CON LO REPORTADO EN EL FORMATO ETCA-II-04 EN EL TOTAL DEL GASTO","")</f>
        <v>#REF!</v>
      </c>
    </row>
    <row r="158" spans="1:9" x14ac:dyDescent="0.25">
      <c r="A158" s="1247" t="s">
        <v>613</v>
      </c>
      <c r="B158" s="1248"/>
      <c r="C158" s="556">
        <f>+C9+C83</f>
        <v>782667131.32148921</v>
      </c>
      <c r="D158" s="556">
        <f t="shared" ref="D158:H158" si="35">+D9+D83</f>
        <v>3347248838.5700002</v>
      </c>
      <c r="E158" s="556">
        <f t="shared" si="35"/>
        <v>4129915969.891489</v>
      </c>
      <c r="F158" s="556">
        <f t="shared" si="35"/>
        <v>2541414341.0099998</v>
      </c>
      <c r="G158" s="556">
        <f t="shared" si="35"/>
        <v>2472329010.5</v>
      </c>
      <c r="H158" s="556">
        <f t="shared" si="35"/>
        <v>1588501628.8814895</v>
      </c>
      <c r="I158" s="387" t="e">
        <f>IF((F158-#REF!)&gt;0.9,"ERROR!!!!! EL MONTO NO COINCIDE CON LO REPORTADO EN EL FORMATO ETCA-II-04 EN EL TOTAL DEL GASTO","")</f>
        <v>#REF!</v>
      </c>
    </row>
    <row r="159" spans="1:9" ht="15.75" thickBot="1" x14ac:dyDescent="0.3">
      <c r="A159" s="591"/>
      <c r="B159" s="531"/>
      <c r="C159" s="532"/>
      <c r="D159" s="532"/>
      <c r="E159" s="532"/>
      <c r="F159" s="532"/>
      <c r="G159" s="532"/>
      <c r="H159" s="533"/>
      <c r="I159" s="387" t="e">
        <f>IF((G158-#REF!)&gt;0.9,"ERROR!!!!! EL MONTO NO COINCIDE CON LO REPORTADO EN EL FORMATO ETCA-II-04 EN EL TOTAL DEL GASTO","")</f>
        <v>#REF!</v>
      </c>
    </row>
  </sheetData>
  <sheetProtection password="C115" sheet="1" scenarios="1" formatColumns="0" formatRows="0"/>
  <mergeCells count="29">
    <mergeCell ref="A158:B158"/>
    <mergeCell ref="A75:B75"/>
    <mergeCell ref="A83:B83"/>
    <mergeCell ref="A84:B84"/>
    <mergeCell ref="A92:B92"/>
    <mergeCell ref="A102:B102"/>
    <mergeCell ref="A112:B112"/>
    <mergeCell ref="A122:B122"/>
    <mergeCell ref="A132:B132"/>
    <mergeCell ref="A136:B136"/>
    <mergeCell ref="A145:B145"/>
    <mergeCell ref="A149:B149"/>
    <mergeCell ref="A71:B71"/>
    <mergeCell ref="A6:B7"/>
    <mergeCell ref="C6:G6"/>
    <mergeCell ref="H6:H7"/>
    <mergeCell ref="A9:B9"/>
    <mergeCell ref="A10:B10"/>
    <mergeCell ref="A18:B18"/>
    <mergeCell ref="A28:B28"/>
    <mergeCell ref="A38:B38"/>
    <mergeCell ref="A48:B48"/>
    <mergeCell ref="A58:B58"/>
    <mergeCell ref="A62:B62"/>
    <mergeCell ref="A5:H5"/>
    <mergeCell ref="A1:H1"/>
    <mergeCell ref="A2:H2"/>
    <mergeCell ref="A3:H3"/>
    <mergeCell ref="A4:H4"/>
  </mergeCells>
  <pageMargins left="0.31496062992125984" right="0" top="0.15748031496062992" bottom="0" header="0.31496062992125984" footer="0.31496062992125984"/>
  <pageSetup scale="71" orientation="portrait" horizontalDpi="1200" verticalDpi="1200" r:id="rId1"/>
  <rowBreaks count="2" manualBreakCount="2">
    <brk id="72" max="7" man="1"/>
    <brk id="142" max="7" man="1"/>
  </rowBreaks>
  <colBreaks count="1" manualBreakCount="1">
    <brk id="8"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4.9989318521683403E-2"/>
  </sheetPr>
  <dimension ref="A1:H40"/>
  <sheetViews>
    <sheetView view="pageBreakPreview" zoomScaleSheetLayoutView="100" workbookViewId="0">
      <selection activeCell="C56" sqref="C56"/>
    </sheetView>
  </sheetViews>
  <sheetFormatPr baseColWidth="10" defaultColWidth="11.28515625" defaultRowHeight="16.5" x14ac:dyDescent="0.25"/>
  <cols>
    <col min="1" max="1" width="36.7109375" style="88" customWidth="1"/>
    <col min="2" max="2" width="13.7109375" style="88" customWidth="1"/>
    <col min="3" max="3" width="12" style="88" customWidth="1"/>
    <col min="4" max="4" width="13" style="88" customWidth="1"/>
    <col min="5" max="5" width="13.7109375" style="88" customWidth="1"/>
    <col min="6" max="6" width="15.7109375" style="88" customWidth="1"/>
    <col min="7" max="7" width="12.140625" style="88" customWidth="1"/>
    <col min="8" max="16384" width="11.28515625" style="88"/>
  </cols>
  <sheetData>
    <row r="1" spans="1:8" x14ac:dyDescent="0.25">
      <c r="A1" s="1087" t="str">
        <f>'CPCA-I-01'!A1:G1</f>
        <v xml:space="preserve">Comision Estatal del Agua </v>
      </c>
      <c r="B1" s="1087"/>
      <c r="C1" s="1087"/>
      <c r="D1" s="1087"/>
      <c r="E1" s="1087"/>
      <c r="F1" s="1087"/>
      <c r="G1" s="1087"/>
    </row>
    <row r="2" spans="1:8" s="125" customFormat="1" ht="15.75" x14ac:dyDescent="0.25">
      <c r="A2" s="1087" t="s">
        <v>471</v>
      </c>
      <c r="B2" s="1087"/>
      <c r="C2" s="1087"/>
      <c r="D2" s="1087"/>
      <c r="E2" s="1087"/>
      <c r="F2" s="1087"/>
      <c r="G2" s="1087"/>
    </row>
    <row r="3" spans="1:8" s="125" customFormat="1" ht="15.75" x14ac:dyDescent="0.25">
      <c r="A3" s="1087" t="s">
        <v>614</v>
      </c>
      <c r="B3" s="1087"/>
      <c r="C3" s="1087"/>
      <c r="D3" s="1087"/>
      <c r="E3" s="1087"/>
      <c r="F3" s="1087"/>
      <c r="G3" s="1087"/>
    </row>
    <row r="4" spans="1:8" s="125" customFormat="1" x14ac:dyDescent="0.25">
      <c r="A4" s="1088" t="str">
        <f>'CPCA-I-03'!A3:D3</f>
        <v xml:space="preserve">Del  01 de Enero de 2023 al 31 de Diciembre de 2023 </v>
      </c>
      <c r="B4" s="1088"/>
      <c r="C4" s="1088"/>
      <c r="D4" s="1088"/>
      <c r="E4" s="1088"/>
      <c r="F4" s="1088"/>
      <c r="G4" s="1088"/>
    </row>
    <row r="5" spans="1:8" s="127" customFormat="1" ht="17.25" thickBot="1" x14ac:dyDescent="0.3">
      <c r="A5" s="1226" t="s">
        <v>918</v>
      </c>
      <c r="B5" s="1226"/>
      <c r="C5" s="1226"/>
      <c r="D5" s="1226"/>
      <c r="E5" s="1226"/>
      <c r="F5" s="126"/>
      <c r="G5" s="616"/>
    </row>
    <row r="6" spans="1:8" s="213" customFormat="1" ht="25.5" customHeight="1" x14ac:dyDescent="0.25">
      <c r="A6" s="1161" t="s">
        <v>243</v>
      </c>
      <c r="B6" s="1254" t="s">
        <v>1710</v>
      </c>
      <c r="C6" s="1255"/>
      <c r="D6" s="1255"/>
      <c r="E6" s="1255"/>
      <c r="F6" s="1256"/>
      <c r="G6" s="1252" t="s">
        <v>477</v>
      </c>
    </row>
    <row r="7" spans="1:8" s="213" customFormat="1" ht="28.5" customHeight="1" x14ac:dyDescent="0.25">
      <c r="A7" s="1163"/>
      <c r="B7" s="768" t="s">
        <v>813</v>
      </c>
      <c r="C7" s="768" t="s">
        <v>404</v>
      </c>
      <c r="D7" s="768" t="s">
        <v>1708</v>
      </c>
      <c r="E7" s="768" t="s">
        <v>406</v>
      </c>
      <c r="F7" s="768" t="s">
        <v>1709</v>
      </c>
      <c r="G7" s="1253"/>
    </row>
    <row r="8" spans="1:8" s="214" customFormat="1" ht="15.75" customHeight="1" thickBot="1" x14ac:dyDescent="0.3">
      <c r="A8" s="1165"/>
      <c r="B8" s="165" t="s">
        <v>1702</v>
      </c>
      <c r="C8" s="165" t="s">
        <v>1703</v>
      </c>
      <c r="D8" s="165" t="s">
        <v>1698</v>
      </c>
      <c r="E8" s="165" t="s">
        <v>1704</v>
      </c>
      <c r="F8" s="165" t="s">
        <v>1705</v>
      </c>
      <c r="G8" s="167" t="s">
        <v>1706</v>
      </c>
    </row>
    <row r="9" spans="1:8" ht="21.75" customHeight="1" x14ac:dyDescent="0.25">
      <c r="A9" s="219" t="s">
        <v>615</v>
      </c>
      <c r="B9" s="336">
        <v>400419388.43638921</v>
      </c>
      <c r="C9" s="336">
        <v>215555798.56000003</v>
      </c>
      <c r="D9" s="337">
        <f>C9+B9</f>
        <v>615975186.99638927</v>
      </c>
      <c r="E9" s="336">
        <v>536674186.76999992</v>
      </c>
      <c r="F9" s="336">
        <v>500331441.45999998</v>
      </c>
      <c r="G9" s="354">
        <f>D9-E9</f>
        <v>79301000.226389349</v>
      </c>
    </row>
    <row r="10" spans="1:8" ht="22.5" customHeight="1" x14ac:dyDescent="0.25">
      <c r="A10" s="219" t="s">
        <v>616</v>
      </c>
      <c r="B10" s="336">
        <v>292247742.88510001</v>
      </c>
      <c r="C10" s="336">
        <v>3132023706.9500003</v>
      </c>
      <c r="D10" s="337">
        <f>C10+B10</f>
        <v>3424271449.8351002</v>
      </c>
      <c r="E10" s="336">
        <v>1934762251.8399999</v>
      </c>
      <c r="F10" s="336">
        <v>1903298618.23</v>
      </c>
      <c r="G10" s="354">
        <f>D10-E10</f>
        <v>1489509197.9951003</v>
      </c>
    </row>
    <row r="11" spans="1:8" ht="22.5" customHeight="1" x14ac:dyDescent="0.25">
      <c r="A11" s="219" t="s">
        <v>617</v>
      </c>
      <c r="B11" s="336">
        <v>90000000</v>
      </c>
      <c r="C11" s="336">
        <v>-330666.93999997154</v>
      </c>
      <c r="D11" s="337">
        <f>C11+B11</f>
        <v>89669333.060000032</v>
      </c>
      <c r="E11" s="336">
        <v>69977902.400000006</v>
      </c>
      <c r="F11" s="336">
        <v>68698950.810000002</v>
      </c>
      <c r="G11" s="354">
        <f>D11-E11</f>
        <v>19691430.660000026</v>
      </c>
    </row>
    <row r="12" spans="1:8" ht="23.25" customHeight="1" x14ac:dyDescent="0.25">
      <c r="A12" s="219" t="s">
        <v>217</v>
      </c>
      <c r="B12" s="336"/>
      <c r="C12" s="336"/>
      <c r="D12" s="337">
        <f>C12+B12</f>
        <v>0</v>
      </c>
      <c r="E12" s="336"/>
      <c r="F12" s="336"/>
      <c r="G12" s="354">
        <f>D12-E12</f>
        <v>0</v>
      </c>
    </row>
    <row r="13" spans="1:8" ht="22.5" customHeight="1" x14ac:dyDescent="0.25">
      <c r="A13" s="219" t="s">
        <v>223</v>
      </c>
      <c r="B13" s="336"/>
      <c r="C13" s="336"/>
      <c r="D13" s="337">
        <f>C13+B13</f>
        <v>0</v>
      </c>
      <c r="E13" s="336"/>
      <c r="F13" s="336"/>
      <c r="G13" s="354">
        <f>D13-E13</f>
        <v>0</v>
      </c>
    </row>
    <row r="14" spans="1:8" ht="10.5" customHeight="1" thickBot="1" x14ac:dyDescent="0.3">
      <c r="A14" s="220"/>
      <c r="B14" s="393"/>
      <c r="C14" s="393"/>
      <c r="D14" s="394"/>
      <c r="E14" s="393"/>
      <c r="F14" s="393"/>
      <c r="G14" s="395"/>
    </row>
    <row r="15" spans="1:8" ht="16.5" customHeight="1" thickBot="1" x14ac:dyDescent="0.3">
      <c r="A15" s="767" t="s">
        <v>1707</v>
      </c>
      <c r="B15" s="396">
        <f>SUM(B9:B14)</f>
        <v>782667131.32148921</v>
      </c>
      <c r="C15" s="396">
        <f>SUM(C9:C14)</f>
        <v>3347248838.5700002</v>
      </c>
      <c r="D15" s="397">
        <f>C15+B15</f>
        <v>4129915969.8914895</v>
      </c>
      <c r="E15" s="396">
        <f>SUM(E9:E14)</f>
        <v>2541414341.0099998</v>
      </c>
      <c r="F15" s="396">
        <f>SUM(F9:F14)</f>
        <v>2472329010.5</v>
      </c>
      <c r="G15" s="398">
        <f>D15-E15</f>
        <v>1588501628.8814898</v>
      </c>
      <c r="H15" s="387"/>
    </row>
    <row r="16" spans="1:8" ht="16.5" customHeight="1" x14ac:dyDescent="0.25">
      <c r="A16" s="373"/>
      <c r="B16" s="452"/>
      <c r="C16" s="452"/>
      <c r="D16" s="453"/>
      <c r="E16" s="452"/>
      <c r="F16" s="452"/>
      <c r="G16" s="452"/>
      <c r="H16" s="387"/>
    </row>
    <row r="17" spans="1:8" ht="16.5" customHeight="1" x14ac:dyDescent="0.25">
      <c r="A17" s="373"/>
      <c r="B17" s="452"/>
      <c r="C17" s="452"/>
      <c r="D17" s="453"/>
      <c r="E17" s="452"/>
      <c r="F17" s="452"/>
      <c r="G17" s="452"/>
      <c r="H17" s="387"/>
    </row>
    <row r="18" spans="1:8" ht="16.5" customHeight="1" x14ac:dyDescent="0.25">
      <c r="A18" s="373"/>
      <c r="B18" s="452"/>
      <c r="C18" s="452"/>
      <c r="D18" s="453"/>
      <c r="E18" s="452"/>
      <c r="F18" s="452"/>
      <c r="G18" s="452"/>
      <c r="H18" s="387"/>
    </row>
    <row r="19" spans="1:8" ht="16.5" customHeight="1" x14ac:dyDescent="0.25">
      <c r="A19" s="373"/>
      <c r="B19" s="452"/>
      <c r="C19" s="452"/>
      <c r="D19" s="453"/>
      <c r="E19" s="452"/>
      <c r="F19" s="452"/>
      <c r="G19" s="452"/>
      <c r="H19" s="387"/>
    </row>
    <row r="20" spans="1:8" ht="16.5" customHeight="1" x14ac:dyDescent="0.25">
      <c r="A20" s="373"/>
      <c r="B20" s="452"/>
      <c r="C20" s="452"/>
      <c r="D20" s="453"/>
      <c r="E20" s="452"/>
      <c r="F20" s="452"/>
      <c r="G20" s="452"/>
      <c r="H20" s="387"/>
    </row>
    <row r="21" spans="1:8" ht="16.5" customHeight="1" x14ac:dyDescent="0.25">
      <c r="A21" s="373"/>
      <c r="B21" s="452"/>
      <c r="C21" s="452"/>
      <c r="D21" s="453"/>
      <c r="E21" s="452"/>
      <c r="F21" s="452"/>
      <c r="G21" s="452"/>
      <c r="H21" s="387"/>
    </row>
    <row r="22" spans="1:8" ht="16.5" customHeight="1" x14ac:dyDescent="0.25">
      <c r="A22" s="373"/>
      <c r="B22" s="452"/>
      <c r="C22" s="452"/>
      <c r="D22" s="453"/>
      <c r="E22" s="452"/>
      <c r="F22" s="452"/>
      <c r="G22" s="452"/>
      <c r="H22" s="387"/>
    </row>
    <row r="23" spans="1:8" ht="16.5" customHeight="1" x14ac:dyDescent="0.25">
      <c r="A23" s="373"/>
      <c r="B23" s="452"/>
      <c r="C23" s="452"/>
      <c r="D23" s="453"/>
      <c r="E23" s="452"/>
      <c r="F23" s="452"/>
      <c r="G23" s="452"/>
      <c r="H23" s="387"/>
    </row>
    <row r="24" spans="1:8" ht="16.5" customHeight="1" x14ac:dyDescent="0.25">
      <c r="A24" s="373"/>
      <c r="B24" s="452"/>
      <c r="C24" s="452"/>
      <c r="D24" s="453"/>
      <c r="E24" s="452"/>
      <c r="F24" s="452"/>
      <c r="G24" s="452"/>
      <c r="H24" s="387"/>
    </row>
    <row r="25" spans="1:8" ht="16.5" customHeight="1" x14ac:dyDescent="0.25">
      <c r="A25" s="373"/>
      <c r="B25" s="452"/>
      <c r="C25" s="452"/>
      <c r="D25" s="453"/>
      <c r="E25" s="452"/>
      <c r="F25" s="452"/>
      <c r="G25" s="452"/>
      <c r="H25" s="387"/>
    </row>
    <row r="26" spans="1:8" ht="18.75" customHeight="1" x14ac:dyDescent="0.25">
      <c r="H26" s="387"/>
    </row>
    <row r="27" spans="1:8" s="216" customFormat="1" ht="15.75" x14ac:dyDescent="0.25">
      <c r="A27" s="1250" t="s">
        <v>618</v>
      </c>
      <c r="B27" s="1250"/>
      <c r="C27" s="1250"/>
      <c r="D27" s="1250"/>
      <c r="E27" s="1250"/>
      <c r="F27" s="1250"/>
      <c r="G27" s="215"/>
      <c r="H27" s="387"/>
    </row>
    <row r="28" spans="1:8" s="216" customFormat="1" ht="13.5" x14ac:dyDescent="0.25">
      <c r="A28" s="217" t="s">
        <v>619</v>
      </c>
      <c r="B28" s="215"/>
      <c r="C28" s="215"/>
      <c r="D28" s="215"/>
      <c r="E28" s="215"/>
      <c r="F28" s="215"/>
      <c r="G28" s="215"/>
      <c r="H28" s="387"/>
    </row>
    <row r="29" spans="1:8" s="216" customFormat="1" ht="28.5" customHeight="1" x14ac:dyDescent="0.25">
      <c r="A29" s="1249" t="s">
        <v>620</v>
      </c>
      <c r="B29" s="1249"/>
      <c r="C29" s="1249"/>
      <c r="D29" s="1249"/>
      <c r="E29" s="1249"/>
      <c r="F29" s="1249"/>
      <c r="G29" s="1249"/>
      <c r="H29" s="387"/>
    </row>
    <row r="30" spans="1:8" s="216" customFormat="1" ht="13.5" x14ac:dyDescent="0.25">
      <c r="A30" s="217" t="s">
        <v>621</v>
      </c>
      <c r="B30" s="215"/>
      <c r="C30" s="215"/>
      <c r="D30" s="215"/>
      <c r="E30" s="215"/>
      <c r="F30" s="215"/>
      <c r="G30" s="215"/>
      <c r="H30" s="387"/>
    </row>
    <row r="31" spans="1:8" s="216" customFormat="1" ht="25.5" customHeight="1" x14ac:dyDescent="0.25">
      <c r="A31" s="1249" t="s">
        <v>622</v>
      </c>
      <c r="B31" s="1249"/>
      <c r="C31" s="1249"/>
      <c r="D31" s="1249"/>
      <c r="E31" s="1249"/>
      <c r="F31" s="1249"/>
      <c r="G31" s="1249"/>
    </row>
    <row r="32" spans="1:8" s="216" customFormat="1" ht="13.5" x14ac:dyDescent="0.25">
      <c r="A32" s="1251" t="s">
        <v>623</v>
      </c>
      <c r="B32" s="1251"/>
      <c r="C32" s="1251"/>
      <c r="D32" s="1251"/>
      <c r="E32" s="215"/>
      <c r="F32" s="215"/>
      <c r="G32" s="215"/>
    </row>
    <row r="33" spans="1:7" s="216" customFormat="1" ht="13.5" customHeight="1" x14ac:dyDescent="0.25">
      <c r="A33" s="1249" t="s">
        <v>624</v>
      </c>
      <c r="B33" s="1249"/>
      <c r="C33" s="1249"/>
      <c r="D33" s="1249"/>
      <c r="E33" s="1249"/>
      <c r="F33" s="1249"/>
      <c r="G33" s="1249"/>
    </row>
    <row r="34" spans="1:7" s="216" customFormat="1" ht="13.5" x14ac:dyDescent="0.25">
      <c r="A34" s="217" t="s">
        <v>625</v>
      </c>
      <c r="B34" s="215"/>
      <c r="C34" s="215"/>
      <c r="D34" s="215"/>
      <c r="E34" s="215"/>
      <c r="F34" s="215"/>
      <c r="G34" s="215"/>
    </row>
    <row r="35" spans="1:7" s="216" customFormat="1" ht="13.5" customHeight="1" x14ac:dyDescent="0.25">
      <c r="A35" s="1249" t="s">
        <v>626</v>
      </c>
      <c r="B35" s="1249"/>
      <c r="C35" s="1249"/>
      <c r="D35" s="1249"/>
      <c r="E35" s="1249"/>
      <c r="F35" s="1249"/>
      <c r="G35" s="1249"/>
    </row>
    <row r="36" spans="1:7" s="216" customFormat="1" ht="13.5" x14ac:dyDescent="0.25">
      <c r="A36" s="218" t="s">
        <v>627</v>
      </c>
      <c r="B36" s="215"/>
      <c r="C36" s="215"/>
      <c r="D36" s="215"/>
      <c r="E36" s="215"/>
      <c r="F36" s="215"/>
      <c r="G36" s="215"/>
    </row>
    <row r="37" spans="1:7" s="216" customFormat="1" ht="13.5" x14ac:dyDescent="0.25">
      <c r="A37" s="217" t="s">
        <v>628</v>
      </c>
      <c r="B37" s="215"/>
      <c r="C37" s="215"/>
      <c r="D37" s="215"/>
      <c r="E37" s="215"/>
      <c r="F37" s="215"/>
      <c r="G37" s="215"/>
    </row>
    <row r="38" spans="1:7" s="216" customFormat="1" ht="13.5" customHeight="1" x14ac:dyDescent="0.25">
      <c r="A38" s="1249" t="s">
        <v>629</v>
      </c>
      <c r="B38" s="1249"/>
      <c r="C38" s="1249"/>
      <c r="D38" s="1249"/>
      <c r="E38" s="1249"/>
      <c r="F38" s="1249"/>
      <c r="G38" s="1249"/>
    </row>
    <row r="39" spans="1:7" s="216" customFormat="1" ht="13.5" x14ac:dyDescent="0.25">
      <c r="A39" s="218" t="s">
        <v>627</v>
      </c>
      <c r="B39" s="215"/>
      <c r="C39" s="215"/>
      <c r="D39" s="215"/>
      <c r="E39" s="215"/>
      <c r="F39" s="215"/>
      <c r="G39" s="215"/>
    </row>
    <row r="40" spans="1:7" ht="8.25" customHeight="1" x14ac:dyDescent="0.25"/>
  </sheetData>
  <sheetProtection formatColumns="0" formatRows="0" insertHyperlinks="0"/>
  <mergeCells count="15">
    <mergeCell ref="A6:A8"/>
    <mergeCell ref="A1:G1"/>
    <mergeCell ref="A2:G2"/>
    <mergeCell ref="A3:G3"/>
    <mergeCell ref="A4:G4"/>
    <mergeCell ref="A5:E5"/>
    <mergeCell ref="G6:G7"/>
    <mergeCell ref="B6:F6"/>
    <mergeCell ref="A35:G35"/>
    <mergeCell ref="A38:G38"/>
    <mergeCell ref="A27:F27"/>
    <mergeCell ref="A29:G29"/>
    <mergeCell ref="A31:G31"/>
    <mergeCell ref="A32:D32"/>
    <mergeCell ref="A33:G33"/>
  </mergeCells>
  <pageMargins left="0.39370078740157483" right="0.39370078740157483" top="0.74803149606299213" bottom="0.74803149606299213" header="0.31496062992125984" footer="0.31496062992125984"/>
  <pageSetup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tint="-4.9989318521683403E-2"/>
  </sheetPr>
  <dimension ref="A1:H37"/>
  <sheetViews>
    <sheetView view="pageBreakPreview" topLeftCell="A5" zoomScale="115" zoomScaleSheetLayoutView="115" workbookViewId="0">
      <selection activeCell="C56" sqref="C56"/>
    </sheetView>
  </sheetViews>
  <sheetFormatPr baseColWidth="10" defaultColWidth="11.28515625" defaultRowHeight="16.5" x14ac:dyDescent="0.25"/>
  <cols>
    <col min="1" max="1" width="39.85546875" style="88" customWidth="1"/>
    <col min="2" max="7" width="13.7109375" style="88" customWidth="1"/>
    <col min="8" max="16384" width="11.28515625" style="88"/>
  </cols>
  <sheetData>
    <row r="1" spans="1:7" x14ac:dyDescent="0.25">
      <c r="A1" s="1087" t="str">
        <f>'CPCA-I-01'!A1:G1</f>
        <v xml:space="preserve">Comision Estatal del Agua </v>
      </c>
      <c r="B1" s="1087"/>
      <c r="C1" s="1087"/>
      <c r="D1" s="1087"/>
      <c r="E1" s="1087"/>
      <c r="F1" s="1087"/>
      <c r="G1" s="1087"/>
    </row>
    <row r="2" spans="1:7" s="127" customFormat="1" x14ac:dyDescent="0.25">
      <c r="A2" s="1087" t="s">
        <v>471</v>
      </c>
      <c r="B2" s="1087"/>
      <c r="C2" s="1087"/>
      <c r="D2" s="1087"/>
      <c r="E2" s="1087"/>
      <c r="F2" s="1087"/>
      <c r="G2" s="1087"/>
    </row>
    <row r="3" spans="1:7" s="127" customFormat="1" x14ac:dyDescent="0.25">
      <c r="A3" s="1087" t="s">
        <v>630</v>
      </c>
      <c r="B3" s="1087"/>
      <c r="C3" s="1087"/>
      <c r="D3" s="1087"/>
      <c r="E3" s="1087"/>
      <c r="F3" s="1087"/>
      <c r="G3" s="1087"/>
    </row>
    <row r="4" spans="1:7" s="127" customFormat="1" x14ac:dyDescent="0.25">
      <c r="A4" s="1088" t="str">
        <f>'CPCA-I-03'!A3:D3</f>
        <v xml:space="preserve">Del  01 de Enero de 2023 al 31 de Diciembre de 2023 </v>
      </c>
      <c r="B4" s="1088"/>
      <c r="C4" s="1088"/>
      <c r="D4" s="1088"/>
      <c r="E4" s="1088"/>
      <c r="F4" s="1088"/>
      <c r="G4" s="1088"/>
    </row>
    <row r="5" spans="1:7" s="127" customFormat="1" ht="17.25" thickBot="1" x14ac:dyDescent="0.3">
      <c r="A5" s="1226" t="s">
        <v>919</v>
      </c>
      <c r="B5" s="1226"/>
      <c r="C5" s="1226"/>
      <c r="D5" s="1226"/>
      <c r="E5" s="1226"/>
      <c r="F5" s="126"/>
      <c r="G5" s="616"/>
    </row>
    <row r="6" spans="1:7" s="223" customFormat="1" ht="25.5" customHeight="1" x14ac:dyDescent="0.25">
      <c r="A6" s="1257" t="s">
        <v>243</v>
      </c>
      <c r="B6" s="1260" t="s">
        <v>1714</v>
      </c>
      <c r="C6" s="1261"/>
      <c r="D6" s="1261"/>
      <c r="E6" s="1261"/>
      <c r="F6" s="1262"/>
      <c r="G6" s="1252" t="s">
        <v>477</v>
      </c>
    </row>
    <row r="7" spans="1:7" s="223" customFormat="1" ht="25.5" x14ac:dyDescent="0.25">
      <c r="A7" s="1258"/>
      <c r="B7" s="768" t="s">
        <v>1711</v>
      </c>
      <c r="C7" s="768" t="s">
        <v>404</v>
      </c>
      <c r="D7" s="768" t="s">
        <v>1712</v>
      </c>
      <c r="E7" s="768" t="s">
        <v>1713</v>
      </c>
      <c r="F7" s="768" t="s">
        <v>632</v>
      </c>
      <c r="G7" s="1253"/>
    </row>
    <row r="8" spans="1:7" s="226" customFormat="1" ht="17.25" thickBot="1" x14ac:dyDescent="0.3">
      <c r="A8" s="1259"/>
      <c r="B8" s="224" t="s">
        <v>1702</v>
      </c>
      <c r="C8" s="224" t="s">
        <v>1703</v>
      </c>
      <c r="D8" s="224" t="s">
        <v>1698</v>
      </c>
      <c r="E8" s="224" t="s">
        <v>1704</v>
      </c>
      <c r="F8" s="224" t="s">
        <v>1705</v>
      </c>
      <c r="G8" s="225" t="s">
        <v>1699</v>
      </c>
    </row>
    <row r="9" spans="1:7" ht="21" customHeight="1" x14ac:dyDescent="0.25">
      <c r="A9" s="227" t="s">
        <v>6398</v>
      </c>
      <c r="B9" s="336">
        <v>3624552.2033333331</v>
      </c>
      <c r="C9" s="942">
        <v>154871.1</v>
      </c>
      <c r="D9" s="942">
        <f>IF($A9="","",B9+C9)</f>
        <v>3779423.3033333332</v>
      </c>
      <c r="E9" s="942">
        <v>3376533.83</v>
      </c>
      <c r="F9" s="942">
        <v>3108661.99</v>
      </c>
      <c r="G9" s="390">
        <f>IF($A9="","",D9-E9)</f>
        <v>402889.47333333315</v>
      </c>
    </row>
    <row r="10" spans="1:7" ht="21" customHeight="1" x14ac:dyDescent="0.25">
      <c r="A10" s="227" t="s">
        <v>6399</v>
      </c>
      <c r="B10" s="336">
        <v>214583772.22666699</v>
      </c>
      <c r="C10" s="942">
        <f>-26511301.64-926501</f>
        <v>-27437802.640000001</v>
      </c>
      <c r="D10" s="942">
        <f t="shared" ref="D10:D31" si="0">IF($A10="","",B10+C10)</f>
        <v>187145969.586667</v>
      </c>
      <c r="E10" s="942">
        <f>108281588.14+17586496</f>
        <v>125868084.14</v>
      </c>
      <c r="F10" s="942">
        <f>107508254.07+14132712</f>
        <v>121640966.06999999</v>
      </c>
      <c r="G10" s="390">
        <f t="shared" ref="G10:G31" si="1">IF($A10="","",D10-E10)</f>
        <v>61277885.446667001</v>
      </c>
    </row>
    <row r="11" spans="1:7" ht="21" customHeight="1" x14ac:dyDescent="0.25">
      <c r="A11" s="227" t="s">
        <v>6400</v>
      </c>
      <c r="B11" s="336">
        <v>147100</v>
      </c>
      <c r="C11" s="942">
        <v>-29869.51</v>
      </c>
      <c r="D11" s="942">
        <f t="shared" si="0"/>
        <v>117230.49</v>
      </c>
      <c r="E11" s="942">
        <v>64926.23</v>
      </c>
      <c r="F11" s="942">
        <v>63826.49</v>
      </c>
      <c r="G11" s="390">
        <f t="shared" si="1"/>
        <v>52304.26</v>
      </c>
    </row>
    <row r="12" spans="1:7" ht="21" customHeight="1" x14ac:dyDescent="0.25">
      <c r="A12" s="227" t="s">
        <v>6401</v>
      </c>
      <c r="B12" s="336">
        <v>59849370.766666666</v>
      </c>
      <c r="C12" s="942">
        <f>1481203.88+'[3]Reporte de Compac'!$G$215</f>
        <v>2481203.88</v>
      </c>
      <c r="D12" s="942">
        <f t="shared" si="0"/>
        <v>62330574.646666668</v>
      </c>
      <c r="E12" s="942">
        <v>10268261.370000001</v>
      </c>
      <c r="F12" s="942">
        <v>10078650.51</v>
      </c>
      <c r="G12" s="390">
        <f t="shared" si="1"/>
        <v>52062313.276666671</v>
      </c>
    </row>
    <row r="13" spans="1:7" ht="21" customHeight="1" x14ac:dyDescent="0.25">
      <c r="A13" s="227" t="s">
        <v>6402</v>
      </c>
      <c r="B13" s="336">
        <v>217001536.34951958</v>
      </c>
      <c r="C13" s="942">
        <v>36659019.310000002</v>
      </c>
      <c r="D13" s="942">
        <f t="shared" si="0"/>
        <v>253660555.65951958</v>
      </c>
      <c r="E13" s="942">
        <v>157744245.59999999</v>
      </c>
      <c r="F13" s="942">
        <v>149293447.06</v>
      </c>
      <c r="G13" s="390">
        <f t="shared" si="1"/>
        <v>95916310.059519589</v>
      </c>
    </row>
    <row r="14" spans="1:7" ht="21" customHeight="1" x14ac:dyDescent="0.25">
      <c r="A14" s="227" t="s">
        <v>6403</v>
      </c>
      <c r="B14" s="336">
        <v>10204513.963333333</v>
      </c>
      <c r="C14" s="942">
        <v>3029223239.8300004</v>
      </c>
      <c r="D14" s="942">
        <f t="shared" si="0"/>
        <v>3039427753.7933335</v>
      </c>
      <c r="E14" s="942">
        <v>1702880922.1300001</v>
      </c>
      <c r="F14" s="942">
        <v>1683570225.46</v>
      </c>
      <c r="G14" s="390">
        <f t="shared" si="1"/>
        <v>1336546831.6633334</v>
      </c>
    </row>
    <row r="15" spans="1:7" ht="21" customHeight="1" x14ac:dyDescent="0.25">
      <c r="A15" s="227" t="s">
        <v>6404</v>
      </c>
      <c r="B15" s="336">
        <v>4126614.6000000006</v>
      </c>
      <c r="C15" s="942">
        <v>-2348.64</v>
      </c>
      <c r="D15" s="942">
        <f t="shared" si="0"/>
        <v>4124265.9600000004</v>
      </c>
      <c r="E15" s="942">
        <v>4340020.4400000004</v>
      </c>
      <c r="F15" s="942">
        <v>4314848.3899999997</v>
      </c>
      <c r="G15" s="390">
        <f t="shared" si="1"/>
        <v>-215754.47999999998</v>
      </c>
    </row>
    <row r="16" spans="1:7" ht="21" customHeight="1" x14ac:dyDescent="0.25">
      <c r="A16" s="227" t="s">
        <v>6405</v>
      </c>
      <c r="B16" s="336">
        <v>3476951.2099999995</v>
      </c>
      <c r="C16" s="942">
        <v>323392.99</v>
      </c>
      <c r="D16" s="942">
        <f t="shared" si="0"/>
        <v>3800344.1999999993</v>
      </c>
      <c r="E16" s="942">
        <v>3762166.08</v>
      </c>
      <c r="F16" s="942">
        <v>3692235.03</v>
      </c>
      <c r="G16" s="390">
        <f t="shared" si="1"/>
        <v>38178.11999999918</v>
      </c>
    </row>
    <row r="17" spans="1:8" ht="21" customHeight="1" x14ac:dyDescent="0.25">
      <c r="A17" s="227" t="s">
        <v>6406</v>
      </c>
      <c r="B17" s="336">
        <v>269652719.99715585</v>
      </c>
      <c r="C17" s="942">
        <v>305877131.94999999</v>
      </c>
      <c r="D17" s="942">
        <f t="shared" si="0"/>
        <v>575529851.94715583</v>
      </c>
      <c r="E17" s="942">
        <v>533109180.89000005</v>
      </c>
      <c r="F17" s="942">
        <v>496566149.19999993</v>
      </c>
      <c r="G17" s="390">
        <f t="shared" si="1"/>
        <v>42420671.057155788</v>
      </c>
    </row>
    <row r="18" spans="1:8" ht="21" customHeight="1" x14ac:dyDescent="0.25">
      <c r="A18" s="227"/>
      <c r="B18" s="336"/>
      <c r="C18" s="336"/>
      <c r="D18" s="336" t="str">
        <f t="shared" si="0"/>
        <v/>
      </c>
      <c r="E18" s="336"/>
      <c r="F18" s="336"/>
      <c r="G18" s="390" t="str">
        <f t="shared" si="1"/>
        <v/>
      </c>
    </row>
    <row r="19" spans="1:8" ht="21" customHeight="1" x14ac:dyDescent="0.25">
      <c r="A19" s="227"/>
      <c r="B19" s="336"/>
      <c r="C19" s="336"/>
      <c r="D19" s="336" t="str">
        <f t="shared" si="0"/>
        <v/>
      </c>
      <c r="E19" s="336"/>
      <c r="F19" s="336"/>
      <c r="G19" s="390" t="str">
        <f t="shared" si="1"/>
        <v/>
      </c>
    </row>
    <row r="20" spans="1:8" ht="21" customHeight="1" x14ac:dyDescent="0.25">
      <c r="A20" s="227"/>
      <c r="B20" s="336"/>
      <c r="C20" s="336"/>
      <c r="D20" s="336" t="str">
        <f t="shared" si="0"/>
        <v/>
      </c>
      <c r="E20" s="336"/>
      <c r="F20" s="336"/>
      <c r="G20" s="390" t="str">
        <f t="shared" si="1"/>
        <v/>
      </c>
    </row>
    <row r="21" spans="1:8" ht="21" customHeight="1" x14ac:dyDescent="0.25">
      <c r="A21" s="227"/>
      <c r="B21" s="336"/>
      <c r="C21" s="336"/>
      <c r="D21" s="336" t="str">
        <f t="shared" si="0"/>
        <v/>
      </c>
      <c r="E21" s="336"/>
      <c r="F21" s="336"/>
      <c r="G21" s="390" t="str">
        <f t="shared" si="1"/>
        <v/>
      </c>
    </row>
    <row r="22" spans="1:8" ht="21" customHeight="1" x14ac:dyDescent="0.25">
      <c r="A22" s="227"/>
      <c r="B22" s="336"/>
      <c r="C22" s="336"/>
      <c r="D22" s="336" t="str">
        <f t="shared" si="0"/>
        <v/>
      </c>
      <c r="E22" s="336"/>
      <c r="F22" s="336"/>
      <c r="G22" s="390" t="str">
        <f t="shared" si="1"/>
        <v/>
      </c>
    </row>
    <row r="23" spans="1:8" ht="21" customHeight="1" x14ac:dyDescent="0.25">
      <c r="A23" s="227"/>
      <c r="B23" s="336"/>
      <c r="C23" s="336"/>
      <c r="D23" s="336" t="str">
        <f t="shared" si="0"/>
        <v/>
      </c>
      <c r="E23" s="336"/>
      <c r="F23" s="336"/>
      <c r="G23" s="390" t="str">
        <f t="shared" si="1"/>
        <v/>
      </c>
    </row>
    <row r="24" spans="1:8" ht="21" customHeight="1" x14ac:dyDescent="0.25">
      <c r="A24" s="227"/>
      <c r="B24" s="336"/>
      <c r="C24" s="336"/>
      <c r="D24" s="336" t="str">
        <f t="shared" si="0"/>
        <v/>
      </c>
      <c r="E24" s="336"/>
      <c r="F24" s="336"/>
      <c r="G24" s="390" t="str">
        <f t="shared" si="1"/>
        <v/>
      </c>
    </row>
    <row r="25" spans="1:8" ht="21" customHeight="1" x14ac:dyDescent="0.25">
      <c r="A25" s="227"/>
      <c r="B25" s="336"/>
      <c r="C25" s="336"/>
      <c r="D25" s="336" t="str">
        <f t="shared" si="0"/>
        <v/>
      </c>
      <c r="E25" s="336"/>
      <c r="F25" s="336"/>
      <c r="G25" s="390" t="str">
        <f t="shared" si="1"/>
        <v/>
      </c>
    </row>
    <row r="26" spans="1:8" ht="21" customHeight="1" x14ac:dyDescent="0.25">
      <c r="A26" s="227"/>
      <c r="B26" s="336"/>
      <c r="C26" s="336"/>
      <c r="D26" s="336" t="str">
        <f t="shared" si="0"/>
        <v/>
      </c>
      <c r="E26" s="336"/>
      <c r="F26" s="336"/>
      <c r="G26" s="390" t="str">
        <f t="shared" si="1"/>
        <v/>
      </c>
    </row>
    <row r="27" spans="1:8" ht="21" customHeight="1" x14ac:dyDescent="0.25">
      <c r="A27" s="227"/>
      <c r="B27" s="336"/>
      <c r="C27" s="336"/>
      <c r="D27" s="336" t="str">
        <f t="shared" si="0"/>
        <v/>
      </c>
      <c r="E27" s="336"/>
      <c r="F27" s="336"/>
      <c r="G27" s="390" t="str">
        <f t="shared" si="1"/>
        <v/>
      </c>
    </row>
    <row r="28" spans="1:8" ht="21" customHeight="1" x14ac:dyDescent="0.25">
      <c r="A28" s="227"/>
      <c r="B28" s="336"/>
      <c r="C28" s="336"/>
      <c r="D28" s="336" t="str">
        <f t="shared" si="0"/>
        <v/>
      </c>
      <c r="E28" s="336"/>
      <c r="F28" s="336"/>
      <c r="G28" s="390" t="str">
        <f t="shared" si="1"/>
        <v/>
      </c>
    </row>
    <row r="29" spans="1:8" ht="21" customHeight="1" x14ac:dyDescent="0.25">
      <c r="A29" s="227"/>
      <c r="B29" s="336"/>
      <c r="C29" s="336"/>
      <c r="D29" s="336" t="str">
        <f t="shared" si="0"/>
        <v/>
      </c>
      <c r="E29" s="336"/>
      <c r="F29" s="336"/>
      <c r="G29" s="390" t="str">
        <f t="shared" si="1"/>
        <v/>
      </c>
    </row>
    <row r="30" spans="1:8" ht="21" customHeight="1" x14ac:dyDescent="0.25">
      <c r="A30" s="227"/>
      <c r="B30" s="336"/>
      <c r="C30" s="336"/>
      <c r="D30" s="336" t="str">
        <f t="shared" si="0"/>
        <v/>
      </c>
      <c r="E30" s="336"/>
      <c r="F30" s="336"/>
      <c r="G30" s="390" t="str">
        <f t="shared" si="1"/>
        <v/>
      </c>
    </row>
    <row r="31" spans="1:8" ht="21" customHeight="1" thickBot="1" x14ac:dyDescent="0.3">
      <c r="A31" s="227"/>
      <c r="B31" s="336"/>
      <c r="C31" s="336"/>
      <c r="D31" s="336" t="str">
        <f t="shared" si="0"/>
        <v/>
      </c>
      <c r="E31" s="336"/>
      <c r="F31" s="336"/>
      <c r="G31" s="390" t="str">
        <f t="shared" si="1"/>
        <v/>
      </c>
    </row>
    <row r="32" spans="1:8" ht="21" customHeight="1" thickBot="1" x14ac:dyDescent="0.3">
      <c r="A32" s="228" t="s">
        <v>529</v>
      </c>
      <c r="B32" s="339">
        <f>SUM(B9:B31)</f>
        <v>782667131.31667566</v>
      </c>
      <c r="C32" s="339">
        <f>SUM(C9:C31)</f>
        <v>3347248838.27</v>
      </c>
      <c r="D32" s="339">
        <f>IF($A32="","",B32+C32)</f>
        <v>4129915969.5866756</v>
      </c>
      <c r="E32" s="339">
        <f>SUM(E9:E31)</f>
        <v>2541414340.71</v>
      </c>
      <c r="F32" s="339">
        <f>SUM(F9:F31)</f>
        <v>2472329010.1999998</v>
      </c>
      <c r="G32" s="349">
        <f>IF($A32="","",D32-E32)</f>
        <v>1588501628.8766756</v>
      </c>
      <c r="H32" s="213"/>
    </row>
    <row r="33" spans="2:8" x14ac:dyDescent="0.25">
      <c r="B33" s="940">
        <v>782667131.32148921</v>
      </c>
      <c r="C33" s="940">
        <v>3347248838.5700006</v>
      </c>
      <c r="D33" s="940">
        <v>4129915969.891489</v>
      </c>
      <c r="E33" s="940">
        <v>2541414341.0099998</v>
      </c>
      <c r="F33" s="940">
        <v>2472329010.5</v>
      </c>
      <c r="G33" s="940">
        <v>1588501628.8814895</v>
      </c>
      <c r="H33" s="213"/>
    </row>
    <row r="34" spans="2:8" x14ac:dyDescent="0.25">
      <c r="B34" s="939">
        <f>B32-B33</f>
        <v>-4.8135519027709961E-3</v>
      </c>
      <c r="C34" s="939">
        <f t="shared" ref="C34:F34" si="2">C32-C33</f>
        <v>-0.30000066757202148</v>
      </c>
      <c r="D34" s="939">
        <f t="shared" si="2"/>
        <v>-0.30481338500976563</v>
      </c>
      <c r="E34" s="939">
        <f t="shared" si="2"/>
        <v>-0.29999971389770508</v>
      </c>
      <c r="F34" s="939">
        <f t="shared" si="2"/>
        <v>-0.30000019073486328</v>
      </c>
      <c r="H34" s="213"/>
    </row>
    <row r="35" spans="2:8" x14ac:dyDescent="0.25">
      <c r="H35" s="213"/>
    </row>
    <row r="36" spans="2:8" x14ac:dyDescent="0.25">
      <c r="H36" s="213"/>
    </row>
    <row r="37" spans="2:8" x14ac:dyDescent="0.25">
      <c r="H37" s="213"/>
    </row>
  </sheetData>
  <sheetProtection formatColumns="0" formatRows="0" insertRows="0" deleteColumns="0" deleteRows="0"/>
  <mergeCells count="8">
    <mergeCell ref="A6:A8"/>
    <mergeCell ref="A1:G1"/>
    <mergeCell ref="A2:G2"/>
    <mergeCell ref="A3:G3"/>
    <mergeCell ref="A4:G4"/>
    <mergeCell ref="A5:E5"/>
    <mergeCell ref="B6:F6"/>
    <mergeCell ref="G6:G7"/>
  </mergeCells>
  <printOptions horizontalCentered="1"/>
  <pageMargins left="0.51181102362204722" right="0.15748031496062992" top="0.74803149606299213" bottom="0.74803149606299213" header="0.31496062992125984" footer="0.31496062992125984"/>
  <pageSetup scale="7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tint="-4.9989318521683403E-2"/>
  </sheetPr>
  <dimension ref="A1:H37"/>
  <sheetViews>
    <sheetView view="pageBreakPreview" topLeftCell="A4" zoomScaleSheetLayoutView="100" workbookViewId="0">
      <selection activeCell="C56" sqref="C56"/>
    </sheetView>
  </sheetViews>
  <sheetFormatPr baseColWidth="10" defaultColWidth="11.42578125" defaultRowHeight="15" x14ac:dyDescent="0.25"/>
  <cols>
    <col min="1" max="1" width="32.42578125" customWidth="1"/>
    <col min="2" max="2" width="12.140625" customWidth="1"/>
    <col min="3" max="3" width="13.140625" customWidth="1"/>
    <col min="4" max="4" width="12.42578125" customWidth="1"/>
    <col min="5" max="5" width="12.85546875" customWidth="1"/>
    <col min="6" max="6" width="14" customWidth="1"/>
    <col min="7" max="7" width="15.42578125" customWidth="1"/>
  </cols>
  <sheetData>
    <row r="1" spans="1:7" s="392" customFormat="1" ht="15.75" x14ac:dyDescent="0.2">
      <c r="A1" s="1268" t="str">
        <f>'CPCA-I-01'!A1:G1</f>
        <v xml:space="preserve">Comision Estatal del Agua </v>
      </c>
      <c r="B1" s="1269"/>
      <c r="C1" s="1269"/>
      <c r="D1" s="1269"/>
      <c r="E1" s="1269"/>
      <c r="F1" s="1269"/>
      <c r="G1" s="1270"/>
    </row>
    <row r="2" spans="1:7" s="392" customFormat="1" ht="12.75" x14ac:dyDescent="0.2">
      <c r="A2" s="1271" t="s">
        <v>530</v>
      </c>
      <c r="B2" s="1272"/>
      <c r="C2" s="1272"/>
      <c r="D2" s="1272"/>
      <c r="E2" s="1272"/>
      <c r="F2" s="1272"/>
      <c r="G2" s="1273"/>
    </row>
    <row r="3" spans="1:7" s="392" customFormat="1" ht="12.75" x14ac:dyDescent="0.2">
      <c r="A3" s="1271" t="s">
        <v>631</v>
      </c>
      <c r="B3" s="1272"/>
      <c r="C3" s="1272"/>
      <c r="D3" s="1272"/>
      <c r="E3" s="1272"/>
      <c r="F3" s="1272"/>
      <c r="G3" s="1273"/>
    </row>
    <row r="4" spans="1:7" s="392" customFormat="1" ht="12.75" x14ac:dyDescent="0.2">
      <c r="A4" s="1271" t="str">
        <f>'CPCA-I-03'!A3:D3</f>
        <v xml:space="preserve">Del  01 de Enero de 2023 al 31 de Diciembre de 2023 </v>
      </c>
      <c r="B4" s="1272"/>
      <c r="C4" s="1272"/>
      <c r="D4" s="1272"/>
      <c r="E4" s="1272"/>
      <c r="F4" s="1272"/>
      <c r="G4" s="1273"/>
    </row>
    <row r="5" spans="1:7" s="392" customFormat="1" ht="20.25" customHeight="1" thickBot="1" x14ac:dyDescent="0.25">
      <c r="A5" s="1274" t="s">
        <v>82</v>
      </c>
      <c r="B5" s="1275"/>
      <c r="C5" s="1275"/>
      <c r="D5" s="1275"/>
      <c r="E5" s="1275"/>
      <c r="F5" s="1275"/>
      <c r="G5" s="1276"/>
    </row>
    <row r="6" spans="1:7" s="392" customFormat="1" ht="13.5" thickBot="1" x14ac:dyDescent="0.25">
      <c r="A6" s="1263" t="s">
        <v>83</v>
      </c>
      <c r="B6" s="1265" t="s">
        <v>532</v>
      </c>
      <c r="C6" s="1266"/>
      <c r="D6" s="1266"/>
      <c r="E6" s="1266"/>
      <c r="F6" s="1267"/>
      <c r="G6" s="1263" t="s">
        <v>533</v>
      </c>
    </row>
    <row r="7" spans="1:7" s="392" customFormat="1" ht="26.25" thickBot="1" x14ac:dyDescent="0.25">
      <c r="A7" s="1264"/>
      <c r="B7" s="630" t="s">
        <v>534</v>
      </c>
      <c r="C7" s="630" t="s">
        <v>404</v>
      </c>
      <c r="D7" s="630" t="s">
        <v>405</v>
      </c>
      <c r="E7" s="630" t="s">
        <v>406</v>
      </c>
      <c r="F7" s="630" t="s">
        <v>632</v>
      </c>
      <c r="G7" s="1264"/>
    </row>
    <row r="8" spans="1:7" s="392" customFormat="1" ht="12.75" x14ac:dyDescent="0.2">
      <c r="A8" s="467" t="s">
        <v>633</v>
      </c>
      <c r="B8" s="574"/>
      <c r="C8" s="574"/>
      <c r="D8" s="574"/>
      <c r="E8" s="574"/>
      <c r="F8" s="574"/>
      <c r="G8" s="574"/>
    </row>
    <row r="9" spans="1:7" s="392" customFormat="1" ht="12.75" x14ac:dyDescent="0.2">
      <c r="A9" s="467" t="s">
        <v>634</v>
      </c>
      <c r="B9" s="551">
        <f>SUM(B10:B18)</f>
        <v>667667131.32108307</v>
      </c>
      <c r="C9" s="551">
        <f t="shared" ref="C9:G9" si="0">SUM(C10:C18)</f>
        <v>309673059.75999969</v>
      </c>
      <c r="D9" s="551">
        <f t="shared" si="0"/>
        <v>977340191.08108282</v>
      </c>
      <c r="E9" s="551">
        <f t="shared" si="0"/>
        <v>806764021.41999996</v>
      </c>
      <c r="F9" s="551">
        <f t="shared" si="0"/>
        <v>760362523.55999982</v>
      </c>
      <c r="G9" s="551">
        <f t="shared" si="0"/>
        <v>170576169.6610828</v>
      </c>
    </row>
    <row r="10" spans="1:7" s="392" customFormat="1" ht="12.75" x14ac:dyDescent="0.2">
      <c r="A10" s="468" t="s">
        <v>6398</v>
      </c>
      <c r="B10" s="551">
        <v>3624552.2033333331</v>
      </c>
      <c r="C10" s="551">
        <v>154871.1</v>
      </c>
      <c r="D10" s="551">
        <f>B10+C10</f>
        <v>3779423.3033333332</v>
      </c>
      <c r="E10" s="551">
        <v>3376533.83</v>
      </c>
      <c r="F10" s="551">
        <v>3108661.99</v>
      </c>
      <c r="G10" s="551">
        <f>+D10-E10</f>
        <v>402889.47333333315</v>
      </c>
    </row>
    <row r="11" spans="1:7" s="392" customFormat="1" ht="25.5" x14ac:dyDescent="0.2">
      <c r="A11" s="468" t="s">
        <v>6399</v>
      </c>
      <c r="B11" s="551">
        <v>214583772.22666699</v>
      </c>
      <c r="C11" s="551">
        <v>-27437802.640000001</v>
      </c>
      <c r="D11" s="551">
        <f t="shared" ref="D11:D18" si="1">B11+C11</f>
        <v>187145969.586667</v>
      </c>
      <c r="E11" s="551">
        <v>125868084.14</v>
      </c>
      <c r="F11" s="551">
        <v>121640966.06999999</v>
      </c>
      <c r="G11" s="551">
        <f t="shared" ref="G11:G18" si="2">+D11-E11</f>
        <v>61277885.446667001</v>
      </c>
    </row>
    <row r="12" spans="1:7" s="392" customFormat="1" ht="12.75" x14ac:dyDescent="0.2">
      <c r="A12" s="468" t="s">
        <v>6400</v>
      </c>
      <c r="B12" s="551">
        <v>147100</v>
      </c>
      <c r="C12" s="551">
        <v>-29869.51</v>
      </c>
      <c r="D12" s="551">
        <f t="shared" si="1"/>
        <v>117230.49</v>
      </c>
      <c r="E12" s="551">
        <v>64926.23</v>
      </c>
      <c r="F12" s="551">
        <v>63826.49</v>
      </c>
      <c r="G12" s="551">
        <f t="shared" si="2"/>
        <v>52304.26</v>
      </c>
    </row>
    <row r="13" spans="1:7" s="392" customFormat="1" ht="25.5" x14ac:dyDescent="0.2">
      <c r="A13" s="468" t="s">
        <v>6401</v>
      </c>
      <c r="B13" s="551">
        <v>33938120.766666703</v>
      </c>
      <c r="C13" s="941">
        <f>2481203.88-C25</f>
        <v>1481203.88</v>
      </c>
      <c r="D13" s="941">
        <f t="shared" si="1"/>
        <v>35419324.646666706</v>
      </c>
      <c r="E13" s="941">
        <f>10268261.37-E25</f>
        <v>8871567.5599999987</v>
      </c>
      <c r="F13" s="941">
        <f>10078650.51-F25</f>
        <v>8681956.6999999993</v>
      </c>
      <c r="G13" s="551">
        <f t="shared" si="2"/>
        <v>26547757.086666707</v>
      </c>
    </row>
    <row r="14" spans="1:7" s="392" customFormat="1" ht="25.5" x14ac:dyDescent="0.2">
      <c r="A14" s="468" t="s">
        <v>6402</v>
      </c>
      <c r="B14" s="551">
        <v>127912786.35392687</v>
      </c>
      <c r="C14" s="941">
        <f>36659019.31-C26</f>
        <v>13245968.810000002</v>
      </c>
      <c r="D14" s="941">
        <f t="shared" si="1"/>
        <v>141158755.16392687</v>
      </c>
      <c r="E14" s="941">
        <f>157744245.6-E26</f>
        <v>108346230.17999999</v>
      </c>
      <c r="F14" s="941">
        <f>149293447.06-F26</f>
        <v>103318758.41</v>
      </c>
      <c r="G14" s="551">
        <f t="shared" si="2"/>
        <v>32812524.983926877</v>
      </c>
    </row>
    <row r="15" spans="1:7" s="392" customFormat="1" ht="25.5" x14ac:dyDescent="0.2">
      <c r="A15" s="468" t="s">
        <v>6403</v>
      </c>
      <c r="B15" s="551">
        <v>10204513.963333333</v>
      </c>
      <c r="C15" s="941">
        <f>3029223239.83-C27</f>
        <v>16060511.819999695</v>
      </c>
      <c r="D15" s="941">
        <f t="shared" si="1"/>
        <v>26265025.783333026</v>
      </c>
      <c r="E15" s="941">
        <f>1702880922.13-E27</f>
        <v>19025312.069999933</v>
      </c>
      <c r="F15" s="941">
        <f>1683570225.46-F27</f>
        <v>18975121.279999971</v>
      </c>
      <c r="G15" s="551">
        <f t="shared" si="2"/>
        <v>7239713.7133330926</v>
      </c>
    </row>
    <row r="16" spans="1:7" s="392" customFormat="1" ht="12.75" x14ac:dyDescent="0.2">
      <c r="A16" s="468" t="s">
        <v>6404</v>
      </c>
      <c r="B16" s="551">
        <v>4126614.6000000006</v>
      </c>
      <c r="C16" s="941">
        <v>-2348.64</v>
      </c>
      <c r="D16" s="941">
        <f t="shared" si="1"/>
        <v>4124265.9600000004</v>
      </c>
      <c r="E16" s="941">
        <v>4340020.4400000004</v>
      </c>
      <c r="F16" s="941">
        <v>4314848.3899999997</v>
      </c>
      <c r="G16" s="551">
        <f t="shared" si="2"/>
        <v>-215754.47999999998</v>
      </c>
    </row>
    <row r="17" spans="1:8" s="392" customFormat="1" ht="12.75" x14ac:dyDescent="0.2">
      <c r="A17" s="468" t="s">
        <v>6405</v>
      </c>
      <c r="B17" s="551">
        <v>3476951.2099999995</v>
      </c>
      <c r="C17" s="941">
        <v>323392.99</v>
      </c>
      <c r="D17" s="941">
        <f t="shared" si="1"/>
        <v>3800344.1999999993</v>
      </c>
      <c r="E17" s="941">
        <v>3762166.08</v>
      </c>
      <c r="F17" s="941">
        <v>3692235.03</v>
      </c>
      <c r="G17" s="551">
        <f t="shared" si="2"/>
        <v>38178.11999999918</v>
      </c>
    </row>
    <row r="18" spans="1:8" s="392" customFormat="1" ht="12.75" x14ac:dyDescent="0.2">
      <c r="A18" s="468" t="s">
        <v>6406</v>
      </c>
      <c r="B18" s="551">
        <v>269652719.99715585</v>
      </c>
      <c r="C18" s="941">
        <v>305877131.94999999</v>
      </c>
      <c r="D18" s="941">
        <f t="shared" si="1"/>
        <v>575529851.94715583</v>
      </c>
      <c r="E18" s="941">
        <v>533109180.89000005</v>
      </c>
      <c r="F18" s="941">
        <v>496566149.19999993</v>
      </c>
      <c r="G18" s="551">
        <f t="shared" si="2"/>
        <v>42420671.057155788</v>
      </c>
    </row>
    <row r="19" spans="1:8" s="392" customFormat="1" ht="12.75" x14ac:dyDescent="0.2">
      <c r="A19" s="468"/>
      <c r="B19" s="551"/>
      <c r="C19" s="941"/>
      <c r="D19" s="941"/>
      <c r="E19" s="941"/>
      <c r="F19" s="941"/>
      <c r="G19" s="551"/>
    </row>
    <row r="20" spans="1:8" s="392" customFormat="1" ht="12.75" x14ac:dyDescent="0.2">
      <c r="A20" s="476" t="s">
        <v>635</v>
      </c>
      <c r="B20" s="551"/>
      <c r="C20" s="941"/>
      <c r="D20" s="941"/>
      <c r="E20" s="941"/>
      <c r="F20" s="941"/>
      <c r="G20" s="551"/>
    </row>
    <row r="21" spans="1:8" s="392" customFormat="1" ht="12.75" x14ac:dyDescent="0.2">
      <c r="A21" s="476" t="s">
        <v>636</v>
      </c>
      <c r="B21" s="551">
        <f>SUM(B22:B30)</f>
        <v>114999999.99559313</v>
      </c>
      <c r="C21" s="941">
        <f t="shared" ref="C21:G21" si="3">SUM(C22:C30)</f>
        <v>3037575778.5100002</v>
      </c>
      <c r="D21" s="941">
        <f t="shared" si="3"/>
        <v>3152575778.5055933</v>
      </c>
      <c r="E21" s="941">
        <f t="shared" si="3"/>
        <v>1734650319.2900002</v>
      </c>
      <c r="F21" s="941">
        <f t="shared" si="3"/>
        <v>1711966486.6400001</v>
      </c>
      <c r="G21" s="551">
        <f t="shared" si="3"/>
        <v>1417925459.2155931</v>
      </c>
    </row>
    <row r="22" spans="1:8" s="392" customFormat="1" ht="12.75" x14ac:dyDescent="0.2">
      <c r="A22" s="468" t="s">
        <v>6398</v>
      </c>
      <c r="B22" s="551"/>
      <c r="C22" s="941"/>
      <c r="D22" s="941">
        <f t="shared" ref="D22:D30" si="4">B22+C22</f>
        <v>0</v>
      </c>
      <c r="E22" s="941"/>
      <c r="F22" s="941"/>
      <c r="G22" s="551">
        <f>+D22-E22</f>
        <v>0</v>
      </c>
    </row>
    <row r="23" spans="1:8" s="392" customFormat="1" ht="25.5" x14ac:dyDescent="0.2">
      <c r="A23" s="468" t="s">
        <v>6399</v>
      </c>
      <c r="B23" s="551"/>
      <c r="C23" s="941"/>
      <c r="D23" s="941">
        <f t="shared" si="4"/>
        <v>0</v>
      </c>
      <c r="E23" s="941"/>
      <c r="F23" s="941"/>
      <c r="G23" s="551">
        <f t="shared" ref="G23:G30" si="5">+D23-E23</f>
        <v>0</v>
      </c>
    </row>
    <row r="24" spans="1:8" s="392" customFormat="1" ht="12.75" x14ac:dyDescent="0.2">
      <c r="A24" s="468" t="s">
        <v>6400</v>
      </c>
      <c r="B24" s="551"/>
      <c r="C24" s="941"/>
      <c r="D24" s="941">
        <f t="shared" si="4"/>
        <v>0</v>
      </c>
      <c r="E24" s="941"/>
      <c r="F24" s="941"/>
      <c r="G24" s="551">
        <f t="shared" si="5"/>
        <v>0</v>
      </c>
    </row>
    <row r="25" spans="1:8" s="392" customFormat="1" ht="25.5" x14ac:dyDescent="0.2">
      <c r="A25" s="468" t="s">
        <v>6401</v>
      </c>
      <c r="B25" s="551">
        <v>25911250</v>
      </c>
      <c r="C25" s="941">
        <v>1000000</v>
      </c>
      <c r="D25" s="941">
        <f t="shared" si="4"/>
        <v>26911250</v>
      </c>
      <c r="E25" s="941">
        <v>1396693.81</v>
      </c>
      <c r="F25" s="941">
        <v>1396693.81</v>
      </c>
      <c r="G25" s="551">
        <f t="shared" si="5"/>
        <v>25514556.190000001</v>
      </c>
    </row>
    <row r="26" spans="1:8" s="392" customFormat="1" ht="25.5" x14ac:dyDescent="0.2">
      <c r="A26" s="468" t="s">
        <v>6402</v>
      </c>
      <c r="B26" s="551">
        <v>89088749.995593131</v>
      </c>
      <c r="C26" s="941">
        <v>23413050.5</v>
      </c>
      <c r="D26" s="941">
        <f t="shared" si="4"/>
        <v>112501800.49559313</v>
      </c>
      <c r="E26" s="941">
        <v>49398015.420000002</v>
      </c>
      <c r="F26" s="941">
        <v>45974688.649999999</v>
      </c>
      <c r="G26" s="551">
        <f t="shared" si="5"/>
        <v>63103785.075593129</v>
      </c>
    </row>
    <row r="27" spans="1:8" s="392" customFormat="1" ht="25.5" x14ac:dyDescent="0.2">
      <c r="A27" s="468" t="s">
        <v>6403</v>
      </c>
      <c r="B27" s="551"/>
      <c r="C27" s="941">
        <v>3013162728.0100002</v>
      </c>
      <c r="D27" s="941">
        <f t="shared" si="4"/>
        <v>3013162728.0100002</v>
      </c>
      <c r="E27" s="941">
        <v>1683855610.0600002</v>
      </c>
      <c r="F27" s="941">
        <v>1664595104.1800001</v>
      </c>
      <c r="G27" s="551">
        <f t="shared" si="5"/>
        <v>1329307117.95</v>
      </c>
    </row>
    <row r="28" spans="1:8" s="392" customFormat="1" ht="12.75" x14ac:dyDescent="0.2">
      <c r="A28" s="468" t="s">
        <v>6404</v>
      </c>
      <c r="B28" s="551"/>
      <c r="C28" s="551"/>
      <c r="D28" s="551">
        <f t="shared" si="4"/>
        <v>0</v>
      </c>
      <c r="E28" s="551"/>
      <c r="F28" s="551"/>
      <c r="G28" s="551">
        <f t="shared" si="5"/>
        <v>0</v>
      </c>
    </row>
    <row r="29" spans="1:8" s="392" customFormat="1" ht="12.75" x14ac:dyDescent="0.2">
      <c r="A29" s="468" t="s">
        <v>6405</v>
      </c>
      <c r="B29" s="551"/>
      <c r="C29" s="551"/>
      <c r="D29" s="551">
        <f t="shared" si="4"/>
        <v>0</v>
      </c>
      <c r="E29" s="551"/>
      <c r="F29" s="551"/>
      <c r="G29" s="551">
        <f t="shared" si="5"/>
        <v>0</v>
      </c>
    </row>
    <row r="30" spans="1:8" s="392" customFormat="1" ht="12.75" x14ac:dyDescent="0.2">
      <c r="A30" s="468" t="s">
        <v>6406</v>
      </c>
      <c r="B30" s="551"/>
      <c r="C30" s="551"/>
      <c r="D30" s="551">
        <f t="shared" si="4"/>
        <v>0</v>
      </c>
      <c r="E30" s="551"/>
      <c r="F30" s="551"/>
      <c r="G30" s="551">
        <f t="shared" si="5"/>
        <v>0</v>
      </c>
    </row>
    <row r="31" spans="1:8" s="392" customFormat="1" ht="12.75" x14ac:dyDescent="0.2">
      <c r="A31" s="550"/>
      <c r="B31" s="551"/>
      <c r="C31" s="551"/>
      <c r="D31" s="551"/>
      <c r="E31" s="551"/>
      <c r="F31" s="551"/>
      <c r="G31" s="551"/>
    </row>
    <row r="32" spans="1:8" s="392" customFormat="1" ht="12.75" x14ac:dyDescent="0.2">
      <c r="A32" s="467" t="s">
        <v>613</v>
      </c>
      <c r="B32" s="551">
        <f t="shared" ref="B32:G32" si="6">+B9+B21</f>
        <v>782667131.31667614</v>
      </c>
      <c r="C32" s="551">
        <f t="shared" si="6"/>
        <v>3347248838.27</v>
      </c>
      <c r="D32" s="551">
        <f t="shared" si="6"/>
        <v>4129915969.5866761</v>
      </c>
      <c r="E32" s="551">
        <f t="shared" si="6"/>
        <v>2541414340.71</v>
      </c>
      <c r="F32" s="551">
        <f t="shared" si="6"/>
        <v>2472329010.1999998</v>
      </c>
      <c r="G32" s="551">
        <f t="shared" si="6"/>
        <v>1588501628.8766758</v>
      </c>
      <c r="H32" s="575" t="str">
        <f>IF((B32-'CPCA-II-07'!B32)&gt;0.9,"ERROR!!!!! EL MONTO NO COINCIDE CON LO REPORTADO EN EL FORMATO ETCA-II-07 EN EL TOTAL DEL GASTO","")</f>
        <v/>
      </c>
    </row>
    <row r="33" spans="1:8" ht="15.75" thickBot="1" x14ac:dyDescent="0.3">
      <c r="A33" s="534"/>
      <c r="B33" s="536"/>
      <c r="C33" s="536"/>
      <c r="D33" s="536"/>
      <c r="E33" s="536"/>
      <c r="F33" s="536"/>
      <c r="G33" s="536"/>
      <c r="H33" s="387" t="str">
        <f>IF((C32-'CPCA-II-07'!C32)&gt;0.9,"ERROR!!!!! EL MONTO NO COINCIDE CON LO REPORTADO EN EL FORMATO ETCA-II-07 EN EL TOTAL DEL GASTO","")</f>
        <v/>
      </c>
    </row>
    <row r="34" spans="1:8" x14ac:dyDescent="0.25">
      <c r="H34" s="387" t="str">
        <f>IF((D32-'CPCA-II-07'!D32)&gt;0.9,"ERROR!!!!! EL MONTO NO COINCIDE CON LO REPORTADO EN EL FORMATO ETCA-II-07 EN EL TOTAL DEL GASTO","")</f>
        <v/>
      </c>
    </row>
    <row r="35" spans="1:8" x14ac:dyDescent="0.25">
      <c r="H35" s="387" t="str">
        <f>IF((D32-'CPCA-II-07'!D32)&gt;0.9,"ERROR!!!!! EL MONTO NO COINCIDE CON LO REPORTADO EN EL FORMATO ETCA-II-07 EN EL TOTAL DEL GASTO","")</f>
        <v/>
      </c>
    </row>
    <row r="36" spans="1:8" x14ac:dyDescent="0.25">
      <c r="H36" s="387" t="str">
        <f>IF((F32-'CPCA-II-07'!F32)&gt;0.9,"ERROR!!!!! EL MONTO NO COINCIDE CON LO REPORTADO EN EL FORMATO ETCA-II-07 EN EL TOTAL DEL GASTO","")</f>
        <v/>
      </c>
    </row>
    <row r="37" spans="1:8" x14ac:dyDescent="0.25">
      <c r="H37" s="387" t="str">
        <f>IF((G32-'CPCA-II-07'!G32)&gt;0.9,"ERROR!!!!! EL MONTO NO COINCIDE CON LO REPORTADO EN EL FORMATO ETCA-II-07 EN EL TOTAL DEL GASTO","")</f>
        <v/>
      </c>
    </row>
  </sheetData>
  <mergeCells count="8">
    <mergeCell ref="A6:A7"/>
    <mergeCell ref="B6:F6"/>
    <mergeCell ref="G6:G7"/>
    <mergeCell ref="A1:G1"/>
    <mergeCell ref="A2:G2"/>
    <mergeCell ref="A3:G3"/>
    <mergeCell ref="A4:G4"/>
    <mergeCell ref="A5:G5"/>
  </mergeCells>
  <pageMargins left="0.70866141732283472" right="0.70866141732283472" top="0.35433070866141736" bottom="0.35433070866141736" header="0.31496062992125984" footer="0.31496062992125984"/>
  <pageSetup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tint="-4.9989318521683403E-2"/>
    <pageSetUpPr fitToPage="1"/>
  </sheetPr>
  <dimension ref="A1:H22"/>
  <sheetViews>
    <sheetView view="pageBreakPreview" zoomScaleSheetLayoutView="100" workbookViewId="0">
      <selection activeCell="C56" sqref="C56"/>
    </sheetView>
  </sheetViews>
  <sheetFormatPr baseColWidth="10" defaultColWidth="11.28515625" defaultRowHeight="16.5" x14ac:dyDescent="0.25"/>
  <cols>
    <col min="1" max="1" width="39.85546875" style="88" customWidth="1"/>
    <col min="2" max="7" width="13.7109375" style="88" customWidth="1"/>
    <col min="8" max="16384" width="11.28515625" style="88"/>
  </cols>
  <sheetData>
    <row r="1" spans="1:8" x14ac:dyDescent="0.25">
      <c r="A1" s="1087" t="str">
        <f>'CPCA-I-01'!A1:G1</f>
        <v xml:space="preserve">Comision Estatal del Agua </v>
      </c>
      <c r="B1" s="1087"/>
      <c r="C1" s="1087"/>
      <c r="D1" s="1087"/>
      <c r="E1" s="1087"/>
      <c r="F1" s="1087"/>
      <c r="G1" s="1087"/>
    </row>
    <row r="2" spans="1:8" s="127" customFormat="1" x14ac:dyDescent="0.25">
      <c r="A2" s="1087" t="s">
        <v>471</v>
      </c>
      <c r="B2" s="1087"/>
      <c r="C2" s="1087"/>
      <c r="D2" s="1087"/>
      <c r="E2" s="1087"/>
      <c r="F2" s="1087"/>
      <c r="G2" s="1087"/>
    </row>
    <row r="3" spans="1:8" s="127" customFormat="1" x14ac:dyDescent="0.25">
      <c r="A3" s="1280" t="s">
        <v>1718</v>
      </c>
      <c r="B3" s="1280"/>
      <c r="C3" s="1280"/>
      <c r="D3" s="1280"/>
      <c r="E3" s="1280"/>
      <c r="F3" s="1280"/>
      <c r="G3" s="1280"/>
    </row>
    <row r="4" spans="1:8" s="127" customFormat="1" x14ac:dyDescent="0.25">
      <c r="A4" s="1088" t="str">
        <f>'CPCA-I-03'!A3:D3</f>
        <v xml:space="preserve">Del  01 de Enero de 2023 al 31 de Diciembre de 2023 </v>
      </c>
      <c r="B4" s="1088"/>
      <c r="C4" s="1088"/>
      <c r="D4" s="1088"/>
      <c r="E4" s="1088"/>
      <c r="F4" s="1088"/>
      <c r="G4" s="1088"/>
    </row>
    <row r="5" spans="1:8" s="127" customFormat="1" ht="17.25" thickBot="1" x14ac:dyDescent="0.3">
      <c r="A5" s="1226" t="s">
        <v>920</v>
      </c>
      <c r="B5" s="1226"/>
      <c r="C5" s="1226"/>
      <c r="D5" s="1226"/>
      <c r="E5" s="1226"/>
      <c r="F5" s="38"/>
      <c r="G5" s="324"/>
    </row>
    <row r="6" spans="1:8" s="223" customFormat="1" ht="24" customHeight="1" thickBot="1" x14ac:dyDescent="0.3">
      <c r="A6" s="1277" t="s">
        <v>243</v>
      </c>
      <c r="B6" s="1281" t="s">
        <v>532</v>
      </c>
      <c r="C6" s="1282"/>
      <c r="D6" s="1282"/>
      <c r="E6" s="1282"/>
      <c r="F6" s="1283"/>
      <c r="G6" s="1284" t="s">
        <v>477</v>
      </c>
    </row>
    <row r="7" spans="1:8" s="223" customFormat="1" ht="30" customHeight="1" x14ac:dyDescent="0.25">
      <c r="A7" s="1278"/>
      <c r="B7" s="230" t="s">
        <v>1715</v>
      </c>
      <c r="C7" s="230" t="s">
        <v>404</v>
      </c>
      <c r="D7" s="230" t="s">
        <v>536</v>
      </c>
      <c r="E7" s="230" t="s">
        <v>406</v>
      </c>
      <c r="F7" s="230" t="s">
        <v>1716</v>
      </c>
      <c r="G7" s="1285"/>
    </row>
    <row r="8" spans="1:8" s="229" customFormat="1" ht="15.75" customHeight="1" thickBot="1" x14ac:dyDescent="0.3">
      <c r="A8" s="1279"/>
      <c r="B8" s="224" t="s">
        <v>1702</v>
      </c>
      <c r="C8" s="224" t="s">
        <v>1703</v>
      </c>
      <c r="D8" s="224" t="s">
        <v>1698</v>
      </c>
      <c r="E8" s="224" t="s">
        <v>1704</v>
      </c>
      <c r="F8" s="224" t="s">
        <v>1705</v>
      </c>
      <c r="G8" s="225" t="s">
        <v>1717</v>
      </c>
    </row>
    <row r="9" spans="1:8" ht="30" customHeight="1" x14ac:dyDescent="0.25">
      <c r="A9" s="391"/>
      <c r="B9" s="232"/>
      <c r="C9" s="232"/>
      <c r="D9" s="232"/>
      <c r="E9" s="232"/>
      <c r="F9" s="232"/>
      <c r="G9" s="233"/>
    </row>
    <row r="10" spans="1:8" ht="30" customHeight="1" x14ac:dyDescent="0.25">
      <c r="A10" s="219" t="s">
        <v>637</v>
      </c>
      <c r="B10" s="343">
        <v>782667131.32148921</v>
      </c>
      <c r="C10" s="343">
        <v>3347248838.5700006</v>
      </c>
      <c r="D10" s="344">
        <f>B10+C10</f>
        <v>4129915969.89149</v>
      </c>
      <c r="E10" s="343">
        <v>2541414341.0099998</v>
      </c>
      <c r="F10" s="343">
        <v>2472329010.5</v>
      </c>
      <c r="G10" s="345">
        <f>D10-E10</f>
        <v>1588501628.8814902</v>
      </c>
    </row>
    <row r="11" spans="1:8" ht="30" customHeight="1" x14ac:dyDescent="0.25">
      <c r="A11" s="219" t="s">
        <v>638</v>
      </c>
      <c r="B11" s="343"/>
      <c r="C11" s="343"/>
      <c r="D11" s="344">
        <f>B11+C11</f>
        <v>0</v>
      </c>
      <c r="E11" s="343"/>
      <c r="F11" s="343"/>
      <c r="G11" s="345">
        <f>D11-E11</f>
        <v>0</v>
      </c>
    </row>
    <row r="12" spans="1:8" ht="30" customHeight="1" x14ac:dyDescent="0.25">
      <c r="A12" s="219" t="s">
        <v>639</v>
      </c>
      <c r="B12" s="343"/>
      <c r="C12" s="343"/>
      <c r="D12" s="344">
        <f>B12+C12</f>
        <v>0</v>
      </c>
      <c r="E12" s="343"/>
      <c r="F12" s="343"/>
      <c r="G12" s="345">
        <f>D12-E12</f>
        <v>0</v>
      </c>
    </row>
    <row r="13" spans="1:8" ht="30" customHeight="1" x14ac:dyDescent="0.25">
      <c r="A13" s="219" t="s">
        <v>640</v>
      </c>
      <c r="B13" s="343"/>
      <c r="C13" s="343"/>
      <c r="D13" s="344">
        <f>B13+C13</f>
        <v>0</v>
      </c>
      <c r="E13" s="343"/>
      <c r="F13" s="343"/>
      <c r="G13" s="345">
        <f>D13-E13</f>
        <v>0</v>
      </c>
    </row>
    <row r="14" spans="1:8" ht="30" customHeight="1" thickBot="1" x14ac:dyDescent="0.3">
      <c r="A14" s="161"/>
      <c r="B14" s="350"/>
      <c r="C14" s="350"/>
      <c r="D14" s="350"/>
      <c r="E14" s="350"/>
      <c r="F14" s="350"/>
      <c r="G14" s="351"/>
    </row>
    <row r="15" spans="1:8" s="223" customFormat="1" ht="30" customHeight="1" thickBot="1" x14ac:dyDescent="0.3">
      <c r="A15" s="629" t="s">
        <v>529</v>
      </c>
      <c r="B15" s="352">
        <f>SUM(B10:B13)</f>
        <v>782667131.32148921</v>
      </c>
      <c r="C15" s="352">
        <f>SUM(C10:C13)</f>
        <v>3347248838.5700006</v>
      </c>
      <c r="D15" s="352">
        <f>B15+C15</f>
        <v>4129915969.89149</v>
      </c>
      <c r="E15" s="352">
        <f>SUM(E10:E13)</f>
        <v>2541414341.0099998</v>
      </c>
      <c r="F15" s="352">
        <f>SUM(F10:F13)</f>
        <v>2472329010.5</v>
      </c>
      <c r="G15" s="353">
        <f>D15-E15</f>
        <v>1588501628.8814902</v>
      </c>
      <c r="H15" s="387"/>
    </row>
    <row r="16" spans="1:8" s="223" customFormat="1" ht="30" customHeight="1" x14ac:dyDescent="0.25">
      <c r="A16" s="373"/>
      <c r="B16" s="374"/>
      <c r="C16" s="374"/>
      <c r="D16" s="374"/>
      <c r="E16" s="374"/>
      <c r="F16" s="374"/>
      <c r="G16" s="374"/>
      <c r="H16" s="387"/>
    </row>
    <row r="17" spans="1:8" s="223" customFormat="1" ht="30" customHeight="1" x14ac:dyDescent="0.25">
      <c r="A17" s="373"/>
      <c r="B17" s="374"/>
      <c r="C17" s="374"/>
      <c r="D17" s="374"/>
      <c r="E17" s="374"/>
      <c r="F17" s="374"/>
      <c r="G17" s="374"/>
      <c r="H17" s="387"/>
    </row>
    <row r="18" spans="1:8" s="223" customFormat="1" ht="18" customHeight="1" x14ac:dyDescent="0.25">
      <c r="A18" s="373"/>
      <c r="B18" s="374"/>
      <c r="C18" s="374"/>
      <c r="D18" s="374"/>
      <c r="E18" s="374"/>
      <c r="F18" s="374"/>
      <c r="G18" s="374"/>
      <c r="H18" s="387"/>
    </row>
    <row r="19" spans="1:8" s="223" customFormat="1" ht="18" customHeight="1" x14ac:dyDescent="0.25">
      <c r="A19" s="373"/>
      <c r="B19" s="374"/>
      <c r="C19" s="374"/>
      <c r="D19" s="374"/>
      <c r="E19" s="374"/>
      <c r="F19" s="374"/>
      <c r="G19" s="374"/>
      <c r="H19" s="387"/>
    </row>
    <row r="20" spans="1:8" x14ac:dyDescent="0.25">
      <c r="H20" s="387"/>
    </row>
    <row r="21" spans="1:8" x14ac:dyDescent="0.25">
      <c r="H21" s="387"/>
    </row>
    <row r="22" spans="1:8" x14ac:dyDescent="0.25">
      <c r="H22" s="387"/>
    </row>
  </sheetData>
  <sheetProtection formatColumns="0" formatRows="0" insertHyperlinks="0"/>
  <mergeCells count="8">
    <mergeCell ref="A6:A8"/>
    <mergeCell ref="A4:G4"/>
    <mergeCell ref="A1:G1"/>
    <mergeCell ref="A2:G2"/>
    <mergeCell ref="A3:G3"/>
    <mergeCell ref="A5:E5"/>
    <mergeCell ref="B6:F6"/>
    <mergeCell ref="G6:G7"/>
  </mergeCells>
  <printOptions horizontalCentered="1"/>
  <pageMargins left="0.70866141732283472" right="0.70866141732283472" top="0.74803149606299213" bottom="0.74803149606299213" header="0.31496062992125984" footer="0.31496062992125984"/>
  <pageSetup scale="9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tint="-4.9989318521683403E-2"/>
    <pageSetUpPr fitToPage="1"/>
  </sheetPr>
  <dimension ref="A1:H31"/>
  <sheetViews>
    <sheetView view="pageBreakPreview" zoomScaleSheetLayoutView="100" workbookViewId="0">
      <selection activeCell="C56" sqref="C56"/>
    </sheetView>
  </sheetViews>
  <sheetFormatPr baseColWidth="10" defaultColWidth="11.28515625" defaultRowHeight="16.5" x14ac:dyDescent="0.25"/>
  <cols>
    <col min="1" max="1" width="39.85546875" style="88" customWidth="1"/>
    <col min="2" max="7" width="13.7109375" style="88" customWidth="1"/>
    <col min="8" max="16384" width="11.28515625" style="88"/>
  </cols>
  <sheetData>
    <row r="1" spans="1:7" x14ac:dyDescent="0.25">
      <c r="A1" s="1280" t="str">
        <f>'CPCA-I-01'!A1:G1</f>
        <v xml:space="preserve">Comision Estatal del Agua </v>
      </c>
      <c r="B1" s="1280"/>
      <c r="C1" s="1280"/>
      <c r="D1" s="1280"/>
      <c r="E1" s="1280"/>
      <c r="F1" s="1280"/>
      <c r="G1" s="1280"/>
    </row>
    <row r="2" spans="1:7" x14ac:dyDescent="0.25">
      <c r="A2" s="1280" t="s">
        <v>471</v>
      </c>
      <c r="B2" s="1280"/>
      <c r="C2" s="1280"/>
      <c r="D2" s="1280"/>
      <c r="E2" s="1280"/>
      <c r="F2" s="1280"/>
      <c r="G2" s="1280"/>
    </row>
    <row r="3" spans="1:7" x14ac:dyDescent="0.25">
      <c r="A3" s="1280" t="s">
        <v>631</v>
      </c>
      <c r="B3" s="1280"/>
      <c r="C3" s="1280"/>
      <c r="D3" s="1280"/>
      <c r="E3" s="1280"/>
      <c r="F3" s="1280"/>
      <c r="G3" s="1280"/>
    </row>
    <row r="4" spans="1:7" x14ac:dyDescent="0.25">
      <c r="A4" s="1088" t="str">
        <f>'CPCA-I-03'!A3:D3</f>
        <v xml:space="preserve">Del  01 de Enero de 2023 al 31 de Diciembre de 2023 </v>
      </c>
      <c r="B4" s="1088"/>
      <c r="C4" s="1088"/>
      <c r="D4" s="1088"/>
      <c r="E4" s="1088"/>
      <c r="F4" s="1088"/>
      <c r="G4" s="1088"/>
    </row>
    <row r="5" spans="1:7" ht="17.25" thickBot="1" x14ac:dyDescent="0.3">
      <c r="A5" s="1226" t="s">
        <v>921</v>
      </c>
      <c r="B5" s="1226"/>
      <c r="C5" s="1226"/>
      <c r="D5" s="1226"/>
      <c r="E5" s="1226"/>
      <c r="F5" s="38"/>
      <c r="G5" s="324"/>
    </row>
    <row r="6" spans="1:7" s="216" customFormat="1" ht="15.75" customHeight="1" thickBot="1" x14ac:dyDescent="0.3">
      <c r="A6" s="1286" t="s">
        <v>243</v>
      </c>
      <c r="B6" s="1289" t="s">
        <v>532</v>
      </c>
      <c r="C6" s="1290"/>
      <c r="D6" s="1290"/>
      <c r="E6" s="1290"/>
      <c r="F6" s="1291"/>
      <c r="G6" s="1292" t="s">
        <v>477</v>
      </c>
    </row>
    <row r="7" spans="1:7" s="216" customFormat="1" ht="27" x14ac:dyDescent="0.25">
      <c r="A7" s="1287"/>
      <c r="B7" s="236" t="s">
        <v>1719</v>
      </c>
      <c r="C7" s="236" t="s">
        <v>404</v>
      </c>
      <c r="D7" s="236" t="s">
        <v>1712</v>
      </c>
      <c r="E7" s="236" t="s">
        <v>720</v>
      </c>
      <c r="F7" s="236" t="s">
        <v>1709</v>
      </c>
      <c r="G7" s="1293"/>
    </row>
    <row r="8" spans="1:7" s="216" customFormat="1" ht="15.75" customHeight="1" thickBot="1" x14ac:dyDescent="0.3">
      <c r="A8" s="1288"/>
      <c r="B8" s="224" t="s">
        <v>1702</v>
      </c>
      <c r="C8" s="224" t="s">
        <v>1703</v>
      </c>
      <c r="D8" s="224" t="s">
        <v>1721</v>
      </c>
      <c r="E8" s="224" t="s">
        <v>1704</v>
      </c>
      <c r="F8" s="224" t="s">
        <v>1705</v>
      </c>
      <c r="G8" s="225" t="s">
        <v>1720</v>
      </c>
    </row>
    <row r="9" spans="1:7" x14ac:dyDescent="0.25">
      <c r="A9" s="231"/>
      <c r="B9" s="234"/>
      <c r="C9" s="234"/>
      <c r="D9" s="235"/>
      <c r="E9" s="234"/>
      <c r="F9" s="234"/>
      <c r="G9" s="237"/>
    </row>
    <row r="10" spans="1:7" ht="25.5" x14ac:dyDescent="0.25">
      <c r="A10" s="238" t="s">
        <v>641</v>
      </c>
      <c r="B10" s="343">
        <v>782667131.32148921</v>
      </c>
      <c r="C10" s="343">
        <v>3347248838.5700006</v>
      </c>
      <c r="D10" s="344">
        <f>IF(A10="","",B10+C10)</f>
        <v>4129915969.89149</v>
      </c>
      <c r="E10" s="343">
        <v>2541414341.0099998</v>
      </c>
      <c r="F10" s="343">
        <v>2472329010.5</v>
      </c>
      <c r="G10" s="345">
        <f>IF(A10="","",D10-E10)</f>
        <v>1588501628.8814902</v>
      </c>
    </row>
    <row r="11" spans="1:7" ht="8.25" customHeight="1" x14ac:dyDescent="0.25">
      <c r="A11" s="238"/>
      <c r="B11" s="343"/>
      <c r="C11" s="343"/>
      <c r="D11" s="344" t="str">
        <f t="shared" ref="D11:D22" si="0">IF(A11="","",B11+C11)</f>
        <v/>
      </c>
      <c r="E11" s="343"/>
      <c r="F11" s="343"/>
      <c r="G11" s="345" t="str">
        <f t="shared" ref="G11:G22" si="1">IF(A11="","",D11-E11)</f>
        <v/>
      </c>
    </row>
    <row r="12" spans="1:7" x14ac:dyDescent="0.25">
      <c r="A12" s="238" t="s">
        <v>642</v>
      </c>
      <c r="B12" s="343"/>
      <c r="C12" s="343"/>
      <c r="D12" s="344">
        <f t="shared" si="0"/>
        <v>0</v>
      </c>
      <c r="E12" s="343"/>
      <c r="F12" s="343"/>
      <c r="G12" s="345">
        <f t="shared" si="1"/>
        <v>0</v>
      </c>
    </row>
    <row r="13" spans="1:7" ht="8.25" customHeight="1" x14ac:dyDescent="0.25">
      <c r="A13" s="238"/>
      <c r="B13" s="343"/>
      <c r="C13" s="343"/>
      <c r="D13" s="344" t="str">
        <f t="shared" si="0"/>
        <v/>
      </c>
      <c r="E13" s="343"/>
      <c r="F13" s="343"/>
      <c r="G13" s="345" t="str">
        <f t="shared" si="1"/>
        <v/>
      </c>
    </row>
    <row r="14" spans="1:7" ht="25.5" x14ac:dyDescent="0.25">
      <c r="A14" s="238" t="s">
        <v>643</v>
      </c>
      <c r="B14" s="343"/>
      <c r="C14" s="343"/>
      <c r="D14" s="344">
        <f t="shared" si="0"/>
        <v>0</v>
      </c>
      <c r="E14" s="343"/>
      <c r="F14" s="343"/>
      <c r="G14" s="345">
        <f t="shared" si="1"/>
        <v>0</v>
      </c>
    </row>
    <row r="15" spans="1:7" ht="8.25" customHeight="1" x14ac:dyDescent="0.25">
      <c r="A15" s="238"/>
      <c r="B15" s="343"/>
      <c r="C15" s="343"/>
      <c r="D15" s="344" t="str">
        <f t="shared" si="0"/>
        <v/>
      </c>
      <c r="E15" s="343"/>
      <c r="F15" s="343"/>
      <c r="G15" s="345" t="str">
        <f t="shared" si="1"/>
        <v/>
      </c>
    </row>
    <row r="16" spans="1:7" ht="25.5" x14ac:dyDescent="0.25">
      <c r="A16" s="238" t="s">
        <v>644</v>
      </c>
      <c r="B16" s="343"/>
      <c r="C16" s="343"/>
      <c r="D16" s="344">
        <f t="shared" si="0"/>
        <v>0</v>
      </c>
      <c r="E16" s="343"/>
      <c r="F16" s="343"/>
      <c r="G16" s="345">
        <f t="shared" si="1"/>
        <v>0</v>
      </c>
    </row>
    <row r="17" spans="1:8" ht="8.25" customHeight="1" x14ac:dyDescent="0.25">
      <c r="A17" s="238"/>
      <c r="B17" s="343"/>
      <c r="C17" s="343"/>
      <c r="D17" s="344" t="str">
        <f t="shared" si="0"/>
        <v/>
      </c>
      <c r="E17" s="343"/>
      <c r="F17" s="343"/>
      <c r="G17" s="345" t="str">
        <f t="shared" si="1"/>
        <v/>
      </c>
    </row>
    <row r="18" spans="1:8" ht="25.5" x14ac:dyDescent="0.25">
      <c r="A18" s="238" t="s">
        <v>645</v>
      </c>
      <c r="B18" s="343"/>
      <c r="C18" s="343"/>
      <c r="D18" s="344">
        <f t="shared" si="0"/>
        <v>0</v>
      </c>
      <c r="E18" s="343"/>
      <c r="F18" s="343"/>
      <c r="G18" s="345">
        <f t="shared" si="1"/>
        <v>0</v>
      </c>
    </row>
    <row r="19" spans="1:8" ht="8.25" customHeight="1" x14ac:dyDescent="0.25">
      <c r="A19" s="238"/>
      <c r="B19" s="343"/>
      <c r="C19" s="343"/>
      <c r="D19" s="344" t="str">
        <f t="shared" si="0"/>
        <v/>
      </c>
      <c r="E19" s="343"/>
      <c r="F19" s="343"/>
      <c r="G19" s="345" t="str">
        <f t="shared" si="1"/>
        <v/>
      </c>
    </row>
    <row r="20" spans="1:8" ht="25.5" x14ac:dyDescent="0.25">
      <c r="A20" s="238" t="s">
        <v>646</v>
      </c>
      <c r="B20" s="343"/>
      <c r="C20" s="343"/>
      <c r="D20" s="344">
        <f t="shared" si="0"/>
        <v>0</v>
      </c>
      <c r="E20" s="343"/>
      <c r="F20" s="343"/>
      <c r="G20" s="345">
        <f t="shared" si="1"/>
        <v>0</v>
      </c>
    </row>
    <row r="21" spans="1:8" ht="8.25" customHeight="1" x14ac:dyDescent="0.25">
      <c r="A21" s="238"/>
      <c r="B21" s="343"/>
      <c r="C21" s="343"/>
      <c r="D21" s="344" t="str">
        <f t="shared" si="0"/>
        <v/>
      </c>
      <c r="E21" s="343"/>
      <c r="F21" s="343"/>
      <c r="G21" s="345" t="str">
        <f t="shared" si="1"/>
        <v/>
      </c>
    </row>
    <row r="22" spans="1:8" ht="26.25" thickBot="1" x14ac:dyDescent="0.3">
      <c r="A22" s="238" t="s">
        <v>647</v>
      </c>
      <c r="B22" s="343"/>
      <c r="C22" s="343"/>
      <c r="D22" s="344">
        <f t="shared" si="0"/>
        <v>0</v>
      </c>
      <c r="E22" s="343"/>
      <c r="F22" s="343"/>
      <c r="G22" s="345">
        <f t="shared" si="1"/>
        <v>0</v>
      </c>
    </row>
    <row r="23" spans="1:8" ht="24.95" customHeight="1" thickBot="1" x14ac:dyDescent="0.3">
      <c r="A23" s="228" t="s">
        <v>529</v>
      </c>
      <c r="B23" s="339">
        <f>SUM(B10:B22)</f>
        <v>782667131.32148921</v>
      </c>
      <c r="C23" s="339">
        <f>SUM(C10:C22)</f>
        <v>3347248838.5700006</v>
      </c>
      <c r="D23" s="339">
        <f>IF(A23="","",B23+C23)</f>
        <v>4129915969.89149</v>
      </c>
      <c r="E23" s="339">
        <f>SUM(E10:E22)</f>
        <v>2541414341.0099998</v>
      </c>
      <c r="F23" s="339">
        <f>SUM(F10:F22)</f>
        <v>2472329010.5</v>
      </c>
      <c r="G23" s="349">
        <f>IF(A23="","",D23-E23)</f>
        <v>1588501628.8814902</v>
      </c>
      <c r="H23" s="387"/>
    </row>
    <row r="24" spans="1:8" ht="24.95" customHeight="1" x14ac:dyDescent="0.25">
      <c r="A24" s="403"/>
      <c r="B24" s="404"/>
      <c r="C24" s="404"/>
      <c r="D24" s="404"/>
      <c r="E24" s="404"/>
      <c r="F24" s="404"/>
      <c r="G24" s="404"/>
      <c r="H24" s="387"/>
    </row>
    <row r="25" spans="1:8" ht="24.95" customHeight="1" x14ac:dyDescent="0.25">
      <c r="A25" s="375"/>
      <c r="B25" s="374"/>
      <c r="C25" s="374"/>
      <c r="D25" s="374"/>
      <c r="E25" s="374"/>
      <c r="F25" s="374"/>
      <c r="G25" s="374"/>
      <c r="H25" s="387"/>
    </row>
    <row r="26" spans="1:8" ht="24.95" customHeight="1" x14ac:dyDescent="0.25">
      <c r="A26" s="405"/>
      <c r="B26" s="377"/>
      <c r="C26" s="377"/>
      <c r="D26" s="378"/>
      <c r="E26" s="377"/>
      <c r="F26" s="377"/>
      <c r="G26" s="378"/>
      <c r="H26" s="387"/>
    </row>
    <row r="27" spans="1:8" ht="24.95" customHeight="1" x14ac:dyDescent="0.25">
      <c r="A27" s="405"/>
      <c r="B27" s="377"/>
      <c r="C27" s="377"/>
      <c r="D27" s="378"/>
      <c r="E27" s="377"/>
      <c r="F27" s="377"/>
      <c r="G27" s="378"/>
      <c r="H27" s="387"/>
    </row>
    <row r="28" spans="1:8" ht="25.5" customHeight="1" x14ac:dyDescent="0.25">
      <c r="A28" s="375"/>
      <c r="B28" s="374"/>
      <c r="C28" s="374"/>
      <c r="D28" s="374"/>
      <c r="E28" s="374"/>
      <c r="F28" s="374"/>
      <c r="G28" s="374"/>
      <c r="H28" s="387"/>
    </row>
    <row r="30" spans="1:8" x14ac:dyDescent="0.25">
      <c r="F30" s="223"/>
    </row>
    <row r="31" spans="1:8" x14ac:dyDescent="0.25">
      <c r="F31" s="223"/>
    </row>
  </sheetData>
  <sheetProtection formatColumns="0" formatRows="0" insertHyperlinks="0"/>
  <mergeCells count="8">
    <mergeCell ref="A6:A8"/>
    <mergeCell ref="A1:G1"/>
    <mergeCell ref="A2:G2"/>
    <mergeCell ref="A3:G3"/>
    <mergeCell ref="A4:G4"/>
    <mergeCell ref="A5:E5"/>
    <mergeCell ref="B6:F6"/>
    <mergeCell ref="G6:G7"/>
  </mergeCells>
  <printOptions horizontalCentered="1"/>
  <pageMargins left="0.70866141732283472" right="0.70866141732283472" top="0.74803149606299213" bottom="0.74803149606299213" header="0.31496062992125984" footer="0.31496062992125984"/>
  <pageSetup scale="99"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tint="-4.9989318521683403E-2"/>
  </sheetPr>
  <dimension ref="A1:H49"/>
  <sheetViews>
    <sheetView view="pageBreakPreview" topLeftCell="A13" zoomScale="90" zoomScaleSheetLayoutView="90" workbookViewId="0">
      <selection activeCell="C56" sqref="C56"/>
    </sheetView>
  </sheetViews>
  <sheetFormatPr baseColWidth="10" defaultRowHeight="15" x14ac:dyDescent="0.25"/>
  <cols>
    <col min="1" max="1" width="44" customWidth="1"/>
    <col min="2" max="5" width="11.28515625"/>
    <col min="6" max="6" width="11.85546875" customWidth="1"/>
  </cols>
  <sheetData>
    <row r="1" spans="1:7" ht="16.5" x14ac:dyDescent="0.25">
      <c r="A1" s="1280" t="str">
        <f>'CPCA-I-01'!A1:G1</f>
        <v xml:space="preserve">Comision Estatal del Agua </v>
      </c>
      <c r="B1" s="1280"/>
      <c r="C1" s="1280"/>
      <c r="D1" s="1280"/>
      <c r="E1" s="1280"/>
      <c r="F1" s="1280"/>
      <c r="G1" s="1280"/>
    </row>
    <row r="2" spans="1:7" ht="16.5" x14ac:dyDescent="0.25">
      <c r="A2" s="1280" t="s">
        <v>471</v>
      </c>
      <c r="B2" s="1280"/>
      <c r="C2" s="1280"/>
      <c r="D2" s="1280"/>
      <c r="E2" s="1280"/>
      <c r="F2" s="1280"/>
      <c r="G2" s="1280"/>
    </row>
    <row r="3" spans="1:7" ht="16.5" x14ac:dyDescent="0.25">
      <c r="A3" s="1280" t="s">
        <v>648</v>
      </c>
      <c r="B3" s="1280"/>
      <c r="C3" s="1280"/>
      <c r="D3" s="1280"/>
      <c r="E3" s="1280"/>
      <c r="F3" s="1280"/>
      <c r="G3" s="1280"/>
    </row>
    <row r="4" spans="1:7" ht="16.5" x14ac:dyDescent="0.25">
      <c r="A4" s="1088" t="str">
        <f>'CPCA-I-03'!A3:D3</f>
        <v xml:space="preserve">Del  01 de Enero de 2023 al 31 de Diciembre de 2023 </v>
      </c>
      <c r="B4" s="1088"/>
      <c r="C4" s="1088"/>
      <c r="D4" s="1088"/>
      <c r="E4" s="1088"/>
      <c r="F4" s="1088"/>
      <c r="G4" s="1088"/>
    </row>
    <row r="5" spans="1:7" ht="17.25" thickBot="1" x14ac:dyDescent="0.3">
      <c r="A5" s="126"/>
      <c r="B5" s="1294"/>
      <c r="C5" s="1294"/>
      <c r="D5" s="1294"/>
      <c r="E5" s="1294"/>
      <c r="F5" s="239"/>
      <c r="G5" s="325"/>
    </row>
    <row r="6" spans="1:7" x14ac:dyDescent="0.25">
      <c r="A6" s="1286" t="s">
        <v>243</v>
      </c>
      <c r="B6" s="1295" t="s">
        <v>532</v>
      </c>
      <c r="C6" s="1296"/>
      <c r="D6" s="1296"/>
      <c r="E6" s="1296"/>
      <c r="F6" s="1297"/>
      <c r="G6" s="1298" t="s">
        <v>477</v>
      </c>
    </row>
    <row r="7" spans="1:7" ht="27" x14ac:dyDescent="0.25">
      <c r="A7" s="1287"/>
      <c r="B7" s="769" t="s">
        <v>1722</v>
      </c>
      <c r="C7" s="769" t="s">
        <v>404</v>
      </c>
      <c r="D7" s="769" t="s">
        <v>1708</v>
      </c>
      <c r="E7" s="769" t="s">
        <v>720</v>
      </c>
      <c r="F7" s="769" t="s">
        <v>1709</v>
      </c>
      <c r="G7" s="1299"/>
    </row>
    <row r="8" spans="1:7" ht="15.75" thickBot="1" x14ac:dyDescent="0.3">
      <c r="A8" s="1288"/>
      <c r="B8" s="770">
        <v>1</v>
      </c>
      <c r="C8" s="770">
        <v>2</v>
      </c>
      <c r="D8" s="770" t="s">
        <v>1721</v>
      </c>
      <c r="E8" s="770">
        <v>4</v>
      </c>
      <c r="F8" s="770">
        <v>5</v>
      </c>
      <c r="G8" s="771" t="s">
        <v>1700</v>
      </c>
    </row>
    <row r="9" spans="1:7" ht="16.5" x14ac:dyDescent="0.25">
      <c r="A9" s="240"/>
      <c r="B9" s="241"/>
      <c r="C9" s="241"/>
      <c r="D9" s="241"/>
      <c r="E9" s="241"/>
      <c r="F9" s="241"/>
      <c r="G9" s="242"/>
    </row>
    <row r="10" spans="1:7" x14ac:dyDescent="0.25">
      <c r="A10" s="340" t="s">
        <v>649</v>
      </c>
      <c r="B10" s="341">
        <f>SUM(B11:B18)</f>
        <v>0</v>
      </c>
      <c r="C10" s="341">
        <f>SUM(C11:C18)</f>
        <v>0</v>
      </c>
      <c r="D10" s="341">
        <f>IF(A10="","",B10+C10)</f>
        <v>0</v>
      </c>
      <c r="E10" s="341">
        <f>SUM(E11:E18)</f>
        <v>0</v>
      </c>
      <c r="F10" s="341">
        <f>SUM(F11:F18)</f>
        <v>0</v>
      </c>
      <c r="G10" s="342">
        <f>IF(A10="","",D10-E10)</f>
        <v>0</v>
      </c>
    </row>
    <row r="11" spans="1:7" x14ac:dyDescent="0.25">
      <c r="A11" s="219" t="s">
        <v>650</v>
      </c>
      <c r="B11" s="343"/>
      <c r="C11" s="343"/>
      <c r="D11" s="344">
        <f t="shared" ref="D11:D44" si="0">IF(A11="","",B11+C11)</f>
        <v>0</v>
      </c>
      <c r="E11" s="343"/>
      <c r="F11" s="343"/>
      <c r="G11" s="345">
        <f t="shared" ref="G11:G44" si="1">IF(A11="","",D11-E11)</f>
        <v>0</v>
      </c>
    </row>
    <row r="12" spans="1:7" x14ac:dyDescent="0.25">
      <c r="A12" s="219" t="s">
        <v>651</v>
      </c>
      <c r="B12" s="343"/>
      <c r="C12" s="343"/>
      <c r="D12" s="344">
        <f t="shared" si="0"/>
        <v>0</v>
      </c>
      <c r="E12" s="343"/>
      <c r="F12" s="343"/>
      <c r="G12" s="345">
        <f t="shared" si="1"/>
        <v>0</v>
      </c>
    </row>
    <row r="13" spans="1:7" x14ac:dyDescent="0.25">
      <c r="A13" s="219" t="s">
        <v>652</v>
      </c>
      <c r="B13" s="343"/>
      <c r="C13" s="343"/>
      <c r="D13" s="344">
        <f t="shared" si="0"/>
        <v>0</v>
      </c>
      <c r="E13" s="343"/>
      <c r="F13" s="343"/>
      <c r="G13" s="345">
        <f t="shared" si="1"/>
        <v>0</v>
      </c>
    </row>
    <row r="14" spans="1:7" x14ac:dyDescent="0.25">
      <c r="A14" s="219" t="s">
        <v>653</v>
      </c>
      <c r="B14" s="343"/>
      <c r="C14" s="343"/>
      <c r="D14" s="344">
        <f t="shared" si="0"/>
        <v>0</v>
      </c>
      <c r="E14" s="343"/>
      <c r="F14" s="343"/>
      <c r="G14" s="345">
        <f t="shared" si="1"/>
        <v>0</v>
      </c>
    </row>
    <row r="15" spans="1:7" x14ac:dyDescent="0.25">
      <c r="A15" s="219" t="s">
        <v>654</v>
      </c>
      <c r="B15" s="343"/>
      <c r="C15" s="343"/>
      <c r="D15" s="344">
        <f t="shared" si="0"/>
        <v>0</v>
      </c>
      <c r="E15" s="343"/>
      <c r="F15" s="343"/>
      <c r="G15" s="345">
        <f t="shared" si="1"/>
        <v>0</v>
      </c>
    </row>
    <row r="16" spans="1:7" x14ac:dyDescent="0.25">
      <c r="A16" s="219" t="s">
        <v>655</v>
      </c>
      <c r="B16" s="343"/>
      <c r="C16" s="343"/>
      <c r="D16" s="344">
        <f t="shared" si="0"/>
        <v>0</v>
      </c>
      <c r="E16" s="343"/>
      <c r="F16" s="343"/>
      <c r="G16" s="345">
        <f t="shared" si="1"/>
        <v>0</v>
      </c>
    </row>
    <row r="17" spans="1:7" x14ac:dyDescent="0.25">
      <c r="A17" s="219" t="s">
        <v>656</v>
      </c>
      <c r="B17" s="343"/>
      <c r="C17" s="343"/>
      <c r="D17" s="344">
        <f t="shared" si="0"/>
        <v>0</v>
      </c>
      <c r="E17" s="343"/>
      <c r="F17" s="343"/>
      <c r="G17" s="345">
        <f t="shared" si="1"/>
        <v>0</v>
      </c>
    </row>
    <row r="18" spans="1:7" x14ac:dyDescent="0.25">
      <c r="A18" s="219" t="s">
        <v>504</v>
      </c>
      <c r="B18" s="343"/>
      <c r="C18" s="343"/>
      <c r="D18" s="344">
        <f t="shared" si="0"/>
        <v>0</v>
      </c>
      <c r="E18" s="343"/>
      <c r="F18" s="343"/>
      <c r="G18" s="345">
        <f t="shared" si="1"/>
        <v>0</v>
      </c>
    </row>
    <row r="19" spans="1:7" x14ac:dyDescent="0.25">
      <c r="A19" s="231"/>
      <c r="B19" s="343"/>
      <c r="C19" s="343"/>
      <c r="D19" s="344" t="str">
        <f t="shared" si="0"/>
        <v/>
      </c>
      <c r="E19" s="343"/>
      <c r="F19" s="343"/>
      <c r="G19" s="345" t="str">
        <f t="shared" si="1"/>
        <v/>
      </c>
    </row>
    <row r="20" spans="1:7" x14ac:dyDescent="0.25">
      <c r="A20" s="340" t="s">
        <v>657</v>
      </c>
      <c r="B20" s="341">
        <f>SUM(B21:B27)</f>
        <v>782667131.32148921</v>
      </c>
      <c r="C20" s="341">
        <f>SUM(C21:C27)</f>
        <v>3347248838.5700006</v>
      </c>
      <c r="D20" s="341">
        <f t="shared" si="0"/>
        <v>4129915969.89149</v>
      </c>
      <c r="E20" s="341">
        <f>SUM(E21:E27)</f>
        <v>2541414341.0099998</v>
      </c>
      <c r="F20" s="341">
        <f>SUM(F21:F27)</f>
        <v>2472329010.5</v>
      </c>
      <c r="G20" s="342">
        <f t="shared" si="1"/>
        <v>1588501628.8814902</v>
      </c>
    </row>
    <row r="21" spans="1:7" x14ac:dyDescent="0.25">
      <c r="A21" s="219" t="s">
        <v>658</v>
      </c>
      <c r="B21" s="343"/>
      <c r="C21" s="343"/>
      <c r="D21" s="344">
        <f t="shared" si="0"/>
        <v>0</v>
      </c>
      <c r="E21" s="343"/>
      <c r="F21" s="343"/>
      <c r="G21" s="345">
        <f t="shared" si="1"/>
        <v>0</v>
      </c>
    </row>
    <row r="22" spans="1:7" x14ac:dyDescent="0.25">
      <c r="A22" s="219" t="s">
        <v>659</v>
      </c>
      <c r="B22" s="343">
        <v>782667131.32148921</v>
      </c>
      <c r="C22" s="343">
        <v>3347248838.5700006</v>
      </c>
      <c r="D22" s="344">
        <f t="shared" si="0"/>
        <v>4129915969.89149</v>
      </c>
      <c r="E22" s="343">
        <v>2541414341.0099998</v>
      </c>
      <c r="F22" s="343">
        <v>2472329010.5</v>
      </c>
      <c r="G22" s="345">
        <f t="shared" si="1"/>
        <v>1588501628.8814902</v>
      </c>
    </row>
    <row r="23" spans="1:7" x14ac:dyDescent="0.25">
      <c r="A23" s="219" t="s">
        <v>660</v>
      </c>
      <c r="B23" s="343"/>
      <c r="C23" s="343"/>
      <c r="D23" s="344">
        <f t="shared" si="0"/>
        <v>0</v>
      </c>
      <c r="E23" s="343"/>
      <c r="F23" s="343"/>
      <c r="G23" s="345">
        <f t="shared" si="1"/>
        <v>0</v>
      </c>
    </row>
    <row r="24" spans="1:7" x14ac:dyDescent="0.25">
      <c r="A24" s="219" t="s">
        <v>661</v>
      </c>
      <c r="B24" s="343"/>
      <c r="C24" s="343"/>
      <c r="D24" s="344">
        <f t="shared" si="0"/>
        <v>0</v>
      </c>
      <c r="E24" s="343"/>
      <c r="F24" s="343"/>
      <c r="G24" s="345">
        <f t="shared" si="1"/>
        <v>0</v>
      </c>
    </row>
    <row r="25" spans="1:7" x14ac:dyDescent="0.25">
      <c r="A25" s="219" t="s">
        <v>662</v>
      </c>
      <c r="B25" s="343"/>
      <c r="C25" s="343"/>
      <c r="D25" s="344">
        <f t="shared" si="0"/>
        <v>0</v>
      </c>
      <c r="E25" s="343"/>
      <c r="F25" s="343"/>
      <c r="G25" s="345">
        <f t="shared" si="1"/>
        <v>0</v>
      </c>
    </row>
    <row r="26" spans="1:7" x14ac:dyDescent="0.25">
      <c r="A26" s="219" t="s">
        <v>663</v>
      </c>
      <c r="B26" s="343"/>
      <c r="C26" s="343"/>
      <c r="D26" s="344">
        <f t="shared" si="0"/>
        <v>0</v>
      </c>
      <c r="E26" s="343"/>
      <c r="F26" s="343"/>
      <c r="G26" s="345">
        <f t="shared" si="1"/>
        <v>0</v>
      </c>
    </row>
    <row r="27" spans="1:7" x14ac:dyDescent="0.25">
      <c r="A27" s="219" t="s">
        <v>664</v>
      </c>
      <c r="B27" s="343"/>
      <c r="C27" s="343"/>
      <c r="D27" s="344">
        <f t="shared" si="0"/>
        <v>0</v>
      </c>
      <c r="E27" s="343"/>
      <c r="F27" s="343"/>
      <c r="G27" s="345">
        <f t="shared" si="1"/>
        <v>0</v>
      </c>
    </row>
    <row r="28" spans="1:7" x14ac:dyDescent="0.25">
      <c r="A28" s="231"/>
      <c r="B28" s="343"/>
      <c r="C28" s="343"/>
      <c r="D28" s="344" t="str">
        <f t="shared" si="0"/>
        <v/>
      </c>
      <c r="E28" s="343"/>
      <c r="F28" s="343"/>
      <c r="G28" s="345" t="str">
        <f t="shared" si="1"/>
        <v/>
      </c>
    </row>
    <row r="29" spans="1:7" x14ac:dyDescent="0.25">
      <c r="A29" s="340" t="s">
        <v>665</v>
      </c>
      <c r="B29" s="341">
        <f>SUM(B30:B38)</f>
        <v>0</v>
      </c>
      <c r="C29" s="341">
        <f>SUM(C30:C38)</f>
        <v>0</v>
      </c>
      <c r="D29" s="341">
        <f t="shared" si="0"/>
        <v>0</v>
      </c>
      <c r="E29" s="341">
        <f>SUM(E30:E38)</f>
        <v>0</v>
      </c>
      <c r="F29" s="341">
        <f>SUM(F30:F38)</f>
        <v>0</v>
      </c>
      <c r="G29" s="342">
        <f t="shared" si="1"/>
        <v>0</v>
      </c>
    </row>
    <row r="30" spans="1:7" x14ac:dyDescent="0.25">
      <c r="A30" s="219" t="s">
        <v>666</v>
      </c>
      <c r="B30" s="343"/>
      <c r="C30" s="343"/>
      <c r="D30" s="344">
        <f t="shared" si="0"/>
        <v>0</v>
      </c>
      <c r="E30" s="343"/>
      <c r="F30" s="343"/>
      <c r="G30" s="345">
        <f t="shared" si="1"/>
        <v>0</v>
      </c>
    </row>
    <row r="31" spans="1:7" x14ac:dyDescent="0.25">
      <c r="A31" s="219" t="s">
        <v>667</v>
      </c>
      <c r="B31" s="343"/>
      <c r="C31" s="343"/>
      <c r="D31" s="344">
        <f t="shared" si="0"/>
        <v>0</v>
      </c>
      <c r="E31" s="343"/>
      <c r="F31" s="343"/>
      <c r="G31" s="345">
        <f t="shared" si="1"/>
        <v>0</v>
      </c>
    </row>
    <row r="32" spans="1:7" x14ac:dyDescent="0.25">
      <c r="A32" s="219" t="s">
        <v>668</v>
      </c>
      <c r="B32" s="343"/>
      <c r="C32" s="343"/>
      <c r="D32" s="344">
        <f t="shared" si="0"/>
        <v>0</v>
      </c>
      <c r="E32" s="343"/>
      <c r="F32" s="343"/>
      <c r="G32" s="345">
        <f t="shared" si="1"/>
        <v>0</v>
      </c>
    </row>
    <row r="33" spans="1:8" x14ac:dyDescent="0.25">
      <c r="A33" s="219" t="s">
        <v>669</v>
      </c>
      <c r="B33" s="343"/>
      <c r="C33" s="343"/>
      <c r="D33" s="344">
        <f t="shared" si="0"/>
        <v>0</v>
      </c>
      <c r="E33" s="343"/>
      <c r="F33" s="343"/>
      <c r="G33" s="345">
        <f t="shared" si="1"/>
        <v>0</v>
      </c>
    </row>
    <row r="34" spans="1:8" x14ac:dyDescent="0.25">
      <c r="A34" s="219" t="s">
        <v>670</v>
      </c>
      <c r="B34" s="343"/>
      <c r="C34" s="343"/>
      <c r="D34" s="344">
        <f t="shared" si="0"/>
        <v>0</v>
      </c>
      <c r="E34" s="343"/>
      <c r="F34" s="343"/>
      <c r="G34" s="345">
        <f t="shared" si="1"/>
        <v>0</v>
      </c>
    </row>
    <row r="35" spans="1:8" x14ac:dyDescent="0.25">
      <c r="A35" s="219" t="s">
        <v>671</v>
      </c>
      <c r="B35" s="343"/>
      <c r="C35" s="343"/>
      <c r="D35" s="344">
        <f t="shared" si="0"/>
        <v>0</v>
      </c>
      <c r="E35" s="343"/>
      <c r="F35" s="343"/>
      <c r="G35" s="345">
        <f t="shared" si="1"/>
        <v>0</v>
      </c>
    </row>
    <row r="36" spans="1:8" x14ac:dyDescent="0.25">
      <c r="A36" s="219" t="s">
        <v>672</v>
      </c>
      <c r="B36" s="343"/>
      <c r="C36" s="343"/>
      <c r="D36" s="344">
        <f t="shared" si="0"/>
        <v>0</v>
      </c>
      <c r="E36" s="343"/>
      <c r="F36" s="343"/>
      <c r="G36" s="345">
        <f t="shared" si="1"/>
        <v>0</v>
      </c>
    </row>
    <row r="37" spans="1:8" x14ac:dyDescent="0.25">
      <c r="A37" s="219" t="s">
        <v>673</v>
      </c>
      <c r="B37" s="343"/>
      <c r="C37" s="343"/>
      <c r="D37" s="344">
        <f t="shared" si="0"/>
        <v>0</v>
      </c>
      <c r="E37" s="343"/>
      <c r="F37" s="343"/>
      <c r="G37" s="345">
        <f t="shared" si="1"/>
        <v>0</v>
      </c>
    </row>
    <row r="38" spans="1:8" x14ac:dyDescent="0.25">
      <c r="A38" s="219" t="s">
        <v>674</v>
      </c>
      <c r="B38" s="343"/>
      <c r="C38" s="343"/>
      <c r="D38" s="344">
        <f t="shared" si="0"/>
        <v>0</v>
      </c>
      <c r="E38" s="343"/>
      <c r="F38" s="343"/>
      <c r="G38" s="345">
        <f t="shared" si="1"/>
        <v>0</v>
      </c>
    </row>
    <row r="39" spans="1:8" x14ac:dyDescent="0.25">
      <c r="A39" s="231"/>
      <c r="B39" s="343"/>
      <c r="C39" s="343"/>
      <c r="D39" s="344" t="str">
        <f t="shared" si="0"/>
        <v/>
      </c>
      <c r="E39" s="343"/>
      <c r="F39" s="343"/>
      <c r="G39" s="345" t="str">
        <f t="shared" si="1"/>
        <v/>
      </c>
    </row>
    <row r="40" spans="1:8" x14ac:dyDescent="0.25">
      <c r="A40" s="340" t="s">
        <v>675</v>
      </c>
      <c r="B40" s="341">
        <f>SUM(B41:B44)</f>
        <v>0</v>
      </c>
      <c r="C40" s="341">
        <f>SUM(C41:C44)</f>
        <v>0</v>
      </c>
      <c r="D40" s="341">
        <f t="shared" si="0"/>
        <v>0</v>
      </c>
      <c r="E40" s="341">
        <f>SUM(E41:E44)</f>
        <v>0</v>
      </c>
      <c r="F40" s="341">
        <f>SUM(F41:F44)</f>
        <v>0</v>
      </c>
      <c r="G40" s="342">
        <f t="shared" si="1"/>
        <v>0</v>
      </c>
    </row>
    <row r="41" spans="1:8" ht="25.5" x14ac:dyDescent="0.25">
      <c r="A41" s="346" t="s">
        <v>676</v>
      </c>
      <c r="B41" s="343">
        <v>0</v>
      </c>
      <c r="C41" s="343">
        <v>0</v>
      </c>
      <c r="D41" s="344">
        <f t="shared" si="0"/>
        <v>0</v>
      </c>
      <c r="E41" s="343">
        <v>0</v>
      </c>
      <c r="F41" s="343">
        <v>0</v>
      </c>
      <c r="G41" s="345">
        <f t="shared" si="1"/>
        <v>0</v>
      </c>
    </row>
    <row r="42" spans="1:8" ht="25.5" x14ac:dyDescent="0.25">
      <c r="A42" s="346" t="s">
        <v>677</v>
      </c>
      <c r="B42" s="343"/>
      <c r="C42" s="343"/>
      <c r="D42" s="344">
        <f t="shared" si="0"/>
        <v>0</v>
      </c>
      <c r="E42" s="343"/>
      <c r="F42" s="343"/>
      <c r="G42" s="345">
        <f t="shared" si="1"/>
        <v>0</v>
      </c>
    </row>
    <row r="43" spans="1:8" x14ac:dyDescent="0.25">
      <c r="A43" s="219" t="s">
        <v>678</v>
      </c>
      <c r="B43" s="343"/>
      <c r="C43" s="343"/>
      <c r="D43" s="344">
        <f t="shared" si="0"/>
        <v>0</v>
      </c>
      <c r="E43" s="343"/>
      <c r="F43" s="343"/>
      <c r="G43" s="345">
        <f t="shared" si="1"/>
        <v>0</v>
      </c>
    </row>
    <row r="44" spans="1:8" ht="15.75" thickBot="1" x14ac:dyDescent="0.3">
      <c r="A44" s="219" t="s">
        <v>679</v>
      </c>
      <c r="B44" s="343"/>
      <c r="C44" s="343"/>
      <c r="D44" s="344">
        <f t="shared" si="0"/>
        <v>0</v>
      </c>
      <c r="E44" s="343"/>
      <c r="F44" s="343"/>
      <c r="G44" s="345">
        <f t="shared" si="1"/>
        <v>0</v>
      </c>
    </row>
    <row r="45" spans="1:8" ht="15.75" thickBot="1" x14ac:dyDescent="0.3">
      <c r="A45" s="228" t="s">
        <v>529</v>
      </c>
      <c r="B45" s="347">
        <f>SUM(B10,B20,B29,B40)</f>
        <v>782667131.32148921</v>
      </c>
      <c r="C45" s="347">
        <f>SUM(C10,C20,C29,C40)</f>
        <v>3347248838.5700006</v>
      </c>
      <c r="D45" s="347">
        <f>IF(A45="","",B45+C45)</f>
        <v>4129915969.89149</v>
      </c>
      <c r="E45" s="347">
        <f>SUM(E10,E20,E29,E40)</f>
        <v>2541414341.0099998</v>
      </c>
      <c r="F45" s="347">
        <f>SUM(F10,F20,F29,F40)</f>
        <v>2472329010.5</v>
      </c>
      <c r="G45" s="348">
        <f>IF(A45="","",D45-E45)</f>
        <v>1588501628.8814902</v>
      </c>
      <c r="H45" s="387"/>
    </row>
    <row r="46" spans="1:8" ht="9" customHeight="1" x14ac:dyDescent="0.25">
      <c r="A46" s="375"/>
      <c r="B46" s="378"/>
      <c r="C46" s="378"/>
      <c r="D46" s="378"/>
      <c r="E46" s="378"/>
      <c r="F46" s="378"/>
      <c r="G46" s="378"/>
      <c r="H46" s="387"/>
    </row>
    <row r="47" spans="1:8" x14ac:dyDescent="0.25">
      <c r="A47" s="376"/>
      <c r="B47" s="377"/>
      <c r="C47" s="377"/>
      <c r="D47" s="378"/>
      <c r="E47" s="377"/>
      <c r="F47" s="377"/>
      <c r="G47" s="378"/>
      <c r="H47" s="387"/>
    </row>
    <row r="48" spans="1:8" x14ac:dyDescent="0.25">
      <c r="A48" s="375"/>
      <c r="B48" s="378"/>
      <c r="C48" s="378"/>
      <c r="D48" s="378"/>
      <c r="E48" s="378"/>
      <c r="F48" s="378"/>
      <c r="G48" s="378"/>
      <c r="H48" s="387"/>
    </row>
    <row r="49" spans="8:8" x14ac:dyDescent="0.25">
      <c r="H49" s="387"/>
    </row>
  </sheetData>
  <sheetProtection formatColumns="0" formatRows="0"/>
  <mergeCells count="8">
    <mergeCell ref="A6:A8"/>
    <mergeCell ref="A1:G1"/>
    <mergeCell ref="A2:G2"/>
    <mergeCell ref="A3:G3"/>
    <mergeCell ref="A4:G4"/>
    <mergeCell ref="B5:E5"/>
    <mergeCell ref="B6:F6"/>
    <mergeCell ref="G6:G7"/>
  </mergeCells>
  <pageMargins left="0.70866141732283472" right="0.70866141732283472" top="0.55118110236220474" bottom="0" header="0.31496062992125984" footer="0.31496062992125984"/>
  <pageSetup scale="79" orientation="portrait" horizontalDpi="1200" verticalDpi="1200" r:id="rId1"/>
  <colBreaks count="1" manualBreakCount="1">
    <brk id="7"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tint="-4.9989318521683403E-2"/>
  </sheetPr>
  <dimension ref="A1:U432"/>
  <sheetViews>
    <sheetView view="pageBreakPreview" zoomScaleNormal="112" zoomScaleSheetLayoutView="100" workbookViewId="0">
      <selection activeCell="C432" sqref="C432"/>
    </sheetView>
  </sheetViews>
  <sheetFormatPr baseColWidth="10" defaultColWidth="11.42578125" defaultRowHeight="16.5" x14ac:dyDescent="0.3"/>
  <cols>
    <col min="1" max="1" width="10.42578125" style="24" customWidth="1"/>
    <col min="2" max="2" width="39.7109375" style="6" customWidth="1"/>
    <col min="3" max="5" width="13.28515625" style="6" bestFit="1" customWidth="1"/>
    <col min="6" max="7" width="15.85546875" style="6" bestFit="1" customWidth="1"/>
    <col min="8" max="8" width="13.28515625" style="6" bestFit="1" customWidth="1"/>
    <col min="9" max="9" width="9.42578125" style="6" customWidth="1"/>
    <col min="10" max="10" width="14.42578125" style="908" hidden="1" customWidth="1"/>
    <col min="11" max="11" width="16.28515625" style="908" hidden="1" customWidth="1"/>
    <col min="12" max="14" width="14.42578125" style="908" hidden="1" customWidth="1"/>
    <col min="15" max="15" width="15.7109375" style="908" hidden="1" customWidth="1"/>
    <col min="16" max="21" width="0" style="3" hidden="1" customWidth="1"/>
    <col min="22" max="16384" width="11.42578125" style="3"/>
  </cols>
  <sheetData>
    <row r="1" spans="1:15" s="6" customFormat="1" x14ac:dyDescent="0.25">
      <c r="A1" s="1302" t="str">
        <f>'CPCA-I-01'!A1:G1</f>
        <v xml:space="preserve">Comision Estatal del Agua </v>
      </c>
      <c r="B1" s="1302"/>
      <c r="C1" s="1302"/>
      <c r="D1" s="1302"/>
      <c r="E1" s="1302"/>
      <c r="F1" s="1302"/>
      <c r="G1" s="1302"/>
      <c r="H1" s="1302"/>
      <c r="I1" s="1302"/>
      <c r="J1" s="905"/>
      <c r="K1" s="905"/>
      <c r="L1" s="905"/>
      <c r="M1" s="905"/>
      <c r="N1" s="905"/>
      <c r="O1" s="905"/>
    </row>
    <row r="2" spans="1:15" s="21" customFormat="1" ht="15.75" x14ac:dyDescent="0.25">
      <c r="A2" s="1302" t="s">
        <v>471</v>
      </c>
      <c r="B2" s="1302"/>
      <c r="C2" s="1302"/>
      <c r="D2" s="1302"/>
      <c r="E2" s="1302"/>
      <c r="F2" s="1302"/>
      <c r="G2" s="1302"/>
      <c r="H2" s="1302"/>
      <c r="I2" s="1302"/>
      <c r="J2" s="906"/>
      <c r="K2" s="906"/>
      <c r="L2" s="906"/>
      <c r="M2" s="906"/>
      <c r="N2" s="906"/>
      <c r="O2" s="906"/>
    </row>
    <row r="3" spans="1:15" s="21" customFormat="1" ht="15.75" x14ac:dyDescent="0.25">
      <c r="A3" s="1302" t="s">
        <v>714</v>
      </c>
      <c r="B3" s="1302"/>
      <c r="C3" s="1302"/>
      <c r="D3" s="1302"/>
      <c r="E3" s="1302"/>
      <c r="F3" s="1302"/>
      <c r="G3" s="1302"/>
      <c r="H3" s="1302"/>
      <c r="I3" s="1302"/>
      <c r="J3" s="906"/>
      <c r="K3" s="906"/>
      <c r="L3" s="906"/>
      <c r="M3" s="906"/>
      <c r="N3" s="906"/>
      <c r="O3" s="906"/>
    </row>
    <row r="4" spans="1:15" s="21" customFormat="1" x14ac:dyDescent="0.25">
      <c r="A4" s="1088" t="str">
        <f>'CPCA-I-03'!A3:D3</f>
        <v xml:space="preserve">Del  01 de Enero de 2023 al 31 de Diciembre de 2023 </v>
      </c>
      <c r="B4" s="1088"/>
      <c r="C4" s="1088"/>
      <c r="D4" s="1088"/>
      <c r="E4" s="1088"/>
      <c r="F4" s="1088"/>
      <c r="G4" s="1088"/>
      <c r="H4" s="1088"/>
      <c r="I4" s="1088"/>
      <c r="J4" s="906"/>
      <c r="K4" s="906"/>
      <c r="L4" s="906"/>
      <c r="M4" s="906"/>
      <c r="N4" s="906"/>
      <c r="O4" s="906"/>
    </row>
    <row r="5" spans="1:15" s="22" customFormat="1" ht="17.25" thickBot="1" x14ac:dyDescent="0.3">
      <c r="A5" s="35"/>
      <c r="B5" s="35"/>
      <c r="C5" s="1303" t="s">
        <v>922</v>
      </c>
      <c r="D5" s="1303"/>
      <c r="E5" s="1303"/>
      <c r="F5" s="35"/>
      <c r="G5" s="4"/>
      <c r="H5" s="1304"/>
      <c r="I5" s="1304"/>
      <c r="J5" s="907"/>
      <c r="K5" s="907"/>
      <c r="L5" s="907"/>
      <c r="M5" s="907"/>
      <c r="N5" s="907"/>
      <c r="O5" s="907"/>
    </row>
    <row r="6" spans="1:15" ht="38.25" customHeight="1" x14ac:dyDescent="0.3">
      <c r="A6" s="1131" t="s">
        <v>715</v>
      </c>
      <c r="B6" s="1300"/>
      <c r="C6" s="158" t="s">
        <v>473</v>
      </c>
      <c r="D6" s="158" t="s">
        <v>404</v>
      </c>
      <c r="E6" s="158" t="s">
        <v>474</v>
      </c>
      <c r="F6" s="159" t="s">
        <v>475</v>
      </c>
      <c r="G6" s="159" t="s">
        <v>476</v>
      </c>
      <c r="H6" s="158" t="s">
        <v>477</v>
      </c>
      <c r="I6" s="160" t="s">
        <v>716</v>
      </c>
    </row>
    <row r="7" spans="1:15" ht="18" customHeight="1" thickBot="1" x14ac:dyDescent="0.35">
      <c r="A7" s="1137"/>
      <c r="B7" s="1301"/>
      <c r="C7" s="221" t="s">
        <v>384</v>
      </c>
      <c r="D7" s="221" t="s">
        <v>385</v>
      </c>
      <c r="E7" s="221" t="s">
        <v>478</v>
      </c>
      <c r="F7" s="244" t="s">
        <v>387</v>
      </c>
      <c r="G7" s="244" t="s">
        <v>388</v>
      </c>
      <c r="H7" s="221" t="s">
        <v>479</v>
      </c>
      <c r="I7" s="222" t="s">
        <v>717</v>
      </c>
    </row>
    <row r="8" spans="1:15" ht="6" customHeight="1" x14ac:dyDescent="0.3">
      <c r="A8" s="911"/>
      <c r="B8" s="912"/>
      <c r="C8" s="913"/>
      <c r="D8" s="913"/>
      <c r="E8" s="913"/>
      <c r="F8" s="913"/>
      <c r="G8" s="913"/>
      <c r="H8" s="913"/>
      <c r="I8" s="914"/>
    </row>
    <row r="9" spans="1:15" ht="20.100000000000001" customHeight="1" x14ac:dyDescent="0.3">
      <c r="A9" s="915">
        <v>1000</v>
      </c>
      <c r="B9" s="890" t="s">
        <v>6084</v>
      </c>
      <c r="C9" s="891">
        <f>C10+C20+C25+C37+C47+C75+C72</f>
        <v>227702200.89527455</v>
      </c>
      <c r="D9" s="891">
        <v>21177279.109999999</v>
      </c>
      <c r="E9" s="891">
        <f t="shared" ref="E9:E94" si="0">+C9+D9</f>
        <v>248879480.00527453</v>
      </c>
      <c r="F9" s="891">
        <v>247313580.75999996</v>
      </c>
      <c r="G9" s="891">
        <v>236451307.04999998</v>
      </c>
      <c r="H9" s="891">
        <f>+E9-F9</f>
        <v>1565899.2452745736</v>
      </c>
      <c r="I9" s="916">
        <f t="shared" ref="I9:I76" si="1">+F9/E9</f>
        <v>0.99370820268010285</v>
      </c>
      <c r="J9" s="908">
        <v>227702200.89527455</v>
      </c>
      <c r="K9" s="908">
        <v>21177279.109999999</v>
      </c>
      <c r="L9" s="908">
        <v>248879480.00527453</v>
      </c>
      <c r="M9" s="908">
        <v>248868916.04999998</v>
      </c>
      <c r="N9" s="908">
        <v>236451307.04999998</v>
      </c>
      <c r="O9" s="908">
        <v>10563.955274552107</v>
      </c>
    </row>
    <row r="10" spans="1:15" s="11" customFormat="1" ht="22.5" x14ac:dyDescent="0.2">
      <c r="A10" s="917">
        <v>1100</v>
      </c>
      <c r="B10" s="890" t="s">
        <v>6085</v>
      </c>
      <c r="C10" s="891">
        <f>C11</f>
        <v>122826728.74877027</v>
      </c>
      <c r="D10" s="891">
        <v>9987715.2500000019</v>
      </c>
      <c r="E10" s="891">
        <f t="shared" si="0"/>
        <v>132814443.99877027</v>
      </c>
      <c r="F10" s="891">
        <v>131289316.21999997</v>
      </c>
      <c r="G10" s="891">
        <v>127833439.17</v>
      </c>
      <c r="H10" s="891">
        <f t="shared" ref="H10:H95" si="2">+E10-F10</f>
        <v>1525127.7787702978</v>
      </c>
      <c r="I10" s="916">
        <f t="shared" si="1"/>
        <v>0.98851685304058934</v>
      </c>
      <c r="J10" s="909">
        <f>C9-J9</f>
        <v>0</v>
      </c>
      <c r="K10" s="909">
        <f t="shared" ref="K10:O10" si="3">D9-K9</f>
        <v>0</v>
      </c>
      <c r="L10" s="909">
        <f t="shared" si="3"/>
        <v>0</v>
      </c>
      <c r="M10" s="909">
        <f t="shared" si="3"/>
        <v>-1555335.2900000215</v>
      </c>
      <c r="N10" s="909">
        <f t="shared" si="3"/>
        <v>0</v>
      </c>
      <c r="O10" s="909">
        <f t="shared" si="3"/>
        <v>1555335.2900000215</v>
      </c>
    </row>
    <row r="11" spans="1:15" s="11" customFormat="1" ht="17.25" customHeight="1" x14ac:dyDescent="0.2">
      <c r="A11" s="918">
        <v>113</v>
      </c>
      <c r="B11" s="890" t="s">
        <v>6086</v>
      </c>
      <c r="C11" s="891">
        <f>SUM(C12:C19)</f>
        <v>122826728.74877027</v>
      </c>
      <c r="D11" s="891">
        <v>9987715.2500000019</v>
      </c>
      <c r="E11" s="891">
        <f t="shared" si="0"/>
        <v>132814443.99877027</v>
      </c>
      <c r="F11" s="891">
        <v>131289316.21999997</v>
      </c>
      <c r="G11" s="891">
        <v>127833439.17</v>
      </c>
      <c r="H11" s="891">
        <f t="shared" si="2"/>
        <v>1525127.7787702978</v>
      </c>
      <c r="I11" s="916">
        <f t="shared" si="1"/>
        <v>0.98851685304058934</v>
      </c>
      <c r="J11" s="909"/>
      <c r="K11" s="909"/>
      <c r="L11" s="909"/>
      <c r="M11" s="909"/>
      <c r="N11" s="909"/>
      <c r="O11" s="909"/>
    </row>
    <row r="12" spans="1:15" s="11" customFormat="1" ht="17.25" customHeight="1" x14ac:dyDescent="0.2">
      <c r="A12" s="919">
        <v>11301</v>
      </c>
      <c r="B12" s="892" t="s">
        <v>6087</v>
      </c>
      <c r="C12" s="893">
        <f>'[4]Por organismos DIC'!I16</f>
        <v>63488982.775359251</v>
      </c>
      <c r="D12" s="893">
        <v>25438864.310000002</v>
      </c>
      <c r="E12" s="891">
        <f t="shared" si="0"/>
        <v>88927847.085359246</v>
      </c>
      <c r="F12" s="893">
        <v>88927841.359999985</v>
      </c>
      <c r="G12" s="893">
        <v>88909640.590000004</v>
      </c>
      <c r="H12" s="891">
        <f t="shared" si="2"/>
        <v>5.7253592610359192</v>
      </c>
      <c r="I12" s="916">
        <f t="shared" si="1"/>
        <v>0.99999993561792566</v>
      </c>
      <c r="J12" s="909"/>
      <c r="K12" s="909"/>
      <c r="L12" s="909"/>
      <c r="M12" s="909"/>
      <c r="N12" s="909"/>
      <c r="O12" s="909"/>
    </row>
    <row r="13" spans="1:15" s="11" customFormat="1" ht="17.25" customHeight="1" x14ac:dyDescent="0.2">
      <c r="A13" s="919">
        <v>11302</v>
      </c>
      <c r="B13" s="892" t="s">
        <v>6088</v>
      </c>
      <c r="C13" s="893">
        <f>'[4]Por organismos DIC'!I17</f>
        <v>891273.36</v>
      </c>
      <c r="D13" s="893">
        <v>-129294.59</v>
      </c>
      <c r="E13" s="891">
        <f t="shared" si="0"/>
        <v>761978.77</v>
      </c>
      <c r="F13" s="893">
        <v>761978.77</v>
      </c>
      <c r="G13" s="893">
        <v>761978.77</v>
      </c>
      <c r="H13" s="891">
        <f t="shared" si="2"/>
        <v>0</v>
      </c>
      <c r="I13" s="916">
        <f t="shared" si="1"/>
        <v>1</v>
      </c>
      <c r="J13" s="909"/>
      <c r="K13" s="909"/>
      <c r="L13" s="909"/>
      <c r="M13" s="909"/>
      <c r="N13" s="909"/>
      <c r="O13" s="909"/>
    </row>
    <row r="14" spans="1:15" s="11" customFormat="1" ht="17.25" customHeight="1" x14ac:dyDescent="0.2">
      <c r="A14" s="919">
        <v>11303</v>
      </c>
      <c r="B14" s="892" t="s">
        <v>6089</v>
      </c>
      <c r="C14" s="893">
        <f>'[4]Por organismos DIC'!I18</f>
        <v>1903436.0841548129</v>
      </c>
      <c r="D14" s="893">
        <v>-882727.95</v>
      </c>
      <c r="E14" s="891">
        <f t="shared" si="0"/>
        <v>1020708.1341548129</v>
      </c>
      <c r="F14" s="893">
        <v>1020707.82</v>
      </c>
      <c r="G14" s="893">
        <v>1020707.82</v>
      </c>
      <c r="H14" s="891">
        <f t="shared" si="2"/>
        <v>0.31415481294970959</v>
      </c>
      <c r="I14" s="916">
        <f t="shared" si="1"/>
        <v>0.99999969221876217</v>
      </c>
      <c r="J14" s="909"/>
      <c r="K14" s="909"/>
      <c r="L14" s="909"/>
      <c r="M14" s="909"/>
      <c r="N14" s="909"/>
      <c r="O14" s="909"/>
    </row>
    <row r="15" spans="1:15" s="11" customFormat="1" ht="17.25" hidden="1" customHeight="1" x14ac:dyDescent="0.2">
      <c r="A15" s="919">
        <v>11304</v>
      </c>
      <c r="B15" s="892" t="s">
        <v>6090</v>
      </c>
      <c r="C15" s="893">
        <f>'[4]Por organismos DIC'!I19</f>
        <v>0</v>
      </c>
      <c r="D15" s="893">
        <v>0</v>
      </c>
      <c r="E15" s="891">
        <f t="shared" si="0"/>
        <v>0</v>
      </c>
      <c r="F15" s="893">
        <v>0</v>
      </c>
      <c r="G15" s="893">
        <v>0</v>
      </c>
      <c r="H15" s="891">
        <f t="shared" si="2"/>
        <v>0</v>
      </c>
      <c r="I15" s="916" t="e">
        <f t="shared" si="1"/>
        <v>#DIV/0!</v>
      </c>
      <c r="J15" s="909"/>
      <c r="K15" s="909"/>
      <c r="L15" s="909"/>
      <c r="M15" s="909"/>
      <c r="N15" s="909"/>
      <c r="O15" s="909"/>
    </row>
    <row r="16" spans="1:15" s="11" customFormat="1" ht="17.25" customHeight="1" x14ac:dyDescent="0.2">
      <c r="A16" s="919">
        <v>11306</v>
      </c>
      <c r="B16" s="892" t="s">
        <v>6091</v>
      </c>
      <c r="C16" s="893">
        <f>'[4]Por organismos DIC'!I20</f>
        <v>38602823.034249924</v>
      </c>
      <c r="D16" s="893">
        <v>-6046073.3499999996</v>
      </c>
      <c r="E16" s="891">
        <f t="shared" si="0"/>
        <v>32556749.684249923</v>
      </c>
      <c r="F16" s="893">
        <v>31032551.68</v>
      </c>
      <c r="G16" s="893">
        <v>27594875.400000002</v>
      </c>
      <c r="H16" s="891">
        <f t="shared" si="2"/>
        <v>1524198.0042499229</v>
      </c>
      <c r="I16" s="916">
        <f t="shared" si="1"/>
        <v>0.95318334849048858</v>
      </c>
      <c r="J16" s="909"/>
      <c r="K16" s="909"/>
      <c r="L16" s="909"/>
      <c r="M16" s="909"/>
      <c r="N16" s="909"/>
      <c r="O16" s="909"/>
    </row>
    <row r="17" spans="1:15" s="11" customFormat="1" ht="17.25" customHeight="1" x14ac:dyDescent="0.2">
      <c r="A17" s="919">
        <v>11307</v>
      </c>
      <c r="B17" s="892" t="s">
        <v>6092</v>
      </c>
      <c r="C17" s="893">
        <f>'[4]Por organismos DIC'!I21</f>
        <v>10078561.429963181</v>
      </c>
      <c r="D17" s="893">
        <v>-4405601.4800000004</v>
      </c>
      <c r="E17" s="891">
        <f t="shared" si="0"/>
        <v>5672959.9499631803</v>
      </c>
      <c r="F17" s="893">
        <v>5672959.8600000003</v>
      </c>
      <c r="G17" s="893">
        <v>5672959.8600000003</v>
      </c>
      <c r="H17" s="891">
        <f t="shared" si="2"/>
        <v>8.9963180013000965E-2</v>
      </c>
      <c r="I17" s="916">
        <f t="shared" si="1"/>
        <v>0.9999999841417565</v>
      </c>
      <c r="J17" s="909"/>
      <c r="K17" s="909"/>
      <c r="L17" s="909"/>
      <c r="M17" s="909"/>
      <c r="N17" s="909"/>
      <c r="O17" s="909"/>
    </row>
    <row r="18" spans="1:15" s="11" customFormat="1" ht="17.25" customHeight="1" x14ac:dyDescent="0.2">
      <c r="A18" s="919">
        <v>11308</v>
      </c>
      <c r="B18" s="892" t="s">
        <v>6093</v>
      </c>
      <c r="C18" s="893">
        <f>'[4]Por organismos DIC'!I22</f>
        <v>40609.637852213993</v>
      </c>
      <c r="D18" s="893">
        <v>50695</v>
      </c>
      <c r="E18" s="891">
        <f t="shared" si="0"/>
        <v>91304.637852213986</v>
      </c>
      <c r="F18" s="893">
        <v>91305</v>
      </c>
      <c r="G18" s="893">
        <v>91305</v>
      </c>
      <c r="H18" s="891">
        <f t="shared" si="2"/>
        <v>-0.36214778601424769</v>
      </c>
      <c r="I18" s="916">
        <f t="shared" si="1"/>
        <v>1.0000039663679143</v>
      </c>
      <c r="J18" s="909"/>
      <c r="K18" s="909"/>
      <c r="L18" s="909"/>
      <c r="M18" s="909"/>
      <c r="N18" s="909"/>
      <c r="O18" s="909"/>
    </row>
    <row r="19" spans="1:15" s="11" customFormat="1" ht="17.25" customHeight="1" x14ac:dyDescent="0.2">
      <c r="A19" s="919">
        <v>11310</v>
      </c>
      <c r="B19" s="892" t="s">
        <v>6094</v>
      </c>
      <c r="C19" s="893">
        <f>'[4]Por organismos DIC'!I23</f>
        <v>7821042.4271908822</v>
      </c>
      <c r="D19" s="893">
        <v>-4038146.69</v>
      </c>
      <c r="E19" s="891">
        <f t="shared" si="0"/>
        <v>3782895.7371908822</v>
      </c>
      <c r="F19" s="893">
        <v>3781971.73</v>
      </c>
      <c r="G19" s="893">
        <v>3781971.73</v>
      </c>
      <c r="H19" s="891">
        <f t="shared" si="2"/>
        <v>924.00719088222831</v>
      </c>
      <c r="I19" s="916">
        <f t="shared" si="1"/>
        <v>0.99975574077239349</v>
      </c>
      <c r="J19" s="909"/>
      <c r="K19" s="909"/>
      <c r="L19" s="909"/>
      <c r="M19" s="909"/>
      <c r="N19" s="909"/>
      <c r="O19" s="909"/>
    </row>
    <row r="20" spans="1:15" s="11" customFormat="1" ht="22.5" x14ac:dyDescent="0.2">
      <c r="A20" s="917">
        <v>1200</v>
      </c>
      <c r="B20" s="890" t="s">
        <v>6095</v>
      </c>
      <c r="C20" s="891">
        <f>C21+C23</f>
        <v>2182566.3062395351</v>
      </c>
      <c r="D20" s="891">
        <v>-954506.50999999989</v>
      </c>
      <c r="E20" s="891">
        <f t="shared" si="0"/>
        <v>1228059.7962395353</v>
      </c>
      <c r="F20" s="891">
        <v>1228059.49</v>
      </c>
      <c r="G20" s="891">
        <v>1182961.1599999999</v>
      </c>
      <c r="H20" s="891">
        <f t="shared" si="2"/>
        <v>0.30623953533358872</v>
      </c>
      <c r="I20" s="916">
        <f t="shared" si="1"/>
        <v>0.99999975063141366</v>
      </c>
      <c r="J20" s="909"/>
      <c r="K20" s="909"/>
      <c r="L20" s="909"/>
      <c r="M20" s="909"/>
      <c r="N20" s="909"/>
      <c r="O20" s="909"/>
    </row>
    <row r="21" spans="1:15" s="11" customFormat="1" ht="17.25" customHeight="1" x14ac:dyDescent="0.2">
      <c r="A21" s="918">
        <v>121</v>
      </c>
      <c r="B21" s="890" t="s">
        <v>6096</v>
      </c>
      <c r="C21" s="891">
        <f>C22</f>
        <v>2182566.3062395351</v>
      </c>
      <c r="D21" s="891">
        <v>-1350437.63</v>
      </c>
      <c r="E21" s="891">
        <f>+C21+D21</f>
        <v>832128.67623953521</v>
      </c>
      <c r="F21" s="891">
        <v>832128.37</v>
      </c>
      <c r="G21" s="891">
        <v>794890.34</v>
      </c>
      <c r="H21" s="891">
        <f t="shared" si="2"/>
        <v>0.3062395352171734</v>
      </c>
      <c r="I21" s="916">
        <f t="shared" si="1"/>
        <v>0.99999963198055308</v>
      </c>
      <c r="J21" s="909"/>
      <c r="K21" s="909"/>
      <c r="L21" s="909"/>
      <c r="M21" s="909"/>
      <c r="N21" s="909"/>
      <c r="O21" s="909"/>
    </row>
    <row r="22" spans="1:15" s="11" customFormat="1" ht="17.25" customHeight="1" x14ac:dyDescent="0.2">
      <c r="A22" s="919">
        <v>12101</v>
      </c>
      <c r="B22" s="892" t="s">
        <v>6097</v>
      </c>
      <c r="C22" s="893">
        <f>'[4]Por organismos DIC'!I26</f>
        <v>2182566.3062395351</v>
      </c>
      <c r="D22" s="893">
        <v>-1350437.63</v>
      </c>
      <c r="E22" s="891">
        <f t="shared" si="0"/>
        <v>832128.67623953521</v>
      </c>
      <c r="F22" s="893">
        <v>832128.37</v>
      </c>
      <c r="G22" s="893">
        <v>794890.34</v>
      </c>
      <c r="H22" s="891">
        <f t="shared" si="2"/>
        <v>0.3062395352171734</v>
      </c>
      <c r="I22" s="916">
        <f t="shared" si="1"/>
        <v>0.99999963198055308</v>
      </c>
      <c r="J22" s="909"/>
      <c r="K22" s="909"/>
      <c r="L22" s="909"/>
      <c r="M22" s="909"/>
      <c r="N22" s="909"/>
      <c r="O22" s="909"/>
    </row>
    <row r="23" spans="1:15" s="11" customFormat="1" ht="12.75" x14ac:dyDescent="0.2">
      <c r="A23" s="918">
        <v>122</v>
      </c>
      <c r="B23" s="890" t="s">
        <v>6098</v>
      </c>
      <c r="C23" s="891">
        <f>C24</f>
        <v>0</v>
      </c>
      <c r="D23" s="891">
        <v>395931.12</v>
      </c>
      <c r="E23" s="891">
        <f t="shared" si="0"/>
        <v>395931.12</v>
      </c>
      <c r="F23" s="891">
        <v>395931.12</v>
      </c>
      <c r="G23" s="891">
        <v>388070.82</v>
      </c>
      <c r="H23" s="891">
        <f t="shared" si="2"/>
        <v>0</v>
      </c>
      <c r="I23" s="916">
        <f t="shared" si="1"/>
        <v>1</v>
      </c>
      <c r="J23" s="909"/>
      <c r="K23" s="909"/>
      <c r="L23" s="909"/>
      <c r="M23" s="909"/>
      <c r="N23" s="909"/>
      <c r="O23" s="909"/>
    </row>
    <row r="24" spans="1:15" s="11" customFormat="1" ht="12.75" x14ac:dyDescent="0.2">
      <c r="A24" s="919">
        <v>12201</v>
      </c>
      <c r="B24" s="892" t="s">
        <v>6098</v>
      </c>
      <c r="C24" s="893">
        <f>'[4]Por organismos DIC'!I28</f>
        <v>0</v>
      </c>
      <c r="D24" s="893">
        <v>395931.12</v>
      </c>
      <c r="E24" s="891">
        <f t="shared" si="0"/>
        <v>395931.12</v>
      </c>
      <c r="F24" s="893">
        <v>395931.12</v>
      </c>
      <c r="G24" s="893">
        <v>388070.82</v>
      </c>
      <c r="H24" s="891">
        <f t="shared" si="2"/>
        <v>0</v>
      </c>
      <c r="I24" s="916">
        <f t="shared" si="1"/>
        <v>1</v>
      </c>
      <c r="J24" s="909"/>
      <c r="K24" s="909"/>
      <c r="L24" s="909"/>
      <c r="M24" s="909"/>
      <c r="N24" s="909"/>
      <c r="O24" s="909"/>
    </row>
    <row r="25" spans="1:15" s="11" customFormat="1" ht="17.25" customHeight="1" x14ac:dyDescent="0.2">
      <c r="A25" s="917">
        <v>1300</v>
      </c>
      <c r="B25" s="890" t="s">
        <v>6099</v>
      </c>
      <c r="C25" s="891">
        <f>C26+C28+C33+C35</f>
        <v>19695507.8909165</v>
      </c>
      <c r="D25" s="891">
        <v>12025337.08</v>
      </c>
      <c r="E25" s="891">
        <f t="shared" si="0"/>
        <v>31720844.970916502</v>
      </c>
      <c r="F25" s="891">
        <v>31720844.870000005</v>
      </c>
      <c r="G25" s="891">
        <v>31513504.610000003</v>
      </c>
      <c r="H25" s="891">
        <f t="shared" si="2"/>
        <v>0.10091649740934372</v>
      </c>
      <c r="I25" s="916">
        <f t="shared" si="1"/>
        <v>0.9999999968186063</v>
      </c>
      <c r="J25" s="909"/>
      <c r="K25" s="909"/>
      <c r="L25" s="909"/>
      <c r="M25" s="909"/>
      <c r="N25" s="909"/>
      <c r="O25" s="909"/>
    </row>
    <row r="26" spans="1:15" s="11" customFormat="1" ht="17.25" customHeight="1" x14ac:dyDescent="0.2">
      <c r="A26" s="918">
        <v>131</v>
      </c>
      <c r="B26" s="890" t="s">
        <v>6100</v>
      </c>
      <c r="C26" s="891">
        <f>C27</f>
        <v>5393770.4297158383</v>
      </c>
      <c r="D26" s="891">
        <v>93686.06</v>
      </c>
      <c r="E26" s="891">
        <f t="shared" si="0"/>
        <v>5487456.4897158379</v>
      </c>
      <c r="F26" s="891">
        <v>5487456.5499999998</v>
      </c>
      <c r="G26" s="891">
        <v>5486783.2799999993</v>
      </c>
      <c r="H26" s="891">
        <f t="shared" si="2"/>
        <v>-6.0284161940217018E-2</v>
      </c>
      <c r="I26" s="916">
        <f t="shared" si="1"/>
        <v>1.0000000109858114</v>
      </c>
      <c r="J26" s="909"/>
      <c r="K26" s="909"/>
      <c r="L26" s="909"/>
      <c r="M26" s="909"/>
      <c r="N26" s="909"/>
      <c r="O26" s="909"/>
    </row>
    <row r="27" spans="1:15" s="11" customFormat="1" ht="17.25" customHeight="1" x14ac:dyDescent="0.2">
      <c r="A27" s="919">
        <v>13101</v>
      </c>
      <c r="B27" s="892" t="s">
        <v>6101</v>
      </c>
      <c r="C27" s="893">
        <f>'[4]Por organismos DIC'!I31</f>
        <v>5393770.4297158383</v>
      </c>
      <c r="D27" s="893">
        <v>93686.06</v>
      </c>
      <c r="E27" s="891">
        <f t="shared" si="0"/>
        <v>5487456.4897158379</v>
      </c>
      <c r="F27" s="893">
        <v>5487456.5499999998</v>
      </c>
      <c r="G27" s="893">
        <v>5486783.2799999993</v>
      </c>
      <c r="H27" s="891">
        <f t="shared" si="2"/>
        <v>-6.0284161940217018E-2</v>
      </c>
      <c r="I27" s="916">
        <f t="shared" si="1"/>
        <v>1.0000000109858114</v>
      </c>
      <c r="J27" s="909"/>
      <c r="K27" s="909"/>
      <c r="L27" s="909"/>
      <c r="M27" s="909"/>
      <c r="N27" s="909"/>
      <c r="O27" s="909"/>
    </row>
    <row r="28" spans="1:15" s="11" customFormat="1" ht="17.25" customHeight="1" x14ac:dyDescent="0.2">
      <c r="A28" s="918">
        <v>132</v>
      </c>
      <c r="B28" s="890" t="s">
        <v>6102</v>
      </c>
      <c r="C28" s="891">
        <f>C29+C30+C31+C32</f>
        <v>7600743.5801322078</v>
      </c>
      <c r="D28" s="891">
        <v>-1158050.1400000001</v>
      </c>
      <c r="E28" s="891">
        <f t="shared" si="0"/>
        <v>6442693.4401322082</v>
      </c>
      <c r="F28" s="891">
        <v>6442693.2800000003</v>
      </c>
      <c r="G28" s="891">
        <v>6242323.6700000009</v>
      </c>
      <c r="H28" s="891">
        <f t="shared" si="2"/>
        <v>0.1601322079077363</v>
      </c>
      <c r="I28" s="916">
        <f t="shared" si="1"/>
        <v>0.99999997514514549</v>
      </c>
      <c r="J28" s="909"/>
      <c r="K28" s="909"/>
      <c r="L28" s="909"/>
      <c r="M28" s="909"/>
      <c r="N28" s="909"/>
      <c r="O28" s="909"/>
    </row>
    <row r="29" spans="1:15" s="11" customFormat="1" ht="17.25" customHeight="1" x14ac:dyDescent="0.2">
      <c r="A29" s="919">
        <v>13201</v>
      </c>
      <c r="B29" s="892" t="s">
        <v>6103</v>
      </c>
      <c r="C29" s="893">
        <f>'[4]Por organismos DIC'!I33</f>
        <v>3628788.4598680851</v>
      </c>
      <c r="D29" s="893">
        <v>-257993.11</v>
      </c>
      <c r="E29" s="891">
        <f t="shared" si="0"/>
        <v>3370795.3498680852</v>
      </c>
      <c r="F29" s="893">
        <v>3370795.2199999997</v>
      </c>
      <c r="G29" s="893">
        <v>3353657.8600000003</v>
      </c>
      <c r="H29" s="891">
        <f t="shared" si="2"/>
        <v>0.12986808549612761</v>
      </c>
      <c r="I29" s="916">
        <f t="shared" si="1"/>
        <v>0.99999996147256898</v>
      </c>
      <c r="J29" s="909"/>
      <c r="K29" s="909"/>
      <c r="L29" s="909"/>
      <c r="M29" s="909"/>
      <c r="N29" s="909"/>
      <c r="O29" s="909"/>
    </row>
    <row r="30" spans="1:15" s="11" customFormat="1" ht="17.25" customHeight="1" x14ac:dyDescent="0.2">
      <c r="A30" s="919">
        <v>13202</v>
      </c>
      <c r="B30" s="892" t="s">
        <v>6104</v>
      </c>
      <c r="C30" s="893">
        <f>'[4]Por organismos DIC'!I34</f>
        <v>3778937.9802641235</v>
      </c>
      <c r="D30" s="893">
        <v>-918832.17999999993</v>
      </c>
      <c r="E30" s="891">
        <f t="shared" si="0"/>
        <v>2860105.8002641238</v>
      </c>
      <c r="F30" s="893">
        <v>2860105.77</v>
      </c>
      <c r="G30" s="893">
        <v>2676873.52</v>
      </c>
      <c r="H30" s="891">
        <f t="shared" si="2"/>
        <v>3.0264123808592558E-2</v>
      </c>
      <c r="I30" s="916">
        <f t="shared" si="1"/>
        <v>0.99999998941852997</v>
      </c>
      <c r="J30" s="909"/>
      <c r="K30" s="909"/>
      <c r="L30" s="909"/>
      <c r="M30" s="909"/>
      <c r="N30" s="909"/>
      <c r="O30" s="909"/>
    </row>
    <row r="31" spans="1:15" s="11" customFormat="1" ht="17.25" customHeight="1" x14ac:dyDescent="0.2">
      <c r="A31" s="919">
        <v>13203</v>
      </c>
      <c r="B31" s="892" t="s">
        <v>6105</v>
      </c>
      <c r="C31" s="893">
        <f>'[4]Por organismos DIC'!I35</f>
        <v>97958.47</v>
      </c>
      <c r="D31" s="893">
        <v>26563.98</v>
      </c>
      <c r="E31" s="891">
        <f t="shared" si="0"/>
        <v>124522.45</v>
      </c>
      <c r="F31" s="893">
        <v>124522.45</v>
      </c>
      <c r="G31" s="893">
        <v>124522.45</v>
      </c>
      <c r="H31" s="891">
        <f t="shared" si="2"/>
        <v>0</v>
      </c>
      <c r="I31" s="916">
        <f t="shared" si="1"/>
        <v>1</v>
      </c>
      <c r="J31" s="909"/>
      <c r="K31" s="909"/>
      <c r="L31" s="909"/>
      <c r="M31" s="909"/>
      <c r="N31" s="909"/>
      <c r="O31" s="909"/>
    </row>
    <row r="32" spans="1:15" s="11" customFormat="1" ht="17.25" customHeight="1" x14ac:dyDescent="0.2">
      <c r="A32" s="919">
        <v>13204</v>
      </c>
      <c r="B32" s="892" t="s">
        <v>6106</v>
      </c>
      <c r="C32" s="893">
        <f>'[4]Por organismos DIC'!I36</f>
        <v>95058.67</v>
      </c>
      <c r="D32" s="893">
        <v>-7788.83</v>
      </c>
      <c r="E32" s="891">
        <f t="shared" si="0"/>
        <v>87269.84</v>
      </c>
      <c r="F32" s="893">
        <v>87269.84</v>
      </c>
      <c r="G32" s="893">
        <v>87269.84</v>
      </c>
      <c r="H32" s="891">
        <f t="shared" si="2"/>
        <v>0</v>
      </c>
      <c r="I32" s="916">
        <f t="shared" si="1"/>
        <v>1</v>
      </c>
      <c r="J32" s="909"/>
      <c r="K32" s="909"/>
      <c r="L32" s="909"/>
      <c r="M32" s="909"/>
      <c r="N32" s="909"/>
      <c r="O32" s="909"/>
    </row>
    <row r="33" spans="1:15" s="11" customFormat="1" ht="17.25" customHeight="1" x14ac:dyDescent="0.2">
      <c r="A33" s="918">
        <v>133</v>
      </c>
      <c r="B33" s="890" t="s">
        <v>6107</v>
      </c>
      <c r="C33" s="891">
        <f>C34</f>
        <v>6532993.8810684541</v>
      </c>
      <c r="D33" s="891">
        <v>13089701.16</v>
      </c>
      <c r="E33" s="891">
        <f t="shared" si="0"/>
        <v>19622695.041068453</v>
      </c>
      <c r="F33" s="891">
        <v>19622695.040000003</v>
      </c>
      <c r="G33" s="891">
        <v>19616397.660000004</v>
      </c>
      <c r="H33" s="891">
        <f t="shared" si="2"/>
        <v>1.0684505105018616E-3</v>
      </c>
      <c r="I33" s="916">
        <f t="shared" si="1"/>
        <v>0.99999999994555022</v>
      </c>
      <c r="J33" s="909"/>
      <c r="K33" s="909"/>
      <c r="L33" s="909"/>
      <c r="M33" s="909"/>
      <c r="N33" s="909"/>
      <c r="O33" s="909"/>
    </row>
    <row r="34" spans="1:15" s="11" customFormat="1" ht="17.25" customHeight="1" x14ac:dyDescent="0.2">
      <c r="A34" s="919">
        <v>13301</v>
      </c>
      <c r="B34" s="892" t="s">
        <v>6108</v>
      </c>
      <c r="C34" s="893">
        <f>'[4]Por organismos DIC'!I38</f>
        <v>6532993.8810684541</v>
      </c>
      <c r="D34" s="893">
        <v>13089701.16</v>
      </c>
      <c r="E34" s="891">
        <f t="shared" si="0"/>
        <v>19622695.041068453</v>
      </c>
      <c r="F34" s="893">
        <v>19622695.040000003</v>
      </c>
      <c r="G34" s="893">
        <v>19616397.660000004</v>
      </c>
      <c r="H34" s="891">
        <f t="shared" si="2"/>
        <v>1.0684505105018616E-3</v>
      </c>
      <c r="I34" s="916">
        <f t="shared" si="1"/>
        <v>0.99999999994555022</v>
      </c>
      <c r="J34" s="909"/>
      <c r="K34" s="909"/>
      <c r="L34" s="909"/>
      <c r="M34" s="909"/>
      <c r="N34" s="909"/>
      <c r="O34" s="909"/>
    </row>
    <row r="35" spans="1:15" s="11" customFormat="1" ht="17.25" customHeight="1" x14ac:dyDescent="0.2">
      <c r="A35" s="918">
        <v>134</v>
      </c>
      <c r="B35" s="890" t="s">
        <v>6109</v>
      </c>
      <c r="C35" s="891">
        <f>C36</f>
        <v>168000</v>
      </c>
      <c r="D35" s="891">
        <v>0</v>
      </c>
      <c r="E35" s="891">
        <f t="shared" si="0"/>
        <v>168000</v>
      </c>
      <c r="F35" s="891">
        <v>168000</v>
      </c>
      <c r="G35" s="891">
        <v>168000</v>
      </c>
      <c r="H35" s="891">
        <f t="shared" si="2"/>
        <v>0</v>
      </c>
      <c r="I35" s="916">
        <f t="shared" si="1"/>
        <v>1</v>
      </c>
      <c r="J35" s="909"/>
      <c r="K35" s="909"/>
      <c r="L35" s="909"/>
      <c r="M35" s="909"/>
      <c r="N35" s="909"/>
      <c r="O35" s="909"/>
    </row>
    <row r="36" spans="1:15" s="11" customFormat="1" ht="17.25" customHeight="1" x14ac:dyDescent="0.2">
      <c r="A36" s="919">
        <v>13403</v>
      </c>
      <c r="B36" s="892" t="s">
        <v>6110</v>
      </c>
      <c r="C36" s="893">
        <f>'[4]Por organismos DIC'!I40</f>
        <v>168000</v>
      </c>
      <c r="D36" s="893">
        <v>0</v>
      </c>
      <c r="E36" s="891">
        <f t="shared" si="0"/>
        <v>168000</v>
      </c>
      <c r="F36" s="893">
        <v>168000</v>
      </c>
      <c r="G36" s="893">
        <v>168000</v>
      </c>
      <c r="H36" s="891">
        <f t="shared" si="2"/>
        <v>0</v>
      </c>
      <c r="I36" s="916">
        <f t="shared" si="1"/>
        <v>1</v>
      </c>
      <c r="J36" s="909"/>
      <c r="K36" s="909"/>
      <c r="L36" s="909"/>
      <c r="M36" s="909"/>
      <c r="N36" s="909"/>
      <c r="O36" s="909"/>
    </row>
    <row r="37" spans="1:15" s="11" customFormat="1" ht="17.25" customHeight="1" x14ac:dyDescent="0.2">
      <c r="A37" s="917">
        <v>1400</v>
      </c>
      <c r="B37" s="890" t="s">
        <v>6111</v>
      </c>
      <c r="C37" s="891">
        <f>C38+C41+C43</f>
        <v>43659190.108648501</v>
      </c>
      <c r="D37" s="891">
        <v>69496.739999999292</v>
      </c>
      <c r="E37" s="891">
        <f t="shared" si="0"/>
        <v>43728686.848648503</v>
      </c>
      <c r="F37" s="891">
        <v>43728588.630000003</v>
      </c>
      <c r="G37" s="891">
        <v>39056946.869999997</v>
      </c>
      <c r="H37" s="891">
        <f t="shared" si="2"/>
        <v>98.218648500740528</v>
      </c>
      <c r="I37" s="916">
        <f t="shared" si="1"/>
        <v>0.99999775390811896</v>
      </c>
      <c r="J37" s="909"/>
      <c r="K37" s="909"/>
      <c r="L37" s="909"/>
      <c r="M37" s="909"/>
      <c r="N37" s="909"/>
      <c r="O37" s="909"/>
    </row>
    <row r="38" spans="1:15" s="11" customFormat="1" ht="17.25" customHeight="1" x14ac:dyDescent="0.2">
      <c r="A38" s="918">
        <v>141</v>
      </c>
      <c r="B38" s="890" t="s">
        <v>6112</v>
      </c>
      <c r="C38" s="891">
        <f>C39+C40</f>
        <v>38759006.598602422</v>
      </c>
      <c r="D38" s="891">
        <v>3927049.92</v>
      </c>
      <c r="E38" s="891">
        <f t="shared" si="0"/>
        <v>42686056.518602423</v>
      </c>
      <c r="F38" s="891">
        <v>42686055.780000001</v>
      </c>
      <c r="G38" s="891">
        <v>38015093.439999998</v>
      </c>
      <c r="H38" s="891">
        <f t="shared" si="2"/>
        <v>0.7386024221777916</v>
      </c>
      <c r="I38" s="916">
        <f t="shared" si="1"/>
        <v>0.99999998269686918</v>
      </c>
      <c r="J38" s="909"/>
      <c r="K38" s="909"/>
      <c r="L38" s="909"/>
      <c r="M38" s="909"/>
      <c r="N38" s="909"/>
      <c r="O38" s="909"/>
    </row>
    <row r="39" spans="1:15" s="11" customFormat="1" ht="17.25" customHeight="1" x14ac:dyDescent="0.2">
      <c r="A39" s="919">
        <v>14106</v>
      </c>
      <c r="B39" s="892" t="s">
        <v>6113</v>
      </c>
      <c r="C39" s="893">
        <f>'[4]Por organismos DIC'!I43</f>
        <v>26873552.598602422</v>
      </c>
      <c r="D39" s="893">
        <v>1590204.9800000002</v>
      </c>
      <c r="E39" s="891">
        <f t="shared" si="0"/>
        <v>28463757.578602422</v>
      </c>
      <c r="F39" s="893">
        <v>28463757.289999999</v>
      </c>
      <c r="G39" s="893">
        <v>24953199.850000001</v>
      </c>
      <c r="H39" s="891">
        <f t="shared" si="2"/>
        <v>0.28860242292284966</v>
      </c>
      <c r="I39" s="916">
        <f t="shared" si="1"/>
        <v>0.99999998986070537</v>
      </c>
      <c r="J39" s="909"/>
      <c r="K39" s="909"/>
      <c r="L39" s="909"/>
      <c r="M39" s="909"/>
      <c r="N39" s="909"/>
      <c r="O39" s="909"/>
    </row>
    <row r="40" spans="1:15" s="11" customFormat="1" ht="17.25" customHeight="1" x14ac:dyDescent="0.2">
      <c r="A40" s="919">
        <v>14109</v>
      </c>
      <c r="B40" s="892" t="s">
        <v>6114</v>
      </c>
      <c r="C40" s="893">
        <f>'[4]Por organismos DIC'!I44</f>
        <v>11885454.000000002</v>
      </c>
      <c r="D40" s="893">
        <v>2336844.94</v>
      </c>
      <c r="E40" s="891">
        <f t="shared" si="0"/>
        <v>14222298.940000001</v>
      </c>
      <c r="F40" s="893">
        <v>14222298.49</v>
      </c>
      <c r="G40" s="893">
        <v>13061893.59</v>
      </c>
      <c r="H40" s="891">
        <f t="shared" si="2"/>
        <v>0.45000000111758709</v>
      </c>
      <c r="I40" s="916">
        <f t="shared" si="1"/>
        <v>0.99999996835954563</v>
      </c>
      <c r="J40" s="909"/>
      <c r="K40" s="909"/>
      <c r="L40" s="909"/>
      <c r="M40" s="909"/>
      <c r="N40" s="909"/>
      <c r="O40" s="909"/>
    </row>
    <row r="41" spans="1:15" s="11" customFormat="1" ht="17.25" customHeight="1" x14ac:dyDescent="0.2">
      <c r="A41" s="918">
        <v>143</v>
      </c>
      <c r="B41" s="890" t="s">
        <v>6115</v>
      </c>
      <c r="C41" s="891">
        <f>C42</f>
        <v>524235.13</v>
      </c>
      <c r="D41" s="891">
        <v>26708.65</v>
      </c>
      <c r="E41" s="891">
        <f t="shared" si="0"/>
        <v>550943.78</v>
      </c>
      <c r="F41" s="891">
        <v>550943.78</v>
      </c>
      <c r="G41" s="891">
        <v>550943.78</v>
      </c>
      <c r="H41" s="891">
        <f t="shared" si="2"/>
        <v>0</v>
      </c>
      <c r="I41" s="916">
        <f t="shared" si="1"/>
        <v>1</v>
      </c>
      <c r="J41" s="909"/>
      <c r="K41" s="909"/>
      <c r="L41" s="909"/>
      <c r="M41" s="909"/>
      <c r="N41" s="909"/>
      <c r="O41" s="909"/>
    </row>
    <row r="42" spans="1:15" s="11" customFormat="1" ht="17.25" customHeight="1" x14ac:dyDescent="0.2">
      <c r="A42" s="919">
        <v>14303</v>
      </c>
      <c r="B42" s="892" t="s">
        <v>6116</v>
      </c>
      <c r="C42" s="893">
        <f>'[4]Por organismos DIC'!I46</f>
        <v>524235.13</v>
      </c>
      <c r="D42" s="893">
        <v>26708.65</v>
      </c>
      <c r="E42" s="891">
        <f t="shared" si="0"/>
        <v>550943.78</v>
      </c>
      <c r="F42" s="893">
        <v>550943.78</v>
      </c>
      <c r="G42" s="893">
        <v>550943.78</v>
      </c>
      <c r="H42" s="891">
        <f t="shared" si="2"/>
        <v>0</v>
      </c>
      <c r="I42" s="916">
        <f t="shared" si="1"/>
        <v>1</v>
      </c>
      <c r="J42" s="909"/>
      <c r="K42" s="909"/>
      <c r="L42" s="909"/>
      <c r="M42" s="909"/>
      <c r="N42" s="909"/>
      <c r="O42" s="909"/>
    </row>
    <row r="43" spans="1:15" s="11" customFormat="1" ht="17.25" customHeight="1" x14ac:dyDescent="0.2">
      <c r="A43" s="918">
        <v>144</v>
      </c>
      <c r="B43" s="890" t="s">
        <v>6117</v>
      </c>
      <c r="C43" s="891">
        <f>C44+C45+C46</f>
        <v>4375948.3800460789</v>
      </c>
      <c r="D43" s="891">
        <v>-3884261.8300000005</v>
      </c>
      <c r="E43" s="891">
        <f t="shared" si="0"/>
        <v>491686.5500460784</v>
      </c>
      <c r="F43" s="891">
        <v>491589.06999999995</v>
      </c>
      <c r="G43" s="891">
        <v>490909.64999999997</v>
      </c>
      <c r="H43" s="891">
        <f t="shared" si="2"/>
        <v>97.480046078446321</v>
      </c>
      <c r="I43" s="916">
        <f t="shared" si="1"/>
        <v>0.99980174351714657</v>
      </c>
      <c r="J43" s="909"/>
      <c r="K43" s="909"/>
      <c r="L43" s="909"/>
      <c r="M43" s="909"/>
      <c r="N43" s="909"/>
      <c r="O43" s="909"/>
    </row>
    <row r="44" spans="1:15" s="11" customFormat="1" ht="17.25" customHeight="1" x14ac:dyDescent="0.2">
      <c r="A44" s="919">
        <v>14402</v>
      </c>
      <c r="B44" s="892" t="s">
        <v>6118</v>
      </c>
      <c r="C44" s="893">
        <f>'[4]Por organismos DIC'!I48</f>
        <v>20856</v>
      </c>
      <c r="D44" s="893">
        <v>40020</v>
      </c>
      <c r="E44" s="891">
        <f t="shared" si="0"/>
        <v>60876</v>
      </c>
      <c r="F44" s="893">
        <v>60876</v>
      </c>
      <c r="G44" s="893">
        <v>60876</v>
      </c>
      <c r="H44" s="891">
        <f t="shared" si="2"/>
        <v>0</v>
      </c>
      <c r="I44" s="916">
        <f t="shared" si="1"/>
        <v>1</v>
      </c>
      <c r="J44" s="909"/>
      <c r="K44" s="909"/>
      <c r="L44" s="909"/>
      <c r="M44" s="909"/>
      <c r="N44" s="909"/>
      <c r="O44" s="909"/>
    </row>
    <row r="45" spans="1:15" s="11" customFormat="1" ht="17.25" customHeight="1" x14ac:dyDescent="0.2">
      <c r="A45" s="919">
        <v>14403</v>
      </c>
      <c r="B45" s="892" t="s">
        <v>6119</v>
      </c>
      <c r="C45" s="893">
        <f>'[4]Por organismos DIC'!I49</f>
        <v>4350394.3800460789</v>
      </c>
      <c r="D45" s="893">
        <v>-3922931.8300000005</v>
      </c>
      <c r="E45" s="891">
        <f t="shared" si="0"/>
        <v>427462.5500460784</v>
      </c>
      <c r="F45" s="893">
        <v>427365.06999999995</v>
      </c>
      <c r="G45" s="893">
        <v>426685.64999999997</v>
      </c>
      <c r="H45" s="891">
        <f t="shared" si="2"/>
        <v>97.480046078446321</v>
      </c>
      <c r="I45" s="916">
        <f t="shared" si="1"/>
        <v>0.99977195652328388</v>
      </c>
      <c r="J45" s="909"/>
      <c r="K45" s="909"/>
      <c r="L45" s="909"/>
      <c r="M45" s="909"/>
      <c r="N45" s="909"/>
      <c r="O45" s="909"/>
    </row>
    <row r="46" spans="1:15" s="11" customFormat="1" ht="17.25" customHeight="1" x14ac:dyDescent="0.2">
      <c r="A46" s="919">
        <v>14406</v>
      </c>
      <c r="B46" s="892" t="s">
        <v>6120</v>
      </c>
      <c r="C46" s="893">
        <f>'[4]Por organismos DIC'!I50</f>
        <v>4698</v>
      </c>
      <c r="D46" s="893">
        <v>-1350</v>
      </c>
      <c r="E46" s="891">
        <f t="shared" si="0"/>
        <v>3348</v>
      </c>
      <c r="F46" s="893">
        <v>3348</v>
      </c>
      <c r="G46" s="893">
        <v>3348</v>
      </c>
      <c r="H46" s="891">
        <f t="shared" si="2"/>
        <v>0</v>
      </c>
      <c r="I46" s="916">
        <f t="shared" si="1"/>
        <v>1</v>
      </c>
      <c r="J46" s="909"/>
      <c r="K46" s="909"/>
      <c r="L46" s="909"/>
      <c r="M46" s="909"/>
      <c r="N46" s="909"/>
      <c r="O46" s="909"/>
    </row>
    <row r="47" spans="1:15" s="11" customFormat="1" ht="17.25" customHeight="1" x14ac:dyDescent="0.2">
      <c r="A47" s="917">
        <v>1500</v>
      </c>
      <c r="B47" s="890" t="s">
        <v>6121</v>
      </c>
      <c r="C47" s="891">
        <f>C48+C50+C54+C70</f>
        <v>36414157.083194152</v>
      </c>
      <c r="D47" s="891">
        <v>60191.140000000596</v>
      </c>
      <c r="E47" s="891">
        <f t="shared" si="0"/>
        <v>36474348.223194152</v>
      </c>
      <c r="F47" s="891">
        <v>36464812.519999996</v>
      </c>
      <c r="G47" s="891">
        <v>34092861.209999993</v>
      </c>
      <c r="H47" s="891">
        <f t="shared" si="2"/>
        <v>9535.7031941562891</v>
      </c>
      <c r="I47" s="916">
        <f t="shared" si="1"/>
        <v>0.99973856412359163</v>
      </c>
      <c r="J47" s="909"/>
      <c r="K47" s="909"/>
      <c r="L47" s="909"/>
      <c r="M47" s="909"/>
      <c r="N47" s="909"/>
      <c r="O47" s="909"/>
    </row>
    <row r="48" spans="1:15" s="11" customFormat="1" ht="17.25" customHeight="1" x14ac:dyDescent="0.2">
      <c r="A48" s="918">
        <v>151</v>
      </c>
      <c r="B48" s="890" t="s">
        <v>6122</v>
      </c>
      <c r="C48" s="891">
        <f>C49</f>
        <v>7607785.3750730222</v>
      </c>
      <c r="D48" s="891">
        <v>-434189.29000000004</v>
      </c>
      <c r="E48" s="891">
        <f t="shared" si="0"/>
        <v>7173596.0850730222</v>
      </c>
      <c r="F48" s="891">
        <v>7173595.6299999999</v>
      </c>
      <c r="G48" s="891">
        <v>6495050.3800000008</v>
      </c>
      <c r="H48" s="891">
        <f t="shared" si="2"/>
        <v>0.45507302228361368</v>
      </c>
      <c r="I48" s="916">
        <f t="shared" si="1"/>
        <v>0.99999993656277597</v>
      </c>
      <c r="J48" s="909"/>
      <c r="K48" s="909"/>
      <c r="L48" s="909"/>
      <c r="M48" s="909"/>
      <c r="N48" s="909"/>
      <c r="O48" s="909"/>
    </row>
    <row r="49" spans="1:15" s="11" customFormat="1" ht="17.25" customHeight="1" x14ac:dyDescent="0.2">
      <c r="A49" s="919">
        <v>15101</v>
      </c>
      <c r="B49" s="892" t="s">
        <v>6123</v>
      </c>
      <c r="C49" s="893">
        <f>'[4]Por organismos DIC'!I53</f>
        <v>7607785.3750730222</v>
      </c>
      <c r="D49" s="893">
        <v>-434189.29000000004</v>
      </c>
      <c r="E49" s="891">
        <f t="shared" si="0"/>
        <v>7173596.0850730222</v>
      </c>
      <c r="F49" s="893">
        <v>7173595.6299999999</v>
      </c>
      <c r="G49" s="893">
        <v>6495050.3800000008</v>
      </c>
      <c r="H49" s="891">
        <f t="shared" si="2"/>
        <v>0.45507302228361368</v>
      </c>
      <c r="I49" s="916">
        <f t="shared" si="1"/>
        <v>0.99999993656277597</v>
      </c>
      <c r="J49" s="909"/>
      <c r="K49" s="909"/>
      <c r="L49" s="909"/>
      <c r="M49" s="909"/>
      <c r="N49" s="909"/>
      <c r="O49" s="909"/>
    </row>
    <row r="50" spans="1:15" s="11" customFormat="1" ht="17.25" customHeight="1" x14ac:dyDescent="0.2">
      <c r="A50" s="918">
        <v>152</v>
      </c>
      <c r="B50" s="890" t="s">
        <v>6124</v>
      </c>
      <c r="C50" s="891">
        <f>C51+C52+C53</f>
        <v>4928.2679996987245</v>
      </c>
      <c r="D50" s="891">
        <v>5360969.5300000012</v>
      </c>
      <c r="E50" s="891">
        <f t="shared" si="0"/>
        <v>5365897.7979996996</v>
      </c>
      <c r="F50" s="891">
        <v>5365898.209999999</v>
      </c>
      <c r="G50" s="891">
        <v>4623409.6199999992</v>
      </c>
      <c r="H50" s="891">
        <f t="shared" si="2"/>
        <v>-0.41200029943138361</v>
      </c>
      <c r="I50" s="916">
        <f t="shared" si="1"/>
        <v>1.0000000767812425</v>
      </c>
      <c r="J50" s="909"/>
      <c r="K50" s="909"/>
      <c r="L50" s="909"/>
      <c r="M50" s="909"/>
      <c r="N50" s="909"/>
      <c r="O50" s="909"/>
    </row>
    <row r="51" spans="1:15" s="11" customFormat="1" ht="17.25" customHeight="1" x14ac:dyDescent="0.2">
      <c r="A51" s="919">
        <v>15201</v>
      </c>
      <c r="B51" s="892" t="s">
        <v>6125</v>
      </c>
      <c r="C51" s="893">
        <f>'[4]Por organismos DIC'!I55</f>
        <v>0</v>
      </c>
      <c r="D51" s="893">
        <v>5365897.8000000007</v>
      </c>
      <c r="E51" s="891">
        <f t="shared" si="0"/>
        <v>5365897.8000000007</v>
      </c>
      <c r="F51" s="893">
        <v>5365898.209999999</v>
      </c>
      <c r="G51" s="893">
        <v>4623409.6199999992</v>
      </c>
      <c r="H51" s="891">
        <f t="shared" si="2"/>
        <v>-0.40999999828636646</v>
      </c>
      <c r="I51" s="916">
        <f t="shared" si="1"/>
        <v>1.000000076408462</v>
      </c>
      <c r="J51" s="909"/>
      <c r="K51" s="909"/>
      <c r="L51" s="909"/>
      <c r="M51" s="909"/>
      <c r="N51" s="909"/>
      <c r="O51" s="909"/>
    </row>
    <row r="52" spans="1:15" s="11" customFormat="1" ht="17.25" customHeight="1" x14ac:dyDescent="0.2">
      <c r="A52" s="919">
        <v>15202</v>
      </c>
      <c r="B52" s="892" t="s">
        <v>6126</v>
      </c>
      <c r="C52" s="893">
        <f>'[4]Por organismos DIC'!I56</f>
        <v>4928.2679996987245</v>
      </c>
      <c r="D52" s="893">
        <v>-4928.2700000000004</v>
      </c>
      <c r="E52" s="891">
        <f t="shared" si="0"/>
        <v>-2.0003012759843841E-3</v>
      </c>
      <c r="F52" s="893">
        <v>0</v>
      </c>
      <c r="G52" s="893">
        <v>0</v>
      </c>
      <c r="H52" s="891">
        <f t="shared" si="2"/>
        <v>-2.0003012759843841E-3</v>
      </c>
      <c r="I52" s="916">
        <f t="shared" si="1"/>
        <v>0</v>
      </c>
      <c r="J52" s="909"/>
      <c r="K52" s="909"/>
      <c r="L52" s="909"/>
      <c r="M52" s="909"/>
      <c r="N52" s="909"/>
      <c r="O52" s="909"/>
    </row>
    <row r="53" spans="1:15" s="11" customFormat="1" ht="17.25" hidden="1" customHeight="1" x14ac:dyDescent="0.2">
      <c r="A53" s="919">
        <v>15203</v>
      </c>
      <c r="B53" s="892" t="s">
        <v>6127</v>
      </c>
      <c r="C53" s="893">
        <f>'[4]Por organismos DIC'!I57</f>
        <v>0</v>
      </c>
      <c r="D53" s="893">
        <v>0</v>
      </c>
      <c r="E53" s="891">
        <f t="shared" si="0"/>
        <v>0</v>
      </c>
      <c r="F53" s="893">
        <v>0</v>
      </c>
      <c r="G53" s="893">
        <v>0</v>
      </c>
      <c r="H53" s="891">
        <f t="shared" si="2"/>
        <v>0</v>
      </c>
      <c r="I53" s="916" t="e">
        <f t="shared" si="1"/>
        <v>#DIV/0!</v>
      </c>
      <c r="J53" s="909"/>
      <c r="K53" s="909"/>
      <c r="L53" s="909"/>
      <c r="M53" s="909"/>
      <c r="N53" s="909"/>
      <c r="O53" s="909"/>
    </row>
    <row r="54" spans="1:15" s="11" customFormat="1" ht="17.25" customHeight="1" x14ac:dyDescent="0.2">
      <c r="A54" s="918">
        <v>154</v>
      </c>
      <c r="B54" s="890" t="s">
        <v>6128</v>
      </c>
      <c r="C54" s="891">
        <f>SUM(C55:C68)+C69</f>
        <v>8796785.9925813675</v>
      </c>
      <c r="D54" s="891">
        <v>1160809.3400000001</v>
      </c>
      <c r="E54" s="891">
        <f t="shared" si="0"/>
        <v>9957595.3325813673</v>
      </c>
      <c r="F54" s="891">
        <v>9948059.5899999999</v>
      </c>
      <c r="G54" s="891">
        <v>9946808.4799999986</v>
      </c>
      <c r="H54" s="891">
        <f t="shared" si="2"/>
        <v>9535.7425813674927</v>
      </c>
      <c r="I54" s="916">
        <f t="shared" si="1"/>
        <v>0.99904236492216481</v>
      </c>
      <c r="J54" s="909"/>
      <c r="K54" s="909"/>
      <c r="L54" s="909"/>
      <c r="M54" s="909"/>
      <c r="N54" s="909"/>
      <c r="O54" s="909"/>
    </row>
    <row r="55" spans="1:15" s="11" customFormat="1" ht="17.25" customHeight="1" x14ac:dyDescent="0.2">
      <c r="A55" s="919">
        <v>15404</v>
      </c>
      <c r="B55" s="892" t="s">
        <v>6129</v>
      </c>
      <c r="C55" s="893">
        <f>'[4]Por organismos DIC'!I59</f>
        <v>748092.34</v>
      </c>
      <c r="D55" s="893">
        <v>190904.58000000002</v>
      </c>
      <c r="E55" s="891">
        <f t="shared" si="0"/>
        <v>938996.91999999993</v>
      </c>
      <c r="F55" s="893">
        <v>938996.91999999993</v>
      </c>
      <c r="G55" s="893">
        <v>938996.91999999993</v>
      </c>
      <c r="H55" s="891">
        <f t="shared" si="2"/>
        <v>0</v>
      </c>
      <c r="I55" s="916">
        <f t="shared" si="1"/>
        <v>1</v>
      </c>
      <c r="J55" s="909"/>
      <c r="K55" s="909"/>
      <c r="L55" s="909"/>
      <c r="M55" s="909"/>
      <c r="N55" s="909"/>
      <c r="O55" s="909"/>
    </row>
    <row r="56" spans="1:15" s="11" customFormat="1" ht="17.25" customHeight="1" x14ac:dyDescent="0.2">
      <c r="A56" s="919">
        <v>15409</v>
      </c>
      <c r="B56" s="892" t="s">
        <v>6130</v>
      </c>
      <c r="C56" s="893">
        <f>'[4]Por organismos DIC'!I60</f>
        <v>5057158.537623791</v>
      </c>
      <c r="D56" s="893">
        <v>698930.41999999993</v>
      </c>
      <c r="E56" s="891">
        <f t="shared" si="0"/>
        <v>5756088.9576237909</v>
      </c>
      <c r="F56" s="893">
        <v>5756088.5200000005</v>
      </c>
      <c r="G56" s="893">
        <v>5754837.4100000001</v>
      </c>
      <c r="H56" s="891">
        <f t="shared" si="2"/>
        <v>0.43762379046529531</v>
      </c>
      <c r="I56" s="916">
        <f t="shared" si="1"/>
        <v>0.99999992397202442</v>
      </c>
      <c r="J56" s="909"/>
      <c r="K56" s="909"/>
      <c r="L56" s="909"/>
      <c r="M56" s="909"/>
      <c r="N56" s="909"/>
      <c r="O56" s="909"/>
    </row>
    <row r="57" spans="1:15" s="11" customFormat="1" ht="17.25" customHeight="1" x14ac:dyDescent="0.2">
      <c r="A57" s="919">
        <v>15413</v>
      </c>
      <c r="B57" s="892" t="s">
        <v>6131</v>
      </c>
      <c r="C57" s="893">
        <f>'[4]Por organismos DIC'!I61</f>
        <v>17340</v>
      </c>
      <c r="D57" s="893">
        <v>540</v>
      </c>
      <c r="E57" s="891">
        <f t="shared" si="0"/>
        <v>17880</v>
      </c>
      <c r="F57" s="893">
        <v>17880</v>
      </c>
      <c r="G57" s="893">
        <v>17880</v>
      </c>
      <c r="H57" s="891">
        <f t="shared" si="2"/>
        <v>0</v>
      </c>
      <c r="I57" s="916">
        <f t="shared" si="1"/>
        <v>1</v>
      </c>
      <c r="J57" s="909"/>
      <c r="K57" s="909"/>
      <c r="L57" s="909"/>
      <c r="M57" s="909"/>
      <c r="N57" s="909"/>
      <c r="O57" s="909"/>
    </row>
    <row r="58" spans="1:15" s="11" customFormat="1" ht="17.25" customHeight="1" x14ac:dyDescent="0.2">
      <c r="A58" s="919">
        <v>15416</v>
      </c>
      <c r="B58" s="892" t="s">
        <v>6132</v>
      </c>
      <c r="C58" s="893">
        <f>'[4]Por organismos DIC'!I62</f>
        <v>45600</v>
      </c>
      <c r="D58" s="893">
        <v>-18050</v>
      </c>
      <c r="E58" s="891">
        <f t="shared" si="0"/>
        <v>27550</v>
      </c>
      <c r="F58" s="893">
        <v>27550</v>
      </c>
      <c r="G58" s="893">
        <v>27550</v>
      </c>
      <c r="H58" s="891">
        <f t="shared" si="2"/>
        <v>0</v>
      </c>
      <c r="I58" s="916">
        <f t="shared" si="1"/>
        <v>1</v>
      </c>
      <c r="J58" s="909"/>
      <c r="K58" s="909"/>
      <c r="L58" s="909"/>
      <c r="M58" s="909"/>
      <c r="N58" s="909"/>
      <c r="O58" s="909"/>
    </row>
    <row r="59" spans="1:15" s="11" customFormat="1" ht="17.25" customHeight="1" x14ac:dyDescent="0.2">
      <c r="A59" s="919">
        <v>15417</v>
      </c>
      <c r="B59" s="892" t="s">
        <v>6133</v>
      </c>
      <c r="C59" s="893">
        <f>'[4]Por organismos DIC'!I63</f>
        <v>403512</v>
      </c>
      <c r="D59" s="893">
        <v>111314.36</v>
      </c>
      <c r="E59" s="891">
        <f t="shared" si="0"/>
        <v>514826.36</v>
      </c>
      <c r="F59" s="893">
        <v>514826.36</v>
      </c>
      <c r="G59" s="893">
        <v>514826.36</v>
      </c>
      <c r="H59" s="891">
        <f t="shared" si="2"/>
        <v>0</v>
      </c>
      <c r="I59" s="916">
        <f t="shared" si="1"/>
        <v>1</v>
      </c>
      <c r="J59" s="909"/>
      <c r="K59" s="909"/>
      <c r="L59" s="909"/>
      <c r="M59" s="909"/>
      <c r="N59" s="909"/>
      <c r="O59" s="909"/>
    </row>
    <row r="60" spans="1:15" s="11" customFormat="1" ht="17.25" customHeight="1" x14ac:dyDescent="0.2">
      <c r="A60" s="919">
        <v>15418</v>
      </c>
      <c r="B60" s="892" t="s">
        <v>6134</v>
      </c>
      <c r="C60" s="893">
        <f>'[4]Por organismos DIC'!I64</f>
        <v>194585.49</v>
      </c>
      <c r="D60" s="893">
        <v>-15968.72</v>
      </c>
      <c r="E60" s="891">
        <f t="shared" si="0"/>
        <v>178616.77</v>
      </c>
      <c r="F60" s="893">
        <v>178616.77</v>
      </c>
      <c r="G60" s="893">
        <v>178616.77</v>
      </c>
      <c r="H60" s="891">
        <f t="shared" si="2"/>
        <v>0</v>
      </c>
      <c r="I60" s="916">
        <f t="shared" si="1"/>
        <v>1</v>
      </c>
      <c r="J60" s="909"/>
      <c r="K60" s="909"/>
      <c r="L60" s="909"/>
      <c r="M60" s="909"/>
      <c r="N60" s="909"/>
      <c r="O60" s="909"/>
    </row>
    <row r="61" spans="1:15" s="11" customFormat="1" ht="17.25" customHeight="1" x14ac:dyDescent="0.2">
      <c r="A61" s="919">
        <v>15419</v>
      </c>
      <c r="B61" s="892" t="s">
        <v>6135</v>
      </c>
      <c r="C61" s="893">
        <f>'[4]Por organismos DIC'!I65</f>
        <v>1883606.6249575764</v>
      </c>
      <c r="D61" s="893">
        <v>182307</v>
      </c>
      <c r="E61" s="891">
        <f t="shared" si="0"/>
        <v>2065913.6249575764</v>
      </c>
      <c r="F61" s="893">
        <v>2065913.32</v>
      </c>
      <c r="G61" s="893">
        <v>2065913.32</v>
      </c>
      <c r="H61" s="891">
        <f t="shared" si="2"/>
        <v>0.30495757632888854</v>
      </c>
      <c r="I61" s="916">
        <f t="shared" si="1"/>
        <v>0.99999985238609557</v>
      </c>
      <c r="J61" s="909"/>
      <c r="K61" s="909"/>
      <c r="L61" s="909"/>
      <c r="M61" s="909"/>
      <c r="N61" s="909"/>
      <c r="O61" s="909"/>
    </row>
    <row r="62" spans="1:15" s="11" customFormat="1" ht="17.25" customHeight="1" x14ac:dyDescent="0.2">
      <c r="A62" s="919">
        <v>15420</v>
      </c>
      <c r="B62" s="892" t="s">
        <v>6136</v>
      </c>
      <c r="C62" s="893">
        <f>'[4]Por organismos DIC'!I66</f>
        <v>21000</v>
      </c>
      <c r="D62" s="893">
        <v>21720</v>
      </c>
      <c r="E62" s="891">
        <f t="shared" si="0"/>
        <v>42720</v>
      </c>
      <c r="F62" s="893">
        <v>42720</v>
      </c>
      <c r="G62" s="893">
        <v>42720</v>
      </c>
      <c r="H62" s="891">
        <f t="shared" si="2"/>
        <v>0</v>
      </c>
      <c r="I62" s="916">
        <f t="shared" si="1"/>
        <v>1</v>
      </c>
      <c r="J62" s="909"/>
      <c r="K62" s="909"/>
      <c r="L62" s="909"/>
      <c r="M62" s="909"/>
      <c r="N62" s="909"/>
      <c r="O62" s="909"/>
    </row>
    <row r="63" spans="1:15" s="11" customFormat="1" ht="17.25" customHeight="1" x14ac:dyDescent="0.2">
      <c r="A63" s="919">
        <v>15421</v>
      </c>
      <c r="B63" s="892" t="s">
        <v>6137</v>
      </c>
      <c r="C63" s="893">
        <f>'[4]Por organismos DIC'!I67</f>
        <v>27455</v>
      </c>
      <c r="D63" s="893">
        <v>0</v>
      </c>
      <c r="E63" s="891">
        <f t="shared" si="0"/>
        <v>27455</v>
      </c>
      <c r="F63" s="893">
        <v>17920</v>
      </c>
      <c r="G63" s="893">
        <v>17920</v>
      </c>
      <c r="H63" s="891">
        <f t="shared" si="2"/>
        <v>9535</v>
      </c>
      <c r="I63" s="916">
        <f t="shared" si="1"/>
        <v>0.65270442542342011</v>
      </c>
      <c r="J63" s="909"/>
      <c r="K63" s="909"/>
      <c r="L63" s="909"/>
      <c r="M63" s="909"/>
      <c r="N63" s="909"/>
      <c r="O63" s="909"/>
    </row>
    <row r="64" spans="1:15" s="11" customFormat="1" ht="17.25" customHeight="1" x14ac:dyDescent="0.2">
      <c r="A64" s="919">
        <v>15423</v>
      </c>
      <c r="B64" s="892" t="s">
        <v>6138</v>
      </c>
      <c r="C64" s="893">
        <f>'[4]Por organismos DIC'!I68</f>
        <v>28350</v>
      </c>
      <c r="D64" s="893">
        <v>-1340</v>
      </c>
      <c r="E64" s="891">
        <f t="shared" si="0"/>
        <v>27010</v>
      </c>
      <c r="F64" s="893">
        <v>27010</v>
      </c>
      <c r="G64" s="893">
        <v>27010</v>
      </c>
      <c r="H64" s="891">
        <f t="shared" si="2"/>
        <v>0</v>
      </c>
      <c r="I64" s="916">
        <f t="shared" si="1"/>
        <v>1</v>
      </c>
      <c r="J64" s="909"/>
      <c r="K64" s="909"/>
      <c r="L64" s="909"/>
      <c r="M64" s="909"/>
      <c r="N64" s="909"/>
      <c r="O64" s="909"/>
    </row>
    <row r="65" spans="1:15" s="11" customFormat="1" ht="17.25" customHeight="1" x14ac:dyDescent="0.2">
      <c r="A65" s="919">
        <v>15424</v>
      </c>
      <c r="B65" s="892" t="s">
        <v>6139</v>
      </c>
      <c r="C65" s="893">
        <f>'[4]Por organismos DIC'!I69</f>
        <v>21600</v>
      </c>
      <c r="D65" s="893">
        <v>-5450</v>
      </c>
      <c r="E65" s="891">
        <f t="shared" si="0"/>
        <v>16150</v>
      </c>
      <c r="F65" s="893">
        <v>16150</v>
      </c>
      <c r="G65" s="893">
        <v>16150</v>
      </c>
      <c r="H65" s="891">
        <f t="shared" si="2"/>
        <v>0</v>
      </c>
      <c r="I65" s="916">
        <f t="shared" si="1"/>
        <v>1</v>
      </c>
      <c r="J65" s="909"/>
      <c r="K65" s="909"/>
      <c r="L65" s="909"/>
      <c r="M65" s="909"/>
      <c r="N65" s="909"/>
      <c r="O65" s="909"/>
    </row>
    <row r="66" spans="1:15" s="11" customFormat="1" ht="17.25" customHeight="1" x14ac:dyDescent="0.2">
      <c r="A66" s="919">
        <v>15425</v>
      </c>
      <c r="B66" s="892" t="s">
        <v>6140</v>
      </c>
      <c r="C66" s="893">
        <f>'[4]Por organismos DIC'!I70</f>
        <v>220176</v>
      </c>
      <c r="D66" s="893">
        <v>11439.2</v>
      </c>
      <c r="E66" s="891">
        <f t="shared" si="0"/>
        <v>231615.2</v>
      </c>
      <c r="F66" s="893">
        <v>231615.2</v>
      </c>
      <c r="G66" s="893">
        <v>231615.2</v>
      </c>
      <c r="H66" s="891">
        <f t="shared" si="2"/>
        <v>0</v>
      </c>
      <c r="I66" s="916">
        <f t="shared" si="1"/>
        <v>1</v>
      </c>
      <c r="J66" s="909"/>
      <c r="K66" s="909"/>
      <c r="L66" s="909"/>
      <c r="M66" s="909"/>
      <c r="N66" s="909"/>
      <c r="O66" s="909"/>
    </row>
    <row r="67" spans="1:15" s="11" customFormat="1" ht="17.25" customHeight="1" x14ac:dyDescent="0.2">
      <c r="A67" s="919">
        <v>15426</v>
      </c>
      <c r="B67" s="892" t="s">
        <v>6141</v>
      </c>
      <c r="C67" s="893">
        <f>'[4]Por organismos DIC'!I71</f>
        <v>13560</v>
      </c>
      <c r="D67" s="893">
        <v>1412.5</v>
      </c>
      <c r="E67" s="891">
        <f t="shared" si="0"/>
        <v>14972.5</v>
      </c>
      <c r="F67" s="893">
        <v>14972.5</v>
      </c>
      <c r="G67" s="893">
        <v>14972.5</v>
      </c>
      <c r="H67" s="891">
        <f t="shared" si="2"/>
        <v>0</v>
      </c>
      <c r="I67" s="916">
        <f t="shared" si="1"/>
        <v>1</v>
      </c>
      <c r="J67" s="909"/>
      <c r="K67" s="909"/>
      <c r="L67" s="909"/>
      <c r="M67" s="909"/>
      <c r="N67" s="909"/>
      <c r="O67" s="909"/>
    </row>
    <row r="68" spans="1:15" s="11" customFormat="1" ht="17.25" customHeight="1" x14ac:dyDescent="0.2">
      <c r="A68" s="919">
        <v>15427</v>
      </c>
      <c r="B68" s="892" t="s">
        <v>6142</v>
      </c>
      <c r="C68" s="893">
        <f>'[4]Por organismos DIC'!I72</f>
        <v>81000</v>
      </c>
      <c r="D68" s="893">
        <v>-14400</v>
      </c>
      <c r="E68" s="891">
        <f t="shared" si="0"/>
        <v>66600</v>
      </c>
      <c r="F68" s="893">
        <v>66600</v>
      </c>
      <c r="G68" s="893">
        <v>66600</v>
      </c>
      <c r="H68" s="891">
        <f t="shared" si="2"/>
        <v>0</v>
      </c>
      <c r="I68" s="916">
        <f t="shared" si="1"/>
        <v>1</v>
      </c>
      <c r="J68" s="909"/>
      <c r="K68" s="909"/>
      <c r="L68" s="909"/>
      <c r="M68" s="909"/>
      <c r="N68" s="909"/>
      <c r="O68" s="909"/>
    </row>
    <row r="69" spans="1:15" s="11" customFormat="1" ht="17.25" customHeight="1" x14ac:dyDescent="0.2">
      <c r="A69" s="919">
        <v>15430</v>
      </c>
      <c r="B69" s="892" t="s">
        <v>6143</v>
      </c>
      <c r="C69" s="893">
        <f>'[4]Por organismos DIC'!I73</f>
        <v>33750</v>
      </c>
      <c r="D69" s="893">
        <v>-2550</v>
      </c>
      <c r="E69" s="891">
        <f t="shared" si="0"/>
        <v>31200</v>
      </c>
      <c r="F69" s="893">
        <v>31200</v>
      </c>
      <c r="G69" s="893">
        <v>31200</v>
      </c>
      <c r="H69" s="891">
        <f t="shared" si="2"/>
        <v>0</v>
      </c>
      <c r="I69" s="916">
        <f t="shared" si="1"/>
        <v>1</v>
      </c>
      <c r="J69" s="909"/>
      <c r="K69" s="909"/>
      <c r="L69" s="909"/>
      <c r="M69" s="909"/>
      <c r="N69" s="909"/>
      <c r="O69" s="909"/>
    </row>
    <row r="70" spans="1:15" s="11" customFormat="1" ht="17.25" customHeight="1" x14ac:dyDescent="0.2">
      <c r="A70" s="918">
        <v>159</v>
      </c>
      <c r="B70" s="890" t="s">
        <v>6121</v>
      </c>
      <c r="C70" s="891">
        <f>C71</f>
        <v>20004657.447540067</v>
      </c>
      <c r="D70" s="891">
        <v>-6027398.4400000004</v>
      </c>
      <c r="E70" s="891">
        <f t="shared" si="0"/>
        <v>13977259.007540066</v>
      </c>
      <c r="F70" s="891">
        <v>13977259.09</v>
      </c>
      <c r="G70" s="891">
        <v>13027592.73</v>
      </c>
      <c r="H70" s="891">
        <f t="shared" si="2"/>
        <v>-8.2459934055805206E-2</v>
      </c>
      <c r="I70" s="916">
        <f t="shared" si="1"/>
        <v>1.0000000058995784</v>
      </c>
      <c r="J70" s="909"/>
      <c r="K70" s="909"/>
      <c r="L70" s="909"/>
      <c r="M70" s="909"/>
      <c r="N70" s="909"/>
      <c r="O70" s="909"/>
    </row>
    <row r="71" spans="1:15" s="11" customFormat="1" ht="17.25" customHeight="1" x14ac:dyDescent="0.2">
      <c r="A71" s="919">
        <v>15901</v>
      </c>
      <c r="B71" s="892" t="s">
        <v>6144</v>
      </c>
      <c r="C71" s="893">
        <f>'[4]Por organismos DIC'!I75</f>
        <v>20004657.447540067</v>
      </c>
      <c r="D71" s="893">
        <v>-6027398.4400000004</v>
      </c>
      <c r="E71" s="891">
        <f t="shared" si="0"/>
        <v>13977259.007540066</v>
      </c>
      <c r="F71" s="893">
        <v>13977259.09</v>
      </c>
      <c r="G71" s="893">
        <v>13027592.73</v>
      </c>
      <c r="H71" s="891">
        <f t="shared" si="2"/>
        <v>-8.2459934055805206E-2</v>
      </c>
      <c r="I71" s="916">
        <f t="shared" si="1"/>
        <v>1.0000000058995784</v>
      </c>
      <c r="J71" s="909"/>
      <c r="K71" s="909"/>
      <c r="L71" s="909"/>
      <c r="M71" s="909"/>
      <c r="N71" s="909"/>
      <c r="O71" s="909"/>
    </row>
    <row r="72" spans="1:15" s="11" customFormat="1" ht="17.25" hidden="1" customHeight="1" x14ac:dyDescent="0.2">
      <c r="A72" s="920">
        <v>1600</v>
      </c>
      <c r="B72" s="890" t="s">
        <v>6145</v>
      </c>
      <c r="C72" s="891">
        <f>C73</f>
        <v>0</v>
      </c>
      <c r="D72" s="891">
        <v>0</v>
      </c>
      <c r="E72" s="891">
        <f t="shared" si="0"/>
        <v>0</v>
      </c>
      <c r="F72" s="891">
        <v>0</v>
      </c>
      <c r="G72" s="891">
        <v>0</v>
      </c>
      <c r="H72" s="891">
        <f t="shared" si="2"/>
        <v>0</v>
      </c>
      <c r="I72" s="916" t="e">
        <f t="shared" si="1"/>
        <v>#DIV/0!</v>
      </c>
      <c r="J72" s="909"/>
      <c r="K72" s="909"/>
      <c r="L72" s="909"/>
      <c r="M72" s="909"/>
      <c r="N72" s="909"/>
      <c r="O72" s="909"/>
    </row>
    <row r="73" spans="1:15" s="11" customFormat="1" ht="17.25" hidden="1" customHeight="1" x14ac:dyDescent="0.2">
      <c r="A73" s="920">
        <v>161</v>
      </c>
      <c r="B73" s="890" t="s">
        <v>6146</v>
      </c>
      <c r="C73" s="891">
        <f>C74</f>
        <v>0</v>
      </c>
      <c r="D73" s="891">
        <v>0</v>
      </c>
      <c r="E73" s="891">
        <f t="shared" si="0"/>
        <v>0</v>
      </c>
      <c r="F73" s="891">
        <v>0</v>
      </c>
      <c r="G73" s="891">
        <v>0</v>
      </c>
      <c r="H73" s="891">
        <f t="shared" si="2"/>
        <v>0</v>
      </c>
      <c r="I73" s="916" t="e">
        <f t="shared" si="1"/>
        <v>#DIV/0!</v>
      </c>
      <c r="J73" s="909"/>
      <c r="K73" s="909"/>
      <c r="L73" s="909"/>
      <c r="M73" s="909"/>
      <c r="N73" s="909"/>
      <c r="O73" s="909"/>
    </row>
    <row r="74" spans="1:15" s="11" customFormat="1" ht="17.25" hidden="1" customHeight="1" x14ac:dyDescent="0.2">
      <c r="A74" s="919">
        <v>16101</v>
      </c>
      <c r="B74" s="892" t="s">
        <v>6147</v>
      </c>
      <c r="C74" s="893">
        <f>'[4]Por organismos DIC'!I78</f>
        <v>0</v>
      </c>
      <c r="D74" s="893">
        <v>0</v>
      </c>
      <c r="E74" s="891">
        <f t="shared" si="0"/>
        <v>0</v>
      </c>
      <c r="F74" s="893"/>
      <c r="G74" s="893"/>
      <c r="H74" s="891">
        <f t="shared" si="2"/>
        <v>0</v>
      </c>
      <c r="I74" s="916" t="e">
        <f t="shared" si="1"/>
        <v>#DIV/0!</v>
      </c>
      <c r="J74" s="909"/>
      <c r="K74" s="909"/>
      <c r="L74" s="909"/>
      <c r="M74" s="909"/>
      <c r="N74" s="909"/>
      <c r="O74" s="909"/>
    </row>
    <row r="75" spans="1:15" s="11" customFormat="1" ht="17.25" customHeight="1" x14ac:dyDescent="0.2">
      <c r="A75" s="920">
        <v>1700</v>
      </c>
      <c r="B75" s="890" t="s">
        <v>6148</v>
      </c>
      <c r="C75" s="891">
        <f>C76</f>
        <v>2924050.7575055668</v>
      </c>
      <c r="D75" s="891">
        <v>-10954.589999999967</v>
      </c>
      <c r="E75" s="891">
        <f t="shared" si="0"/>
        <v>2913096.167505567</v>
      </c>
      <c r="F75" s="891">
        <v>2881959.0300000003</v>
      </c>
      <c r="G75" s="891">
        <v>2771594.0300000003</v>
      </c>
      <c r="H75" s="891">
        <f t="shared" si="2"/>
        <v>31137.137505566701</v>
      </c>
      <c r="I75" s="916">
        <f t="shared" si="1"/>
        <v>0.98931132523090415</v>
      </c>
      <c r="J75" s="909"/>
      <c r="K75" s="909"/>
      <c r="L75" s="909"/>
      <c r="M75" s="909"/>
      <c r="N75" s="909"/>
      <c r="O75" s="909"/>
    </row>
    <row r="76" spans="1:15" s="11" customFormat="1" ht="17.25" customHeight="1" x14ac:dyDescent="0.2">
      <c r="A76" s="920">
        <v>171</v>
      </c>
      <c r="B76" s="890" t="s">
        <v>6149</v>
      </c>
      <c r="C76" s="891">
        <f>SUM(C77:C79)</f>
        <v>2924050.7575055668</v>
      </c>
      <c r="D76" s="891">
        <v>-10954.589999999967</v>
      </c>
      <c r="E76" s="891">
        <f t="shared" si="0"/>
        <v>2913096.167505567</v>
      </c>
      <c r="F76" s="891">
        <v>2881959.0300000003</v>
      </c>
      <c r="G76" s="891">
        <v>2771594.0300000003</v>
      </c>
      <c r="H76" s="891">
        <f t="shared" si="2"/>
        <v>31137.137505566701</v>
      </c>
      <c r="I76" s="916">
        <f t="shared" si="1"/>
        <v>0.98931132523090415</v>
      </c>
      <c r="J76" s="909"/>
      <c r="K76" s="909"/>
      <c r="L76" s="909"/>
      <c r="M76" s="909"/>
      <c r="N76" s="909"/>
      <c r="O76" s="909"/>
    </row>
    <row r="77" spans="1:15" s="11" customFormat="1" ht="17.25" customHeight="1" x14ac:dyDescent="0.2">
      <c r="A77" s="919">
        <v>17102</v>
      </c>
      <c r="B77" s="892" t="s">
        <v>6150</v>
      </c>
      <c r="C77" s="893">
        <f>'[4]Por organismos DIC'!I81</f>
        <v>1957107.8399999999</v>
      </c>
      <c r="D77" s="893">
        <v>-201322.66999999998</v>
      </c>
      <c r="E77" s="891">
        <f t="shared" si="0"/>
        <v>1755785.17</v>
      </c>
      <c r="F77" s="893">
        <v>1755785.03</v>
      </c>
      <c r="G77" s="893">
        <v>1755785.03</v>
      </c>
      <c r="H77" s="891">
        <f t="shared" si="2"/>
        <v>0.13999999989755452</v>
      </c>
      <c r="I77" s="916">
        <f t="shared" ref="I77:I140" si="4">+F77/E77</f>
        <v>0.99999992026359363</v>
      </c>
      <c r="J77" s="909"/>
      <c r="K77" s="909"/>
      <c r="L77" s="909"/>
      <c r="M77" s="909"/>
      <c r="N77" s="909"/>
      <c r="O77" s="909"/>
    </row>
    <row r="78" spans="1:15" s="11" customFormat="1" ht="17.25" customHeight="1" x14ac:dyDescent="0.2">
      <c r="A78" s="921">
        <v>17104</v>
      </c>
      <c r="B78" s="894" t="s">
        <v>6151</v>
      </c>
      <c r="C78" s="893">
        <f>'[4]Por organismos DIC'!I82</f>
        <v>724169.23750556691</v>
      </c>
      <c r="D78" s="893">
        <v>1072.7599999999948</v>
      </c>
      <c r="E78" s="891">
        <f t="shared" si="0"/>
        <v>725241.99750556692</v>
      </c>
      <c r="F78" s="893">
        <v>694105</v>
      </c>
      <c r="G78" s="893">
        <v>587350</v>
      </c>
      <c r="H78" s="891">
        <f t="shared" si="2"/>
        <v>31136.99750556692</v>
      </c>
      <c r="I78" s="916">
        <f t="shared" si="4"/>
        <v>0.95706674790944124</v>
      </c>
      <c r="J78" s="909"/>
      <c r="K78" s="909"/>
      <c r="L78" s="909"/>
      <c r="M78" s="909"/>
      <c r="N78" s="909"/>
      <c r="O78" s="909"/>
    </row>
    <row r="79" spans="1:15" s="11" customFormat="1" ht="22.5" x14ac:dyDescent="0.2">
      <c r="A79" s="921">
        <v>17105</v>
      </c>
      <c r="B79" s="892" t="s">
        <v>6152</v>
      </c>
      <c r="C79" s="893">
        <f>'[4]Por organismos DIC'!I83</f>
        <v>242773.68</v>
      </c>
      <c r="D79" s="893">
        <v>189295.32</v>
      </c>
      <c r="E79" s="891">
        <f t="shared" si="0"/>
        <v>432069</v>
      </c>
      <c r="F79" s="893">
        <v>432069</v>
      </c>
      <c r="G79" s="893">
        <v>428459</v>
      </c>
      <c r="H79" s="891">
        <f t="shared" si="2"/>
        <v>0</v>
      </c>
      <c r="I79" s="916">
        <f t="shared" si="4"/>
        <v>1</v>
      </c>
      <c r="J79" s="909"/>
      <c r="K79" s="909"/>
      <c r="L79" s="909"/>
      <c r="M79" s="909"/>
      <c r="N79" s="909"/>
      <c r="O79" s="909"/>
    </row>
    <row r="80" spans="1:15" s="11" customFormat="1" ht="17.25" customHeight="1" x14ac:dyDescent="0.2">
      <c r="A80" s="919"/>
      <c r="B80" s="892"/>
      <c r="C80" s="893"/>
      <c r="D80" s="893"/>
      <c r="E80" s="891"/>
      <c r="F80" s="893"/>
      <c r="G80" s="893"/>
      <c r="H80" s="891"/>
      <c r="I80" s="916"/>
      <c r="J80" s="909"/>
      <c r="K80" s="909"/>
      <c r="L80" s="909"/>
      <c r="M80" s="909"/>
      <c r="N80" s="909"/>
      <c r="O80" s="909"/>
    </row>
    <row r="81" spans="1:15" s="11" customFormat="1" ht="12.75" x14ac:dyDescent="0.2">
      <c r="A81" s="915">
        <v>2000</v>
      </c>
      <c r="B81" s="890" t="s">
        <v>6153</v>
      </c>
      <c r="C81" s="895">
        <f>C82+C99+C105+C108+C123+C134+C138+C146+C143</f>
        <v>25483978.082213655</v>
      </c>
      <c r="D81" s="895">
        <v>26192681.009999998</v>
      </c>
      <c r="E81" s="891">
        <f t="shared" si="0"/>
        <v>51676659.092213653</v>
      </c>
      <c r="F81" s="891">
        <v>27168168.659999996</v>
      </c>
      <c r="G81" s="891">
        <v>24745633.310000002</v>
      </c>
      <c r="H81" s="891">
        <f t="shared" si="2"/>
        <v>24508490.432213657</v>
      </c>
      <c r="I81" s="916">
        <f t="shared" si="4"/>
        <v>0.52573384458775008</v>
      </c>
      <c r="J81" s="909">
        <v>25483978.082213655</v>
      </c>
      <c r="K81" s="909">
        <v>25742681.009999998</v>
      </c>
      <c r="L81" s="909">
        <v>51226659.092213653</v>
      </c>
      <c r="M81" s="909">
        <v>27168168.659999996</v>
      </c>
      <c r="N81" s="909">
        <v>24828425.310000002</v>
      </c>
      <c r="O81" s="909">
        <v>24058490.432213657</v>
      </c>
    </row>
    <row r="82" spans="1:15" s="11" customFormat="1" ht="17.25" customHeight="1" x14ac:dyDescent="0.2">
      <c r="A82" s="917">
        <v>2100</v>
      </c>
      <c r="B82" s="890" t="s">
        <v>6154</v>
      </c>
      <c r="C82" s="891">
        <f>C83+C85+C87+C89+C92+C94+C96</f>
        <v>2248291.971737816</v>
      </c>
      <c r="D82" s="891">
        <v>-429139.43</v>
      </c>
      <c r="E82" s="891">
        <f t="shared" si="0"/>
        <v>1819152.5417378161</v>
      </c>
      <c r="F82" s="891">
        <v>1482602.5400000003</v>
      </c>
      <c r="G82" s="891">
        <v>1399969.57</v>
      </c>
      <c r="H82" s="891">
        <f t="shared" si="2"/>
        <v>336550.00173781579</v>
      </c>
      <c r="I82" s="916">
        <f t="shared" si="4"/>
        <v>0.81499627215631221</v>
      </c>
      <c r="J82" s="909">
        <f>C81-J81</f>
        <v>0</v>
      </c>
      <c r="K82" s="909">
        <f t="shared" ref="K82:O82" si="5">D81-K81</f>
        <v>450000</v>
      </c>
      <c r="L82" s="909">
        <f t="shared" si="5"/>
        <v>450000</v>
      </c>
      <c r="M82" s="909">
        <f t="shared" si="5"/>
        <v>0</v>
      </c>
      <c r="N82" s="909">
        <f t="shared" si="5"/>
        <v>-82792</v>
      </c>
      <c r="O82" s="909">
        <f t="shared" si="5"/>
        <v>450000</v>
      </c>
    </row>
    <row r="83" spans="1:15" s="11" customFormat="1" ht="17.25" customHeight="1" x14ac:dyDescent="0.2">
      <c r="A83" s="918">
        <v>211</v>
      </c>
      <c r="B83" s="890" t="s">
        <v>6155</v>
      </c>
      <c r="C83" s="891">
        <f>C84</f>
        <v>1094116.546858507</v>
      </c>
      <c r="D83" s="891">
        <v>-253967.56</v>
      </c>
      <c r="E83" s="891">
        <f t="shared" si="0"/>
        <v>840148.98685850692</v>
      </c>
      <c r="F83" s="891">
        <v>736303.67</v>
      </c>
      <c r="G83" s="891">
        <v>659721.76</v>
      </c>
      <c r="H83" s="891">
        <f t="shared" si="2"/>
        <v>103845.31685850688</v>
      </c>
      <c r="I83" s="916">
        <f t="shared" si="4"/>
        <v>0.87639654575219295</v>
      </c>
      <c r="J83" s="909"/>
      <c r="K83" s="909"/>
      <c r="L83" s="909"/>
      <c r="M83" s="909"/>
      <c r="N83" s="909"/>
      <c r="O83" s="909"/>
    </row>
    <row r="84" spans="1:15" s="11" customFormat="1" ht="17.25" customHeight="1" x14ac:dyDescent="0.2">
      <c r="A84" s="919">
        <v>21101</v>
      </c>
      <c r="B84" s="892" t="s">
        <v>6155</v>
      </c>
      <c r="C84" s="893">
        <f>'[4]Por organismos DIC'!I88</f>
        <v>1094116.546858507</v>
      </c>
      <c r="D84" s="893">
        <v>-253967.56</v>
      </c>
      <c r="E84" s="891">
        <f t="shared" si="0"/>
        <v>840148.98685850692</v>
      </c>
      <c r="F84" s="893">
        <v>736303.67</v>
      </c>
      <c r="G84" s="893">
        <v>659721.76</v>
      </c>
      <c r="H84" s="891">
        <f t="shared" si="2"/>
        <v>103845.31685850688</v>
      </c>
      <c r="I84" s="916">
        <f t="shared" si="4"/>
        <v>0.87639654575219295</v>
      </c>
      <c r="J84" s="909"/>
      <c r="K84" s="909"/>
      <c r="L84" s="909"/>
      <c r="M84" s="909"/>
      <c r="N84" s="909"/>
      <c r="O84" s="909"/>
    </row>
    <row r="85" spans="1:15" s="11" customFormat="1" ht="17.25" customHeight="1" x14ac:dyDescent="0.2">
      <c r="A85" s="918">
        <v>212</v>
      </c>
      <c r="B85" s="890" t="s">
        <v>6156</v>
      </c>
      <c r="C85" s="891">
        <f>C86</f>
        <v>197754.5260726586</v>
      </c>
      <c r="D85" s="891">
        <v>-60430.400000000001</v>
      </c>
      <c r="E85" s="891">
        <f t="shared" si="0"/>
        <v>137324.1260726586</v>
      </c>
      <c r="F85" s="891">
        <v>75817.27</v>
      </c>
      <c r="G85" s="891">
        <v>75817.27</v>
      </c>
      <c r="H85" s="891">
        <f t="shared" si="2"/>
        <v>61506.8560726586</v>
      </c>
      <c r="I85" s="916">
        <f t="shared" si="4"/>
        <v>0.55210451483146417</v>
      </c>
      <c r="J85" s="909"/>
      <c r="K85" s="909"/>
      <c r="L85" s="909"/>
      <c r="M85" s="909"/>
      <c r="N85" s="909"/>
      <c r="O85" s="909"/>
    </row>
    <row r="86" spans="1:15" s="11" customFormat="1" ht="17.25" customHeight="1" x14ac:dyDescent="0.2">
      <c r="A86" s="919">
        <v>21201</v>
      </c>
      <c r="B86" s="892" t="s">
        <v>6157</v>
      </c>
      <c r="C86" s="893">
        <f>'[4]Por organismos DIC'!I90</f>
        <v>197754.5260726586</v>
      </c>
      <c r="D86" s="893">
        <v>-60430.400000000001</v>
      </c>
      <c r="E86" s="891">
        <f t="shared" si="0"/>
        <v>137324.1260726586</v>
      </c>
      <c r="F86" s="893">
        <v>75817.27</v>
      </c>
      <c r="G86" s="893">
        <v>75817.27</v>
      </c>
      <c r="H86" s="891">
        <f t="shared" si="2"/>
        <v>61506.8560726586</v>
      </c>
      <c r="I86" s="916">
        <f t="shared" si="4"/>
        <v>0.55210451483146417</v>
      </c>
      <c r="J86" s="909"/>
      <c r="K86" s="909"/>
      <c r="L86" s="909"/>
      <c r="M86" s="909"/>
      <c r="N86" s="909"/>
      <c r="O86" s="909"/>
    </row>
    <row r="87" spans="1:15" s="11" customFormat="1" ht="17.25" customHeight="1" x14ac:dyDescent="0.2">
      <c r="A87" s="918">
        <v>214</v>
      </c>
      <c r="B87" s="890" t="s">
        <v>6158</v>
      </c>
      <c r="C87" s="891">
        <f>C88</f>
        <v>361996.10178076691</v>
      </c>
      <c r="D87" s="891">
        <v>-74674.570000000007</v>
      </c>
      <c r="E87" s="891">
        <f t="shared" si="0"/>
        <v>287321.53178076691</v>
      </c>
      <c r="F87" s="891">
        <v>263027.28000000003</v>
      </c>
      <c r="G87" s="891">
        <v>260747.88</v>
      </c>
      <c r="H87" s="891">
        <f t="shared" si="2"/>
        <v>24294.251780766877</v>
      </c>
      <c r="I87" s="916">
        <f t="shared" si="4"/>
        <v>0.91544576687241119</v>
      </c>
      <c r="J87" s="909"/>
      <c r="K87" s="909"/>
      <c r="L87" s="909"/>
      <c r="M87" s="909"/>
      <c r="N87" s="909"/>
      <c r="O87" s="909"/>
    </row>
    <row r="88" spans="1:15" s="11" customFormat="1" ht="17.25" customHeight="1" x14ac:dyDescent="0.2">
      <c r="A88" s="919">
        <v>21401</v>
      </c>
      <c r="B88" s="892" t="s">
        <v>6159</v>
      </c>
      <c r="C88" s="893">
        <f>'[4]Por organismos DIC'!I92</f>
        <v>361996.10178076691</v>
      </c>
      <c r="D88" s="893">
        <v>-74674.570000000007</v>
      </c>
      <c r="E88" s="891">
        <f t="shared" si="0"/>
        <v>287321.53178076691</v>
      </c>
      <c r="F88" s="893">
        <v>263027.28000000003</v>
      </c>
      <c r="G88" s="893">
        <v>260747.88</v>
      </c>
      <c r="H88" s="891">
        <f t="shared" si="2"/>
        <v>24294.251780766877</v>
      </c>
      <c r="I88" s="916">
        <f t="shared" si="4"/>
        <v>0.91544576687241119</v>
      </c>
      <c r="J88" s="909"/>
      <c r="K88" s="909"/>
      <c r="L88" s="909"/>
      <c r="M88" s="909"/>
      <c r="N88" s="909"/>
      <c r="O88" s="909"/>
    </row>
    <row r="89" spans="1:15" s="11" customFormat="1" ht="17.25" customHeight="1" x14ac:dyDescent="0.2">
      <c r="A89" s="918">
        <v>215</v>
      </c>
      <c r="B89" s="890" t="s">
        <v>6160</v>
      </c>
      <c r="C89" s="891">
        <f>C90+C91</f>
        <v>29639.360000000001</v>
      </c>
      <c r="D89" s="891">
        <v>6700</v>
      </c>
      <c r="E89" s="891">
        <f t="shared" si="0"/>
        <v>36339.360000000001</v>
      </c>
      <c r="F89" s="891">
        <v>36270.28</v>
      </c>
      <c r="G89" s="891">
        <v>36270.28</v>
      </c>
      <c r="H89" s="891">
        <f t="shared" si="2"/>
        <v>69.080000000001746</v>
      </c>
      <c r="I89" s="916">
        <f t="shared" si="4"/>
        <v>0.99809903091303753</v>
      </c>
      <c r="J89" s="909"/>
      <c r="K89" s="909"/>
      <c r="L89" s="909"/>
      <c r="M89" s="909"/>
      <c r="N89" s="909"/>
      <c r="O89" s="909"/>
    </row>
    <row r="90" spans="1:15" s="11" customFormat="1" ht="17.25" hidden="1" customHeight="1" x14ac:dyDescent="0.2">
      <c r="A90" s="919">
        <v>21501</v>
      </c>
      <c r="B90" s="892" t="s">
        <v>6161</v>
      </c>
      <c r="C90" s="893">
        <f>'[4]Por organismos DIC'!I94</f>
        <v>0</v>
      </c>
      <c r="D90" s="893">
        <v>0</v>
      </c>
      <c r="E90" s="891">
        <f t="shared" si="0"/>
        <v>0</v>
      </c>
      <c r="F90" s="893">
        <v>0</v>
      </c>
      <c r="G90" s="893">
        <v>0</v>
      </c>
      <c r="H90" s="891">
        <f t="shared" si="2"/>
        <v>0</v>
      </c>
      <c r="I90" s="916" t="e">
        <f t="shared" si="4"/>
        <v>#DIV/0!</v>
      </c>
      <c r="J90" s="909"/>
      <c r="K90" s="909"/>
      <c r="L90" s="909"/>
      <c r="M90" s="909"/>
      <c r="N90" s="909"/>
      <c r="O90" s="909"/>
    </row>
    <row r="91" spans="1:15" s="11" customFormat="1" ht="17.25" customHeight="1" x14ac:dyDescent="0.2">
      <c r="A91" s="919">
        <v>21502</v>
      </c>
      <c r="B91" s="892" t="s">
        <v>6162</v>
      </c>
      <c r="C91" s="893">
        <f>'[4]Por organismos DIC'!I95</f>
        <v>29639.360000000001</v>
      </c>
      <c r="D91" s="893">
        <v>6700</v>
      </c>
      <c r="E91" s="891">
        <f t="shared" si="0"/>
        <v>36339.360000000001</v>
      </c>
      <c r="F91" s="893">
        <v>36270.28</v>
      </c>
      <c r="G91" s="893">
        <v>36270.28</v>
      </c>
      <c r="H91" s="891">
        <f t="shared" si="2"/>
        <v>69.080000000001746</v>
      </c>
      <c r="I91" s="916">
        <f t="shared" si="4"/>
        <v>0.99809903091303753</v>
      </c>
      <c r="J91" s="909"/>
      <c r="K91" s="909"/>
      <c r="L91" s="909"/>
      <c r="M91" s="909"/>
      <c r="N91" s="909"/>
      <c r="O91" s="909"/>
    </row>
    <row r="92" spans="1:15" s="11" customFormat="1" ht="17.25" customHeight="1" x14ac:dyDescent="0.2">
      <c r="A92" s="918">
        <v>216</v>
      </c>
      <c r="B92" s="890" t="s">
        <v>6163</v>
      </c>
      <c r="C92" s="891">
        <f>C93</f>
        <v>283794.85859059572</v>
      </c>
      <c r="D92" s="891">
        <v>-29662.97</v>
      </c>
      <c r="E92" s="891">
        <f t="shared" si="0"/>
        <v>254131.88859059571</v>
      </c>
      <c r="F92" s="891">
        <v>130447.03999999999</v>
      </c>
      <c r="G92" s="891">
        <v>126675.38</v>
      </c>
      <c r="H92" s="891">
        <f t="shared" si="2"/>
        <v>123684.84859059572</v>
      </c>
      <c r="I92" s="916">
        <f t="shared" si="4"/>
        <v>0.51330449210232354</v>
      </c>
      <c r="J92" s="909"/>
      <c r="K92" s="909"/>
      <c r="L92" s="909"/>
      <c r="M92" s="909"/>
      <c r="N92" s="909"/>
      <c r="O92" s="909"/>
    </row>
    <row r="93" spans="1:15" s="11" customFormat="1" ht="17.25" customHeight="1" x14ac:dyDescent="0.2">
      <c r="A93" s="919">
        <v>21601</v>
      </c>
      <c r="B93" s="892" t="s">
        <v>6163</v>
      </c>
      <c r="C93" s="893">
        <f>'[4]Por organismos DIC'!I97</f>
        <v>283794.85859059572</v>
      </c>
      <c r="D93" s="893">
        <v>-29662.97</v>
      </c>
      <c r="E93" s="891">
        <f t="shared" si="0"/>
        <v>254131.88859059571</v>
      </c>
      <c r="F93" s="893">
        <v>130447.03999999999</v>
      </c>
      <c r="G93" s="893">
        <v>126675.38</v>
      </c>
      <c r="H93" s="891">
        <f t="shared" si="2"/>
        <v>123684.84859059572</v>
      </c>
      <c r="I93" s="916">
        <f t="shared" si="4"/>
        <v>0.51330449210232354</v>
      </c>
      <c r="J93" s="909"/>
      <c r="K93" s="909"/>
      <c r="L93" s="909"/>
      <c r="M93" s="909"/>
      <c r="N93" s="909"/>
      <c r="O93" s="909"/>
    </row>
    <row r="94" spans="1:15" s="11" customFormat="1" ht="17.25" hidden="1" customHeight="1" x14ac:dyDescent="0.2">
      <c r="A94" s="918">
        <v>217</v>
      </c>
      <c r="B94" s="890" t="s">
        <v>6164</v>
      </c>
      <c r="C94" s="891">
        <f>C95</f>
        <v>0</v>
      </c>
      <c r="D94" s="891">
        <v>0</v>
      </c>
      <c r="E94" s="891">
        <f t="shared" si="0"/>
        <v>0</v>
      </c>
      <c r="F94" s="891">
        <v>0</v>
      </c>
      <c r="G94" s="891">
        <v>0</v>
      </c>
      <c r="H94" s="891">
        <f t="shared" si="2"/>
        <v>0</v>
      </c>
      <c r="I94" s="916" t="e">
        <f t="shared" si="4"/>
        <v>#DIV/0!</v>
      </c>
      <c r="J94" s="909"/>
      <c r="K94" s="909"/>
      <c r="L94" s="909"/>
      <c r="M94" s="909"/>
      <c r="N94" s="909"/>
      <c r="O94" s="909"/>
    </row>
    <row r="95" spans="1:15" s="11" customFormat="1" ht="17.25" hidden="1" customHeight="1" x14ac:dyDescent="0.2">
      <c r="A95" s="919">
        <v>21701</v>
      </c>
      <c r="B95" s="892" t="s">
        <v>6165</v>
      </c>
      <c r="C95" s="893">
        <f>'[4]Por organismos DIC'!I99</f>
        <v>0</v>
      </c>
      <c r="D95" s="893">
        <v>0</v>
      </c>
      <c r="E95" s="891">
        <f t="shared" ref="E95:E163" si="6">+C95+D95</f>
        <v>0</v>
      </c>
      <c r="F95" s="893">
        <v>0</v>
      </c>
      <c r="G95" s="893">
        <v>0</v>
      </c>
      <c r="H95" s="891">
        <f t="shared" si="2"/>
        <v>0</v>
      </c>
      <c r="I95" s="916" t="e">
        <f t="shared" si="4"/>
        <v>#DIV/0!</v>
      </c>
      <c r="J95" s="909"/>
      <c r="K95" s="909"/>
      <c r="L95" s="909"/>
      <c r="M95" s="909"/>
      <c r="N95" s="909"/>
      <c r="O95" s="909"/>
    </row>
    <row r="96" spans="1:15" s="11" customFormat="1" ht="17.25" customHeight="1" x14ac:dyDescent="0.2">
      <c r="A96" s="918">
        <v>218</v>
      </c>
      <c r="B96" s="890" t="s">
        <v>6166</v>
      </c>
      <c r="C96" s="891">
        <f>C97+C98</f>
        <v>280990.57843528775</v>
      </c>
      <c r="D96" s="891">
        <v>-17103.93</v>
      </c>
      <c r="E96" s="891">
        <f t="shared" si="6"/>
        <v>263886.64843528776</v>
      </c>
      <c r="F96" s="891">
        <v>240737</v>
      </c>
      <c r="G96" s="891">
        <v>240737</v>
      </c>
      <c r="H96" s="891">
        <f t="shared" ref="H96:H164" si="7">+E96-F96</f>
        <v>23149.64843528776</v>
      </c>
      <c r="I96" s="916">
        <f t="shared" si="4"/>
        <v>0.91227427165203967</v>
      </c>
      <c r="J96" s="909"/>
      <c r="K96" s="909"/>
      <c r="L96" s="909"/>
      <c r="M96" s="909"/>
      <c r="N96" s="909"/>
      <c r="O96" s="909"/>
    </row>
    <row r="97" spans="1:15" s="11" customFormat="1" ht="17.25" customHeight="1" x14ac:dyDescent="0.2">
      <c r="A97" s="919">
        <v>21801</v>
      </c>
      <c r="B97" s="892" t="s">
        <v>6167</v>
      </c>
      <c r="C97" s="893">
        <f>'[4]Por organismos DIC'!I101</f>
        <v>280990.57843528775</v>
      </c>
      <c r="D97" s="893">
        <v>-17103.93</v>
      </c>
      <c r="E97" s="891">
        <f t="shared" si="6"/>
        <v>263886.64843528776</v>
      </c>
      <c r="F97" s="893">
        <v>240737</v>
      </c>
      <c r="G97" s="893">
        <v>240737</v>
      </c>
      <c r="H97" s="891">
        <f t="shared" si="7"/>
        <v>23149.64843528776</v>
      </c>
      <c r="I97" s="916">
        <f t="shared" si="4"/>
        <v>0.91227427165203967</v>
      </c>
      <c r="J97" s="909"/>
      <c r="K97" s="909"/>
      <c r="L97" s="909"/>
      <c r="M97" s="909"/>
      <c r="N97" s="909"/>
      <c r="O97" s="909"/>
    </row>
    <row r="98" spans="1:15" s="11" customFormat="1" ht="17.25" hidden="1" customHeight="1" x14ac:dyDescent="0.2">
      <c r="A98" s="919">
        <v>21802</v>
      </c>
      <c r="B98" s="892" t="s">
        <v>6168</v>
      </c>
      <c r="C98" s="893">
        <f>'[4]Por organismos DIC'!I102</f>
        <v>0</v>
      </c>
      <c r="D98" s="893">
        <v>0</v>
      </c>
      <c r="E98" s="891">
        <f t="shared" si="6"/>
        <v>0</v>
      </c>
      <c r="F98" s="893">
        <v>0</v>
      </c>
      <c r="G98" s="893">
        <v>0</v>
      </c>
      <c r="H98" s="891">
        <f t="shared" si="7"/>
        <v>0</v>
      </c>
      <c r="I98" s="916" t="e">
        <f t="shared" si="4"/>
        <v>#DIV/0!</v>
      </c>
      <c r="J98" s="909"/>
      <c r="K98" s="909"/>
      <c r="L98" s="909"/>
      <c r="M98" s="909"/>
      <c r="N98" s="909"/>
      <c r="O98" s="909"/>
    </row>
    <row r="99" spans="1:15" s="11" customFormat="1" ht="17.25" customHeight="1" x14ac:dyDescent="0.2">
      <c r="A99" s="917">
        <v>2200</v>
      </c>
      <c r="B99" s="890" t="s">
        <v>6169</v>
      </c>
      <c r="C99" s="891">
        <f>C100+C103</f>
        <v>612802.39880192175</v>
      </c>
      <c r="D99" s="891">
        <v>-147839.09000000003</v>
      </c>
      <c r="E99" s="891">
        <f t="shared" si="6"/>
        <v>464963.30880192172</v>
      </c>
      <c r="F99" s="891">
        <v>402077.98</v>
      </c>
      <c r="G99" s="891">
        <v>321409.37999999995</v>
      </c>
      <c r="H99" s="891">
        <f t="shared" si="7"/>
        <v>62885.328801921743</v>
      </c>
      <c r="I99" s="916">
        <f t="shared" si="4"/>
        <v>0.8647520619122413</v>
      </c>
      <c r="J99" s="909"/>
      <c r="K99" s="909"/>
      <c r="L99" s="909"/>
      <c r="M99" s="909"/>
      <c r="N99" s="909"/>
      <c r="O99" s="909"/>
    </row>
    <row r="100" spans="1:15" s="11" customFormat="1" ht="17.25" customHeight="1" x14ac:dyDescent="0.2">
      <c r="A100" s="918">
        <v>221</v>
      </c>
      <c r="B100" s="890" t="s">
        <v>6170</v>
      </c>
      <c r="C100" s="891">
        <f>C101+C102</f>
        <v>605993.78702592175</v>
      </c>
      <c r="D100" s="891">
        <v>-145839.09000000003</v>
      </c>
      <c r="E100" s="891">
        <f t="shared" si="6"/>
        <v>460154.69702592172</v>
      </c>
      <c r="F100" s="891">
        <v>397451.44</v>
      </c>
      <c r="G100" s="891">
        <v>316782.83999999997</v>
      </c>
      <c r="H100" s="891">
        <f t="shared" si="7"/>
        <v>62703.257025921717</v>
      </c>
      <c r="I100" s="916">
        <f t="shared" si="4"/>
        <v>0.86373439751634329</v>
      </c>
      <c r="J100" s="909"/>
      <c r="K100" s="909"/>
      <c r="L100" s="909"/>
      <c r="M100" s="909"/>
      <c r="N100" s="909"/>
      <c r="O100" s="909"/>
    </row>
    <row r="101" spans="1:15" s="11" customFormat="1" ht="17.25" customHeight="1" x14ac:dyDescent="0.2">
      <c r="A101" s="919">
        <v>22101</v>
      </c>
      <c r="B101" s="892" t="s">
        <v>6171</v>
      </c>
      <c r="C101" s="893">
        <f>'[4]Por organismos DIC'!I105</f>
        <v>377699.57399164216</v>
      </c>
      <c r="D101" s="893">
        <v>-91931.32</v>
      </c>
      <c r="E101" s="891">
        <f t="shared" si="6"/>
        <v>285768.25399164215</v>
      </c>
      <c r="F101" s="893">
        <v>259870.84</v>
      </c>
      <c r="G101" s="893">
        <v>259870.84</v>
      </c>
      <c r="H101" s="891">
        <f t="shared" si="7"/>
        <v>25897.413991642155</v>
      </c>
      <c r="I101" s="916">
        <f t="shared" si="4"/>
        <v>0.90937616887143957</v>
      </c>
      <c r="J101" s="909"/>
      <c r="K101" s="909"/>
      <c r="L101" s="909"/>
      <c r="M101" s="909"/>
      <c r="N101" s="909"/>
      <c r="O101" s="909"/>
    </row>
    <row r="102" spans="1:15" s="11" customFormat="1" ht="17.25" customHeight="1" x14ac:dyDescent="0.2">
      <c r="A102" s="919">
        <v>22106</v>
      </c>
      <c r="B102" s="892" t="s">
        <v>6172</v>
      </c>
      <c r="C102" s="893">
        <f>'[4]Por organismos DIC'!I106</f>
        <v>228294.21303427962</v>
      </c>
      <c r="D102" s="893">
        <v>-53907.770000000004</v>
      </c>
      <c r="E102" s="891">
        <f t="shared" si="6"/>
        <v>174386.44303427963</v>
      </c>
      <c r="F102" s="893">
        <v>137580.6</v>
      </c>
      <c r="G102" s="893">
        <v>56912</v>
      </c>
      <c r="H102" s="891">
        <f t="shared" si="7"/>
        <v>36805.84303427962</v>
      </c>
      <c r="I102" s="916">
        <f t="shared" si="4"/>
        <v>0.78894091539532929</v>
      </c>
      <c r="J102" s="909"/>
      <c r="K102" s="909"/>
      <c r="L102" s="909"/>
      <c r="M102" s="909"/>
      <c r="N102" s="909"/>
      <c r="O102" s="909"/>
    </row>
    <row r="103" spans="1:15" s="11" customFormat="1" ht="17.25" customHeight="1" x14ac:dyDescent="0.2">
      <c r="A103" s="918">
        <v>223</v>
      </c>
      <c r="B103" s="890" t="s">
        <v>6173</v>
      </c>
      <c r="C103" s="891">
        <f>C104</f>
        <v>6808.6117759999997</v>
      </c>
      <c r="D103" s="891">
        <v>-2000</v>
      </c>
      <c r="E103" s="891">
        <f t="shared" si="6"/>
        <v>4808.6117759999997</v>
      </c>
      <c r="F103" s="891">
        <v>4626.54</v>
      </c>
      <c r="G103" s="891">
        <v>4626.54</v>
      </c>
      <c r="H103" s="891">
        <f t="shared" si="7"/>
        <v>182.07177599999977</v>
      </c>
      <c r="I103" s="916">
        <f t="shared" si="4"/>
        <v>0.96213631199991478</v>
      </c>
      <c r="J103" s="909"/>
      <c r="K103" s="909"/>
      <c r="L103" s="909"/>
      <c r="M103" s="909"/>
      <c r="N103" s="909"/>
      <c r="O103" s="909"/>
    </row>
    <row r="104" spans="1:15" s="11" customFormat="1" ht="17.25" customHeight="1" x14ac:dyDescent="0.2">
      <c r="A104" s="919">
        <v>22301</v>
      </c>
      <c r="B104" s="892" t="s">
        <v>6173</v>
      </c>
      <c r="C104" s="893">
        <f>'[4]Por organismos DIC'!I108</f>
        <v>6808.6117759999997</v>
      </c>
      <c r="D104" s="893">
        <v>-2000</v>
      </c>
      <c r="E104" s="891">
        <f t="shared" si="6"/>
        <v>4808.6117759999997</v>
      </c>
      <c r="F104" s="893">
        <v>4626.54</v>
      </c>
      <c r="G104" s="893">
        <v>4626.54</v>
      </c>
      <c r="H104" s="891">
        <f t="shared" si="7"/>
        <v>182.07177599999977</v>
      </c>
      <c r="I104" s="916">
        <f t="shared" si="4"/>
        <v>0.96213631199991478</v>
      </c>
      <c r="J104" s="909"/>
      <c r="K104" s="909"/>
      <c r="L104" s="909"/>
      <c r="M104" s="909"/>
      <c r="N104" s="909"/>
      <c r="O104" s="909"/>
    </row>
    <row r="105" spans="1:15" s="11" customFormat="1" ht="17.25" customHeight="1" x14ac:dyDescent="0.2">
      <c r="A105" s="917">
        <v>2300</v>
      </c>
      <c r="B105" s="890" t="s">
        <v>6174</v>
      </c>
      <c r="C105" s="891">
        <f>C106</f>
        <v>2245216.0910823718</v>
      </c>
      <c r="D105" s="891">
        <v>6598564.0999999996</v>
      </c>
      <c r="E105" s="891">
        <f t="shared" si="6"/>
        <v>8843780.1910823714</v>
      </c>
      <c r="F105" s="891">
        <v>6692647.6399999997</v>
      </c>
      <c r="G105" s="891">
        <v>6182328.3700000001</v>
      </c>
      <c r="H105" s="891">
        <f t="shared" si="7"/>
        <v>2151132.5510823717</v>
      </c>
      <c r="I105" s="916">
        <f t="shared" si="4"/>
        <v>0.75676322742038893</v>
      </c>
      <c r="J105" s="909"/>
      <c r="K105" s="909"/>
      <c r="L105" s="909"/>
      <c r="M105" s="909"/>
      <c r="N105" s="909"/>
      <c r="O105" s="909"/>
    </row>
    <row r="106" spans="1:15" s="11" customFormat="1" ht="17.25" customHeight="1" x14ac:dyDescent="0.2">
      <c r="A106" s="918">
        <v>239</v>
      </c>
      <c r="B106" s="890" t="s">
        <v>6175</v>
      </c>
      <c r="C106" s="891">
        <f>C107</f>
        <v>2245216.0910823718</v>
      </c>
      <c r="D106" s="891">
        <v>6598564.0999999996</v>
      </c>
      <c r="E106" s="891">
        <f t="shared" si="6"/>
        <v>8843780.1910823714</v>
      </c>
      <c r="F106" s="891">
        <v>6692647.6399999997</v>
      </c>
      <c r="G106" s="891">
        <v>6182328.3700000001</v>
      </c>
      <c r="H106" s="891">
        <f t="shared" si="7"/>
        <v>2151132.5510823717</v>
      </c>
      <c r="I106" s="916">
        <f t="shared" si="4"/>
        <v>0.75676322742038893</v>
      </c>
      <c r="J106" s="909"/>
      <c r="K106" s="909"/>
      <c r="L106" s="909"/>
      <c r="M106" s="909"/>
      <c r="N106" s="909"/>
      <c r="O106" s="909"/>
    </row>
    <row r="107" spans="1:15" s="11" customFormat="1" ht="17.25" customHeight="1" x14ac:dyDescent="0.2">
      <c r="A107" s="919">
        <v>23901</v>
      </c>
      <c r="B107" s="892" t="s">
        <v>6176</v>
      </c>
      <c r="C107" s="893">
        <f>'[4]Por organismos DIC'!I111</f>
        <v>2245216.0910823718</v>
      </c>
      <c r="D107" s="893">
        <v>6598564.0999999996</v>
      </c>
      <c r="E107" s="891">
        <f t="shared" si="6"/>
        <v>8843780.1910823714</v>
      </c>
      <c r="F107" s="893">
        <v>6692647.6399999997</v>
      </c>
      <c r="G107" s="893">
        <v>6182328.3700000001</v>
      </c>
      <c r="H107" s="891">
        <f t="shared" si="7"/>
        <v>2151132.5510823717</v>
      </c>
      <c r="I107" s="916">
        <f t="shared" si="4"/>
        <v>0.75676322742038893</v>
      </c>
      <c r="J107" s="909"/>
      <c r="K107" s="909"/>
      <c r="L107" s="909"/>
      <c r="M107" s="909"/>
      <c r="N107" s="909"/>
      <c r="O107" s="909"/>
    </row>
    <row r="108" spans="1:15" s="11" customFormat="1" ht="17.25" customHeight="1" x14ac:dyDescent="0.2">
      <c r="A108" s="917">
        <v>2400</v>
      </c>
      <c r="B108" s="890" t="s">
        <v>6177</v>
      </c>
      <c r="C108" s="891">
        <f>C109+C113+C115+C117+C121+C111+C119</f>
        <v>877366.97313757439</v>
      </c>
      <c r="D108" s="891">
        <v>-152104.91999999998</v>
      </c>
      <c r="E108" s="891">
        <f t="shared" si="6"/>
        <v>725262.05313757434</v>
      </c>
      <c r="F108" s="891">
        <v>639767.05000000005</v>
      </c>
      <c r="G108" s="891">
        <v>637016.99</v>
      </c>
      <c r="H108" s="891">
        <f t="shared" si="7"/>
        <v>85495.003137574298</v>
      </c>
      <c r="I108" s="916">
        <f t="shared" si="4"/>
        <v>0.88211846632853297</v>
      </c>
      <c r="J108" s="909"/>
      <c r="K108" s="909"/>
      <c r="L108" s="909"/>
      <c r="M108" s="909"/>
      <c r="N108" s="909"/>
      <c r="O108" s="909"/>
    </row>
    <row r="109" spans="1:15" s="11" customFormat="1" ht="17.25" customHeight="1" x14ac:dyDescent="0.2">
      <c r="A109" s="918">
        <v>242</v>
      </c>
      <c r="B109" s="890" t="s">
        <v>6178</v>
      </c>
      <c r="C109" s="891">
        <f>C110</f>
        <v>163493.84939414894</v>
      </c>
      <c r="D109" s="891">
        <v>-52992.81</v>
      </c>
      <c r="E109" s="891">
        <f t="shared" si="6"/>
        <v>110501.03939414895</v>
      </c>
      <c r="F109" s="891">
        <v>81869.87</v>
      </c>
      <c r="G109" s="891">
        <v>81869.87</v>
      </c>
      <c r="H109" s="891">
        <f t="shared" si="7"/>
        <v>28631.16939414895</v>
      </c>
      <c r="I109" s="916">
        <f t="shared" si="4"/>
        <v>0.74089683182052513</v>
      </c>
      <c r="J109" s="909"/>
      <c r="K109" s="909"/>
      <c r="L109" s="909"/>
      <c r="M109" s="909"/>
      <c r="N109" s="909"/>
      <c r="O109" s="909"/>
    </row>
    <row r="110" spans="1:15" s="11" customFormat="1" ht="17.25" customHeight="1" x14ac:dyDescent="0.2">
      <c r="A110" s="919">
        <v>24201</v>
      </c>
      <c r="B110" s="892" t="s">
        <v>6178</v>
      </c>
      <c r="C110" s="893">
        <f>'[4]Por organismos DIC'!I114</f>
        <v>163493.84939414894</v>
      </c>
      <c r="D110" s="893">
        <v>-52992.81</v>
      </c>
      <c r="E110" s="891">
        <f t="shared" si="6"/>
        <v>110501.03939414895</v>
      </c>
      <c r="F110" s="893">
        <v>81869.87</v>
      </c>
      <c r="G110" s="893">
        <v>81869.87</v>
      </c>
      <c r="H110" s="891">
        <f t="shared" si="7"/>
        <v>28631.16939414895</v>
      </c>
      <c r="I110" s="916">
        <f t="shared" si="4"/>
        <v>0.74089683182052513</v>
      </c>
      <c r="J110" s="909"/>
      <c r="K110" s="909"/>
      <c r="L110" s="909"/>
      <c r="M110" s="909"/>
      <c r="N110" s="909"/>
      <c r="O110" s="909"/>
    </row>
    <row r="111" spans="1:15" s="11" customFormat="1" ht="17.25" hidden="1" customHeight="1" x14ac:dyDescent="0.2">
      <c r="A111" s="918">
        <v>243</v>
      </c>
      <c r="B111" s="890" t="s">
        <v>6179</v>
      </c>
      <c r="C111" s="891">
        <f>C112</f>
        <v>0</v>
      </c>
      <c r="D111" s="891">
        <v>0</v>
      </c>
      <c r="E111" s="891">
        <f t="shared" si="6"/>
        <v>0</v>
      </c>
      <c r="F111" s="891">
        <v>0</v>
      </c>
      <c r="G111" s="891">
        <v>0</v>
      </c>
      <c r="H111" s="891">
        <f t="shared" si="7"/>
        <v>0</v>
      </c>
      <c r="I111" s="916" t="e">
        <f t="shared" si="4"/>
        <v>#DIV/0!</v>
      </c>
      <c r="J111" s="909"/>
      <c r="K111" s="909"/>
      <c r="L111" s="909"/>
      <c r="M111" s="909"/>
      <c r="N111" s="909"/>
      <c r="O111" s="909"/>
    </row>
    <row r="112" spans="1:15" s="11" customFormat="1" ht="17.25" hidden="1" customHeight="1" x14ac:dyDescent="0.2">
      <c r="A112" s="919">
        <v>24301</v>
      </c>
      <c r="B112" s="892" t="s">
        <v>6179</v>
      </c>
      <c r="C112" s="893">
        <f>'[4]Por organismos DIC'!I116</f>
        <v>0</v>
      </c>
      <c r="D112" s="893">
        <v>0</v>
      </c>
      <c r="E112" s="891">
        <f t="shared" si="6"/>
        <v>0</v>
      </c>
      <c r="F112" s="893">
        <v>0</v>
      </c>
      <c r="G112" s="893">
        <v>0</v>
      </c>
      <c r="H112" s="891">
        <f t="shared" si="7"/>
        <v>0</v>
      </c>
      <c r="I112" s="916" t="e">
        <f t="shared" si="4"/>
        <v>#DIV/0!</v>
      </c>
      <c r="J112" s="909"/>
      <c r="K112" s="909"/>
      <c r="L112" s="909"/>
      <c r="M112" s="909"/>
      <c r="N112" s="909"/>
      <c r="O112" s="909"/>
    </row>
    <row r="113" spans="1:15" s="11" customFormat="1" ht="17.25" hidden="1" customHeight="1" x14ac:dyDescent="0.2">
      <c r="A113" s="918">
        <v>244</v>
      </c>
      <c r="B113" s="890" t="s">
        <v>6180</v>
      </c>
      <c r="C113" s="891">
        <f>C114</f>
        <v>0</v>
      </c>
      <c r="D113" s="891">
        <v>0</v>
      </c>
      <c r="E113" s="891">
        <f t="shared" si="6"/>
        <v>0</v>
      </c>
      <c r="F113" s="891">
        <v>0</v>
      </c>
      <c r="G113" s="891">
        <v>0</v>
      </c>
      <c r="H113" s="891">
        <f t="shared" si="7"/>
        <v>0</v>
      </c>
      <c r="I113" s="916" t="e">
        <f t="shared" si="4"/>
        <v>#DIV/0!</v>
      </c>
      <c r="J113" s="909"/>
      <c r="K113" s="909"/>
      <c r="L113" s="909"/>
      <c r="M113" s="909"/>
      <c r="N113" s="909"/>
      <c r="O113" s="909"/>
    </row>
    <row r="114" spans="1:15" s="11" customFormat="1" ht="17.25" hidden="1" customHeight="1" x14ac:dyDescent="0.2">
      <c r="A114" s="919">
        <v>24401</v>
      </c>
      <c r="B114" s="892" t="s">
        <v>6180</v>
      </c>
      <c r="C114" s="893">
        <f>'[4]Por organismos DIC'!I118</f>
        <v>0</v>
      </c>
      <c r="D114" s="893">
        <v>0</v>
      </c>
      <c r="E114" s="891">
        <f t="shared" si="6"/>
        <v>0</v>
      </c>
      <c r="F114" s="893">
        <v>0</v>
      </c>
      <c r="G114" s="893">
        <v>0</v>
      </c>
      <c r="H114" s="891">
        <f t="shared" si="7"/>
        <v>0</v>
      </c>
      <c r="I114" s="916" t="e">
        <f t="shared" si="4"/>
        <v>#DIV/0!</v>
      </c>
      <c r="J114" s="909"/>
      <c r="K114" s="909"/>
      <c r="L114" s="909"/>
      <c r="M114" s="909"/>
      <c r="N114" s="909"/>
      <c r="O114" s="909"/>
    </row>
    <row r="115" spans="1:15" s="11" customFormat="1" ht="17.25" hidden="1" customHeight="1" x14ac:dyDescent="0.2">
      <c r="A115" s="918">
        <v>245</v>
      </c>
      <c r="B115" s="890" t="s">
        <v>6181</v>
      </c>
      <c r="C115" s="891">
        <f>C116</f>
        <v>0</v>
      </c>
      <c r="D115" s="891">
        <v>0</v>
      </c>
      <c r="E115" s="891">
        <f t="shared" si="6"/>
        <v>0</v>
      </c>
      <c r="F115" s="891">
        <v>0</v>
      </c>
      <c r="G115" s="891">
        <v>0</v>
      </c>
      <c r="H115" s="891">
        <f t="shared" si="7"/>
        <v>0</v>
      </c>
      <c r="I115" s="916" t="e">
        <f t="shared" si="4"/>
        <v>#DIV/0!</v>
      </c>
      <c r="J115" s="909"/>
      <c r="K115" s="909"/>
      <c r="L115" s="909"/>
      <c r="M115" s="909"/>
      <c r="N115" s="909"/>
      <c r="O115" s="909"/>
    </row>
    <row r="116" spans="1:15" s="11" customFormat="1" ht="17.25" hidden="1" customHeight="1" x14ac:dyDescent="0.2">
      <c r="A116" s="919">
        <v>24501</v>
      </c>
      <c r="B116" s="892" t="s">
        <v>6181</v>
      </c>
      <c r="C116" s="893">
        <f>'[4]Por organismos DIC'!I120</f>
        <v>0</v>
      </c>
      <c r="D116" s="893">
        <v>0</v>
      </c>
      <c r="E116" s="891">
        <f t="shared" si="6"/>
        <v>0</v>
      </c>
      <c r="F116" s="893">
        <v>0</v>
      </c>
      <c r="G116" s="893">
        <v>0</v>
      </c>
      <c r="H116" s="891">
        <f t="shared" si="7"/>
        <v>0</v>
      </c>
      <c r="I116" s="916" t="e">
        <f t="shared" si="4"/>
        <v>#DIV/0!</v>
      </c>
      <c r="J116" s="909"/>
      <c r="K116" s="909"/>
      <c r="L116" s="909"/>
      <c r="M116" s="909"/>
      <c r="N116" s="909"/>
      <c r="O116" s="909"/>
    </row>
    <row r="117" spans="1:15" s="11" customFormat="1" ht="17.25" customHeight="1" x14ac:dyDescent="0.2">
      <c r="A117" s="918">
        <v>246</v>
      </c>
      <c r="B117" s="890" t="s">
        <v>6182</v>
      </c>
      <c r="C117" s="891">
        <f>C118</f>
        <v>713873.12374342547</v>
      </c>
      <c r="D117" s="891">
        <v>-99112.109999999986</v>
      </c>
      <c r="E117" s="891">
        <f t="shared" si="6"/>
        <v>614761.01374342549</v>
      </c>
      <c r="F117" s="891">
        <v>557897.18000000005</v>
      </c>
      <c r="G117" s="891">
        <v>555147.12</v>
      </c>
      <c r="H117" s="891">
        <f t="shared" si="7"/>
        <v>56863.833743425435</v>
      </c>
      <c r="I117" s="916">
        <f t="shared" si="4"/>
        <v>0.90750253761674304</v>
      </c>
      <c r="J117" s="909"/>
      <c r="K117" s="909"/>
      <c r="L117" s="909"/>
      <c r="M117" s="909"/>
      <c r="N117" s="909"/>
      <c r="O117" s="909"/>
    </row>
    <row r="118" spans="1:15" s="11" customFormat="1" ht="17.25" customHeight="1" x14ac:dyDescent="0.2">
      <c r="A118" s="919">
        <v>24601</v>
      </c>
      <c r="B118" s="892" t="s">
        <v>6182</v>
      </c>
      <c r="C118" s="893">
        <f>'[4]Por organismos DIC'!I122</f>
        <v>713873.12374342547</v>
      </c>
      <c r="D118" s="893">
        <v>-99112.109999999986</v>
      </c>
      <c r="E118" s="891">
        <f t="shared" si="6"/>
        <v>614761.01374342549</v>
      </c>
      <c r="F118" s="893">
        <v>557897.18000000005</v>
      </c>
      <c r="G118" s="893">
        <v>555147.12</v>
      </c>
      <c r="H118" s="891">
        <f t="shared" si="7"/>
        <v>56863.833743425435</v>
      </c>
      <c r="I118" s="916">
        <f t="shared" si="4"/>
        <v>0.90750253761674304</v>
      </c>
      <c r="J118" s="909"/>
      <c r="K118" s="909"/>
      <c r="L118" s="909"/>
      <c r="M118" s="909"/>
      <c r="N118" s="909"/>
      <c r="O118" s="909"/>
    </row>
    <row r="119" spans="1:15" s="11" customFormat="1" ht="17.25" hidden="1" customHeight="1" x14ac:dyDescent="0.2">
      <c r="A119" s="918">
        <v>248</v>
      </c>
      <c r="B119" s="890" t="s">
        <v>6183</v>
      </c>
      <c r="C119" s="891">
        <f>C120</f>
        <v>0</v>
      </c>
      <c r="D119" s="893">
        <v>0</v>
      </c>
      <c r="E119" s="891">
        <f t="shared" si="6"/>
        <v>0</v>
      </c>
      <c r="F119" s="891">
        <v>0</v>
      </c>
      <c r="G119" s="891">
        <v>0</v>
      </c>
      <c r="H119" s="891">
        <f t="shared" si="7"/>
        <v>0</v>
      </c>
      <c r="I119" s="916" t="e">
        <f t="shared" si="4"/>
        <v>#DIV/0!</v>
      </c>
      <c r="J119" s="909"/>
      <c r="K119" s="909"/>
      <c r="L119" s="909"/>
      <c r="M119" s="909"/>
      <c r="N119" s="909"/>
      <c r="O119" s="909"/>
    </row>
    <row r="120" spans="1:15" s="11" customFormat="1" ht="17.25" hidden="1" customHeight="1" x14ac:dyDescent="0.2">
      <c r="A120" s="919">
        <v>24801</v>
      </c>
      <c r="B120" s="892" t="s">
        <v>6183</v>
      </c>
      <c r="C120" s="893">
        <f>'[4]Por organismos DIC'!I123</f>
        <v>0</v>
      </c>
      <c r="D120" s="893">
        <v>0</v>
      </c>
      <c r="E120" s="891">
        <f t="shared" si="6"/>
        <v>0</v>
      </c>
      <c r="F120" s="893">
        <v>0</v>
      </c>
      <c r="G120" s="893">
        <v>0</v>
      </c>
      <c r="H120" s="891">
        <f t="shared" si="7"/>
        <v>0</v>
      </c>
      <c r="I120" s="916" t="e">
        <f t="shared" si="4"/>
        <v>#DIV/0!</v>
      </c>
      <c r="J120" s="909"/>
      <c r="K120" s="909"/>
      <c r="L120" s="909"/>
      <c r="M120" s="909"/>
      <c r="N120" s="909"/>
      <c r="O120" s="909"/>
    </row>
    <row r="121" spans="1:15" s="11" customFormat="1" ht="17.25" hidden="1" customHeight="1" x14ac:dyDescent="0.2">
      <c r="A121" s="918">
        <v>249</v>
      </c>
      <c r="B121" s="890" t="s">
        <v>6184</v>
      </c>
      <c r="C121" s="891">
        <f>C122</f>
        <v>0</v>
      </c>
      <c r="D121" s="891">
        <v>0</v>
      </c>
      <c r="E121" s="891">
        <f t="shared" si="6"/>
        <v>0</v>
      </c>
      <c r="F121" s="891">
        <v>0</v>
      </c>
      <c r="G121" s="891">
        <v>0</v>
      </c>
      <c r="H121" s="891">
        <f t="shared" si="7"/>
        <v>0</v>
      </c>
      <c r="I121" s="916" t="e">
        <f t="shared" si="4"/>
        <v>#DIV/0!</v>
      </c>
      <c r="J121" s="909"/>
      <c r="K121" s="909"/>
      <c r="L121" s="909"/>
      <c r="M121" s="909"/>
      <c r="N121" s="909"/>
      <c r="O121" s="909"/>
    </row>
    <row r="122" spans="1:15" s="11" customFormat="1" ht="17.25" hidden="1" customHeight="1" x14ac:dyDescent="0.2">
      <c r="A122" s="919">
        <v>24901</v>
      </c>
      <c r="B122" s="892" t="s">
        <v>6184</v>
      </c>
      <c r="C122" s="893">
        <f>'[4]Por organismos DIC'!I125</f>
        <v>0</v>
      </c>
      <c r="D122" s="893">
        <v>0</v>
      </c>
      <c r="E122" s="891">
        <f t="shared" si="6"/>
        <v>0</v>
      </c>
      <c r="F122" s="893">
        <v>0</v>
      </c>
      <c r="G122" s="893">
        <v>0</v>
      </c>
      <c r="H122" s="891">
        <f t="shared" si="7"/>
        <v>0</v>
      </c>
      <c r="I122" s="916" t="e">
        <f t="shared" si="4"/>
        <v>#DIV/0!</v>
      </c>
      <c r="J122" s="909"/>
      <c r="K122" s="909"/>
      <c r="L122" s="909"/>
      <c r="M122" s="909"/>
      <c r="N122" s="909"/>
      <c r="O122" s="909"/>
    </row>
    <row r="123" spans="1:15" s="11" customFormat="1" ht="17.25" customHeight="1" x14ac:dyDescent="0.2">
      <c r="A123" s="917">
        <v>2500</v>
      </c>
      <c r="B123" s="890" t="s">
        <v>6185</v>
      </c>
      <c r="C123" s="891">
        <f>C124+C126+C128+C130+C132</f>
        <v>3655443.332885351</v>
      </c>
      <c r="D123" s="891">
        <v>2317105.29</v>
      </c>
      <c r="E123" s="891">
        <f t="shared" si="6"/>
        <v>5972548.6228853511</v>
      </c>
      <c r="F123" s="891">
        <v>1923630.1199999999</v>
      </c>
      <c r="G123" s="891">
        <v>1577741.3199999998</v>
      </c>
      <c r="H123" s="891">
        <f t="shared" si="7"/>
        <v>4048918.502885351</v>
      </c>
      <c r="I123" s="916">
        <f t="shared" si="4"/>
        <v>0.32207860353436352</v>
      </c>
      <c r="J123" s="909"/>
      <c r="K123" s="909"/>
      <c r="L123" s="909"/>
      <c r="M123" s="909"/>
      <c r="N123" s="909"/>
      <c r="O123" s="909"/>
    </row>
    <row r="124" spans="1:15" s="11" customFormat="1" ht="17.25" customHeight="1" x14ac:dyDescent="0.2">
      <c r="A124" s="918">
        <v>251</v>
      </c>
      <c r="B124" s="890" t="s">
        <v>6186</v>
      </c>
      <c r="C124" s="891">
        <f>C125</f>
        <v>0</v>
      </c>
      <c r="D124" s="891">
        <v>65000</v>
      </c>
      <c r="E124" s="891">
        <f t="shared" si="6"/>
        <v>65000</v>
      </c>
      <c r="F124" s="891">
        <v>65000</v>
      </c>
      <c r="G124" s="891">
        <v>65000</v>
      </c>
      <c r="H124" s="891">
        <f t="shared" si="7"/>
        <v>0</v>
      </c>
      <c r="I124" s="916">
        <f t="shared" si="4"/>
        <v>1</v>
      </c>
      <c r="J124" s="909"/>
      <c r="K124" s="909"/>
      <c r="L124" s="909"/>
      <c r="M124" s="909"/>
      <c r="N124" s="909"/>
      <c r="O124" s="909"/>
    </row>
    <row r="125" spans="1:15" s="11" customFormat="1" ht="17.25" customHeight="1" x14ac:dyDescent="0.2">
      <c r="A125" s="919">
        <v>25101</v>
      </c>
      <c r="B125" s="892" t="s">
        <v>6186</v>
      </c>
      <c r="C125" s="891">
        <f>'[4]Por organismos DIC'!I128</f>
        <v>0</v>
      </c>
      <c r="D125" s="893">
        <v>65000</v>
      </c>
      <c r="E125" s="891">
        <f t="shared" si="6"/>
        <v>65000</v>
      </c>
      <c r="F125" s="891">
        <v>65000</v>
      </c>
      <c r="G125" s="891">
        <v>65000</v>
      </c>
      <c r="H125" s="891">
        <f t="shared" si="7"/>
        <v>0</v>
      </c>
      <c r="I125" s="916">
        <f t="shared" si="4"/>
        <v>1</v>
      </c>
      <c r="J125" s="909"/>
      <c r="K125" s="909"/>
      <c r="L125" s="909"/>
      <c r="M125" s="909"/>
      <c r="N125" s="909"/>
      <c r="O125" s="909"/>
    </row>
    <row r="126" spans="1:15" s="11" customFormat="1" ht="17.25" customHeight="1" x14ac:dyDescent="0.2">
      <c r="A126" s="918">
        <v>252</v>
      </c>
      <c r="B126" s="890" t="s">
        <v>6187</v>
      </c>
      <c r="C126" s="891">
        <f>C127</f>
        <v>5000</v>
      </c>
      <c r="D126" s="891">
        <v>0</v>
      </c>
      <c r="E126" s="891">
        <f t="shared" si="6"/>
        <v>5000</v>
      </c>
      <c r="F126" s="891">
        <v>699</v>
      </c>
      <c r="G126" s="891">
        <v>699</v>
      </c>
      <c r="H126" s="891">
        <f t="shared" si="7"/>
        <v>4301</v>
      </c>
      <c r="I126" s="916">
        <f t="shared" si="4"/>
        <v>0.13980000000000001</v>
      </c>
      <c r="J126" s="909"/>
      <c r="K126" s="909"/>
      <c r="L126" s="909"/>
      <c r="M126" s="909"/>
      <c r="N126" s="909"/>
      <c r="O126" s="909"/>
    </row>
    <row r="127" spans="1:15" s="11" customFormat="1" ht="17.25" customHeight="1" x14ac:dyDescent="0.2">
      <c r="A127" s="919">
        <v>25201</v>
      </c>
      <c r="B127" s="892" t="s">
        <v>6187</v>
      </c>
      <c r="C127" s="893">
        <f>'[4]Por organismos DIC'!I130</f>
        <v>5000</v>
      </c>
      <c r="D127" s="893">
        <v>0</v>
      </c>
      <c r="E127" s="891">
        <f t="shared" si="6"/>
        <v>5000</v>
      </c>
      <c r="F127" s="893">
        <v>699</v>
      </c>
      <c r="G127" s="893">
        <v>699</v>
      </c>
      <c r="H127" s="891">
        <f t="shared" si="7"/>
        <v>4301</v>
      </c>
      <c r="I127" s="916">
        <f t="shared" si="4"/>
        <v>0.13980000000000001</v>
      </c>
      <c r="J127" s="909"/>
      <c r="K127" s="909"/>
      <c r="L127" s="909"/>
      <c r="M127" s="909"/>
      <c r="N127" s="909"/>
      <c r="O127" s="909"/>
    </row>
    <row r="128" spans="1:15" s="11" customFormat="1" ht="17.25" customHeight="1" x14ac:dyDescent="0.2">
      <c r="A128" s="918">
        <v>253</v>
      </c>
      <c r="B128" s="890" t="s">
        <v>6188</v>
      </c>
      <c r="C128" s="891">
        <f>C129</f>
        <v>72901.563938351086</v>
      </c>
      <c r="D128" s="891">
        <v>-49138.43</v>
      </c>
      <c r="E128" s="891">
        <f t="shared" si="6"/>
        <v>23763.133938351086</v>
      </c>
      <c r="F128" s="891">
        <v>3686.16</v>
      </c>
      <c r="G128" s="891">
        <v>3686.16</v>
      </c>
      <c r="H128" s="891">
        <f t="shared" si="7"/>
        <v>20076.973938351086</v>
      </c>
      <c r="I128" s="916">
        <f t="shared" si="4"/>
        <v>0.15512095372449772</v>
      </c>
      <c r="J128" s="909"/>
      <c r="K128" s="909"/>
      <c r="L128" s="909"/>
      <c r="M128" s="909"/>
      <c r="N128" s="909"/>
      <c r="O128" s="909"/>
    </row>
    <row r="129" spans="1:15" s="11" customFormat="1" ht="17.25" customHeight="1" x14ac:dyDescent="0.2">
      <c r="A129" s="919">
        <v>25301</v>
      </c>
      <c r="B129" s="892" t="s">
        <v>6188</v>
      </c>
      <c r="C129" s="893">
        <f>'[4]Por organismos DIC'!I132</f>
        <v>72901.563938351086</v>
      </c>
      <c r="D129" s="893">
        <v>-49138.43</v>
      </c>
      <c r="E129" s="891">
        <f t="shared" si="6"/>
        <v>23763.133938351086</v>
      </c>
      <c r="F129" s="893">
        <v>3686.16</v>
      </c>
      <c r="G129" s="893">
        <v>3686.16</v>
      </c>
      <c r="H129" s="891">
        <f t="shared" si="7"/>
        <v>20076.973938351086</v>
      </c>
      <c r="I129" s="916">
        <f t="shared" si="4"/>
        <v>0.15512095372449772</v>
      </c>
      <c r="J129" s="909"/>
      <c r="K129" s="909"/>
      <c r="L129" s="909"/>
      <c r="M129" s="909"/>
      <c r="N129" s="909"/>
      <c r="O129" s="909"/>
    </row>
    <row r="130" spans="1:15" s="11" customFormat="1" ht="17.25" hidden="1" customHeight="1" x14ac:dyDescent="0.2">
      <c r="A130" s="918">
        <v>255</v>
      </c>
      <c r="B130" s="890" t="s">
        <v>6189</v>
      </c>
      <c r="C130" s="891">
        <f>C131</f>
        <v>0</v>
      </c>
      <c r="D130" s="891">
        <v>0</v>
      </c>
      <c r="E130" s="891">
        <f t="shared" si="6"/>
        <v>0</v>
      </c>
      <c r="F130" s="891">
        <v>0</v>
      </c>
      <c r="G130" s="891">
        <v>0</v>
      </c>
      <c r="H130" s="891">
        <f t="shared" si="7"/>
        <v>0</v>
      </c>
      <c r="I130" s="916" t="e">
        <f t="shared" si="4"/>
        <v>#DIV/0!</v>
      </c>
      <c r="J130" s="909"/>
      <c r="K130" s="909"/>
      <c r="L130" s="909"/>
      <c r="M130" s="909"/>
      <c r="N130" s="909"/>
      <c r="O130" s="909"/>
    </row>
    <row r="131" spans="1:15" s="11" customFormat="1" ht="17.25" hidden="1" customHeight="1" x14ac:dyDescent="0.2">
      <c r="A131" s="919">
        <v>25501</v>
      </c>
      <c r="B131" s="892" t="s">
        <v>6189</v>
      </c>
      <c r="C131" s="893">
        <f>'[4]Por organismos DIC'!I134</f>
        <v>0</v>
      </c>
      <c r="D131" s="893">
        <v>0</v>
      </c>
      <c r="E131" s="891">
        <f t="shared" si="6"/>
        <v>0</v>
      </c>
      <c r="F131" s="893">
        <v>0</v>
      </c>
      <c r="G131" s="893">
        <v>0</v>
      </c>
      <c r="H131" s="891">
        <f t="shared" si="7"/>
        <v>0</v>
      </c>
      <c r="I131" s="916" t="e">
        <f t="shared" si="4"/>
        <v>#DIV/0!</v>
      </c>
      <c r="J131" s="909"/>
      <c r="K131" s="909"/>
      <c r="L131" s="909"/>
      <c r="M131" s="909"/>
      <c r="N131" s="909"/>
      <c r="O131" s="909"/>
    </row>
    <row r="132" spans="1:15" s="11" customFormat="1" ht="17.25" customHeight="1" x14ac:dyDescent="0.2">
      <c r="A132" s="918">
        <v>259</v>
      </c>
      <c r="B132" s="890" t="s">
        <v>6190</v>
      </c>
      <c r="C132" s="891">
        <f>C133</f>
        <v>3577541.7689470001</v>
      </c>
      <c r="D132" s="891">
        <v>2301243.7200000002</v>
      </c>
      <c r="E132" s="891">
        <f t="shared" si="6"/>
        <v>5878785.4889470004</v>
      </c>
      <c r="F132" s="891">
        <v>1854244.96</v>
      </c>
      <c r="G132" s="891">
        <v>1508356.16</v>
      </c>
      <c r="H132" s="891">
        <f t="shared" si="7"/>
        <v>4024540.5289470004</v>
      </c>
      <c r="I132" s="916">
        <f t="shared" si="4"/>
        <v>0.31541293069567838</v>
      </c>
      <c r="J132" s="909"/>
      <c r="K132" s="909"/>
      <c r="L132" s="909"/>
      <c r="M132" s="909"/>
      <c r="N132" s="909"/>
      <c r="O132" s="909"/>
    </row>
    <row r="133" spans="1:15" s="11" customFormat="1" ht="17.25" customHeight="1" x14ac:dyDescent="0.2">
      <c r="A133" s="919">
        <v>25901</v>
      </c>
      <c r="B133" s="892" t="s">
        <v>6190</v>
      </c>
      <c r="C133" s="893">
        <f>'[4]Por organismos DIC'!I136</f>
        <v>3577541.7689470001</v>
      </c>
      <c r="D133" s="893">
        <v>2301243.7200000002</v>
      </c>
      <c r="E133" s="891">
        <f t="shared" si="6"/>
        <v>5878785.4889470004</v>
      </c>
      <c r="F133" s="893">
        <v>1854244.96</v>
      </c>
      <c r="G133" s="893">
        <v>1508356.16</v>
      </c>
      <c r="H133" s="891">
        <f t="shared" si="7"/>
        <v>4024540.5289470004</v>
      </c>
      <c r="I133" s="916">
        <f t="shared" si="4"/>
        <v>0.31541293069567838</v>
      </c>
      <c r="J133" s="909"/>
      <c r="K133" s="909"/>
      <c r="L133" s="909"/>
      <c r="M133" s="909"/>
      <c r="N133" s="909"/>
      <c r="O133" s="909"/>
    </row>
    <row r="134" spans="1:15" s="11" customFormat="1" ht="17.25" customHeight="1" x14ac:dyDescent="0.2">
      <c r="A134" s="917">
        <v>2600</v>
      </c>
      <c r="B134" s="890" t="s">
        <v>6191</v>
      </c>
      <c r="C134" s="891">
        <f>C135</f>
        <v>10294453.783337705</v>
      </c>
      <c r="D134" s="891">
        <v>2886437.1599999997</v>
      </c>
      <c r="E134" s="891">
        <f t="shared" si="6"/>
        <v>13180890.943337705</v>
      </c>
      <c r="F134" s="891">
        <v>11629472.039999999</v>
      </c>
      <c r="G134" s="891">
        <v>10980847.33</v>
      </c>
      <c r="H134" s="891">
        <f t="shared" si="7"/>
        <v>1551418.9033377059</v>
      </c>
      <c r="I134" s="916">
        <f t="shared" si="4"/>
        <v>0.88229787273053251</v>
      </c>
      <c r="J134" s="909"/>
      <c r="K134" s="909"/>
      <c r="L134" s="909"/>
      <c r="M134" s="909"/>
      <c r="N134" s="909"/>
      <c r="O134" s="909"/>
    </row>
    <row r="135" spans="1:15" s="11" customFormat="1" ht="17.25" customHeight="1" x14ac:dyDescent="0.2">
      <c r="A135" s="918">
        <v>261</v>
      </c>
      <c r="B135" s="890" t="s">
        <v>6191</v>
      </c>
      <c r="C135" s="891">
        <f>SUM(C136:C137)</f>
        <v>10294453.783337705</v>
      </c>
      <c r="D135" s="891">
        <v>2886437.1599999997</v>
      </c>
      <c r="E135" s="891">
        <f t="shared" si="6"/>
        <v>13180890.943337705</v>
      </c>
      <c r="F135" s="891">
        <v>11629472.039999999</v>
      </c>
      <c r="G135" s="891">
        <v>10980847.33</v>
      </c>
      <c r="H135" s="891">
        <f t="shared" si="7"/>
        <v>1551418.9033377059</v>
      </c>
      <c r="I135" s="916">
        <f t="shared" si="4"/>
        <v>0.88229787273053251</v>
      </c>
      <c r="J135" s="909"/>
      <c r="K135" s="909"/>
      <c r="L135" s="909"/>
      <c r="M135" s="909"/>
      <c r="N135" s="909"/>
      <c r="O135" s="909"/>
    </row>
    <row r="136" spans="1:15" s="11" customFormat="1" ht="17.25" customHeight="1" x14ac:dyDescent="0.2">
      <c r="A136" s="919">
        <v>26101</v>
      </c>
      <c r="B136" s="892" t="s">
        <v>6192</v>
      </c>
      <c r="C136" s="893">
        <f>'[4]Por organismos DIC'!I139</f>
        <v>9465396.6127386317</v>
      </c>
      <c r="D136" s="893">
        <v>2571382.0499999998</v>
      </c>
      <c r="E136" s="891">
        <f t="shared" si="6"/>
        <v>12036778.662738632</v>
      </c>
      <c r="F136" s="893">
        <v>10491978.52</v>
      </c>
      <c r="G136" s="893">
        <v>10029030.59</v>
      </c>
      <c r="H136" s="891">
        <f t="shared" si="7"/>
        <v>1544800.1427386329</v>
      </c>
      <c r="I136" s="916">
        <f t="shared" si="4"/>
        <v>0.87166000256191822</v>
      </c>
      <c r="J136" s="909"/>
      <c r="K136" s="909"/>
      <c r="L136" s="909"/>
      <c r="M136" s="909"/>
      <c r="N136" s="909"/>
      <c r="O136" s="909"/>
    </row>
    <row r="137" spans="1:15" s="11" customFormat="1" ht="17.25" customHeight="1" x14ac:dyDescent="0.2">
      <c r="A137" s="919">
        <v>26102</v>
      </c>
      <c r="B137" s="892" t="s">
        <v>6193</v>
      </c>
      <c r="C137" s="893">
        <f>'[4]Por organismos DIC'!I140</f>
        <v>829057.17059907247</v>
      </c>
      <c r="D137" s="893">
        <v>315055.11</v>
      </c>
      <c r="E137" s="891">
        <f t="shared" si="6"/>
        <v>1144112.2805990726</v>
      </c>
      <c r="F137" s="893">
        <v>1137493.52</v>
      </c>
      <c r="G137" s="893">
        <v>951816.74</v>
      </c>
      <c r="H137" s="891">
        <f t="shared" si="7"/>
        <v>6618.7605990725569</v>
      </c>
      <c r="I137" s="916">
        <f t="shared" si="4"/>
        <v>0.99421493789437621</v>
      </c>
      <c r="J137" s="909"/>
      <c r="K137" s="909"/>
      <c r="L137" s="909"/>
      <c r="M137" s="909"/>
      <c r="N137" s="909"/>
      <c r="O137" s="909"/>
    </row>
    <row r="138" spans="1:15" s="11" customFormat="1" ht="22.5" x14ac:dyDescent="0.2">
      <c r="A138" s="917">
        <v>2700</v>
      </c>
      <c r="B138" s="890" t="s">
        <v>6194</v>
      </c>
      <c r="C138" s="891">
        <f>C139+C141</f>
        <v>2625781.0166685618</v>
      </c>
      <c r="D138" s="891">
        <v>-994673.5199999999</v>
      </c>
      <c r="E138" s="891">
        <f t="shared" si="6"/>
        <v>1631107.4966685618</v>
      </c>
      <c r="F138" s="891">
        <v>1061972.2</v>
      </c>
      <c r="G138" s="891">
        <v>463885.03000000009</v>
      </c>
      <c r="H138" s="891">
        <f t="shared" si="7"/>
        <v>569135.29666856187</v>
      </c>
      <c r="I138" s="916">
        <f t="shared" si="4"/>
        <v>0.65107431740030242</v>
      </c>
      <c r="J138" s="909"/>
      <c r="K138" s="909"/>
      <c r="L138" s="909"/>
      <c r="M138" s="909"/>
      <c r="N138" s="909"/>
      <c r="O138" s="909"/>
    </row>
    <row r="139" spans="1:15" s="11" customFormat="1" ht="17.25" customHeight="1" x14ac:dyDescent="0.2">
      <c r="A139" s="918">
        <v>271</v>
      </c>
      <c r="B139" s="890" t="s">
        <v>6195</v>
      </c>
      <c r="C139" s="891">
        <f>C140</f>
        <v>2424289.7799831475</v>
      </c>
      <c r="D139" s="891">
        <v>-911027.16999999993</v>
      </c>
      <c r="E139" s="891">
        <f t="shared" si="6"/>
        <v>1513262.6099831476</v>
      </c>
      <c r="F139" s="891">
        <v>972994.32</v>
      </c>
      <c r="G139" s="891">
        <v>379436.20000000007</v>
      </c>
      <c r="H139" s="891">
        <f t="shared" si="7"/>
        <v>540268.28998314764</v>
      </c>
      <c r="I139" s="916">
        <f t="shared" si="4"/>
        <v>0.64297783714542167</v>
      </c>
      <c r="J139" s="909"/>
      <c r="K139" s="909"/>
      <c r="L139" s="909"/>
      <c r="M139" s="909"/>
      <c r="N139" s="909"/>
      <c r="O139" s="909"/>
    </row>
    <row r="140" spans="1:15" s="11" customFormat="1" ht="17.25" customHeight="1" x14ac:dyDescent="0.2">
      <c r="A140" s="919">
        <v>27101</v>
      </c>
      <c r="B140" s="892" t="s">
        <v>6195</v>
      </c>
      <c r="C140" s="893">
        <f>'[4]Por organismos DIC'!I143</f>
        <v>2424289.7799831475</v>
      </c>
      <c r="D140" s="893">
        <v>-911027.16999999993</v>
      </c>
      <c r="E140" s="891">
        <f t="shared" si="6"/>
        <v>1513262.6099831476</v>
      </c>
      <c r="F140" s="893">
        <v>972994.32</v>
      </c>
      <c r="G140" s="893">
        <v>379436.20000000007</v>
      </c>
      <c r="H140" s="891">
        <f t="shared" si="7"/>
        <v>540268.28998314764</v>
      </c>
      <c r="I140" s="916">
        <f t="shared" si="4"/>
        <v>0.64297783714542167</v>
      </c>
      <c r="J140" s="909"/>
      <c r="K140" s="909"/>
      <c r="L140" s="909"/>
      <c r="M140" s="909"/>
      <c r="N140" s="909"/>
      <c r="O140" s="909"/>
    </row>
    <row r="141" spans="1:15" s="11" customFormat="1" ht="17.25" customHeight="1" x14ac:dyDescent="0.2">
      <c r="A141" s="918">
        <v>272</v>
      </c>
      <c r="B141" s="890" t="s">
        <v>6196</v>
      </c>
      <c r="C141" s="891">
        <f>C142</f>
        <v>201491.23668541433</v>
      </c>
      <c r="D141" s="891">
        <v>-83646.350000000006</v>
      </c>
      <c r="E141" s="891">
        <f t="shared" si="6"/>
        <v>117844.88668541433</v>
      </c>
      <c r="F141" s="891">
        <v>88977.88</v>
      </c>
      <c r="G141" s="891">
        <v>84448.83</v>
      </c>
      <c r="H141" s="891">
        <f t="shared" si="7"/>
        <v>28867.006685414322</v>
      </c>
      <c r="I141" s="916">
        <f t="shared" ref="I141:I204" si="8">+F141/E141</f>
        <v>0.7550423484858152</v>
      </c>
      <c r="J141" s="909"/>
      <c r="K141" s="909"/>
      <c r="L141" s="909"/>
      <c r="M141" s="909"/>
      <c r="N141" s="909"/>
      <c r="O141" s="909"/>
    </row>
    <row r="142" spans="1:15" s="11" customFormat="1" ht="17.25" customHeight="1" x14ac:dyDescent="0.2">
      <c r="A142" s="919">
        <v>27201</v>
      </c>
      <c r="B142" s="892" t="s">
        <v>6196</v>
      </c>
      <c r="C142" s="893">
        <f>'[4]Por organismos DIC'!I145</f>
        <v>201491.23668541433</v>
      </c>
      <c r="D142" s="893">
        <v>-83646.350000000006</v>
      </c>
      <c r="E142" s="891">
        <f t="shared" si="6"/>
        <v>117844.88668541433</v>
      </c>
      <c r="F142" s="893">
        <v>88977.88</v>
      </c>
      <c r="G142" s="893">
        <v>84448.83</v>
      </c>
      <c r="H142" s="891">
        <f t="shared" si="7"/>
        <v>28867.006685414322</v>
      </c>
      <c r="I142" s="916">
        <f t="shared" si="8"/>
        <v>0.7550423484858152</v>
      </c>
      <c r="J142" s="909"/>
      <c r="K142" s="909"/>
      <c r="L142" s="909"/>
      <c r="M142" s="909"/>
      <c r="N142" s="909"/>
      <c r="O142" s="909"/>
    </row>
    <row r="143" spans="1:15" s="11" customFormat="1" ht="17.25" customHeight="1" x14ac:dyDescent="0.2">
      <c r="A143" s="917">
        <v>2800</v>
      </c>
      <c r="B143" s="890" t="s">
        <v>6197</v>
      </c>
      <c r="C143" s="891">
        <f>C144</f>
        <v>6500</v>
      </c>
      <c r="D143" s="891">
        <v>-5400</v>
      </c>
      <c r="E143" s="891">
        <f t="shared" si="6"/>
        <v>1100</v>
      </c>
      <c r="F143" s="891">
        <v>0</v>
      </c>
      <c r="G143" s="891">
        <v>0</v>
      </c>
      <c r="H143" s="891">
        <f t="shared" si="7"/>
        <v>1100</v>
      </c>
      <c r="I143" s="916">
        <f t="shared" si="8"/>
        <v>0</v>
      </c>
      <c r="J143" s="909"/>
      <c r="K143" s="909"/>
      <c r="L143" s="909"/>
      <c r="M143" s="909"/>
      <c r="N143" s="909"/>
      <c r="O143" s="909"/>
    </row>
    <row r="144" spans="1:15" s="11" customFormat="1" ht="17.25" customHeight="1" x14ac:dyDescent="0.2">
      <c r="A144" s="918">
        <v>280</v>
      </c>
      <c r="B144" s="890" t="s">
        <v>6198</v>
      </c>
      <c r="C144" s="891">
        <f>C145</f>
        <v>6500</v>
      </c>
      <c r="D144" s="891">
        <v>-5400</v>
      </c>
      <c r="E144" s="891">
        <f t="shared" si="6"/>
        <v>1100</v>
      </c>
      <c r="F144" s="891">
        <v>0</v>
      </c>
      <c r="G144" s="891">
        <v>0</v>
      </c>
      <c r="H144" s="891">
        <f t="shared" si="7"/>
        <v>1100</v>
      </c>
      <c r="I144" s="916">
        <f t="shared" si="8"/>
        <v>0</v>
      </c>
      <c r="J144" s="909"/>
      <c r="K144" s="909"/>
      <c r="L144" s="909"/>
      <c r="M144" s="909"/>
      <c r="N144" s="909"/>
      <c r="O144" s="909"/>
    </row>
    <row r="145" spans="1:15" s="11" customFormat="1" ht="22.5" x14ac:dyDescent="0.2">
      <c r="A145" s="919">
        <v>28301</v>
      </c>
      <c r="B145" s="892" t="s">
        <v>6198</v>
      </c>
      <c r="C145" s="893">
        <f>'[4]Por organismos DIC'!I148</f>
        <v>6500</v>
      </c>
      <c r="D145" s="893">
        <v>-5400</v>
      </c>
      <c r="E145" s="891">
        <f t="shared" si="6"/>
        <v>1100</v>
      </c>
      <c r="F145" s="893">
        <v>0</v>
      </c>
      <c r="G145" s="893">
        <v>0</v>
      </c>
      <c r="H145" s="891">
        <f t="shared" si="7"/>
        <v>1100</v>
      </c>
      <c r="I145" s="916">
        <f t="shared" si="8"/>
        <v>0</v>
      </c>
      <c r="J145" s="909"/>
      <c r="K145" s="909"/>
      <c r="L145" s="909"/>
      <c r="M145" s="909"/>
      <c r="N145" s="909"/>
      <c r="O145" s="909"/>
    </row>
    <row r="146" spans="1:15" s="11" customFormat="1" ht="22.5" x14ac:dyDescent="0.2">
      <c r="A146" s="917">
        <v>2900</v>
      </c>
      <c r="B146" s="890" t="s">
        <v>6199</v>
      </c>
      <c r="C146" s="891">
        <f>C147+C149+C151+C153+C157+C159+C155</f>
        <v>2918122.5145623544</v>
      </c>
      <c r="D146" s="891">
        <v>16119731.42</v>
      </c>
      <c r="E146" s="891">
        <f t="shared" si="6"/>
        <v>19037853.934562355</v>
      </c>
      <c r="F146" s="891">
        <v>3335999.09</v>
      </c>
      <c r="G146" s="891">
        <v>3182435.3200000003</v>
      </c>
      <c r="H146" s="891">
        <f t="shared" si="7"/>
        <v>15701854.844562355</v>
      </c>
      <c r="I146" s="916">
        <f t="shared" si="8"/>
        <v>0.17522978700575309</v>
      </c>
      <c r="J146" s="909"/>
      <c r="K146" s="909"/>
      <c r="L146" s="909"/>
      <c r="M146" s="909"/>
      <c r="N146" s="909"/>
      <c r="O146" s="909"/>
    </row>
    <row r="147" spans="1:15" s="11" customFormat="1" ht="17.25" customHeight="1" x14ac:dyDescent="0.2">
      <c r="A147" s="918">
        <v>291</v>
      </c>
      <c r="B147" s="890" t="s">
        <v>6200</v>
      </c>
      <c r="C147" s="891">
        <f>C148</f>
        <v>309780.07124442363</v>
      </c>
      <c r="D147" s="891">
        <v>-73208.149999999994</v>
      </c>
      <c r="E147" s="891">
        <f t="shared" si="6"/>
        <v>236571.92124442363</v>
      </c>
      <c r="F147" s="891">
        <v>210077.44</v>
      </c>
      <c r="G147" s="891">
        <v>203596.46999999997</v>
      </c>
      <c r="H147" s="891">
        <f t="shared" si="7"/>
        <v>26494.48124442363</v>
      </c>
      <c r="I147" s="916">
        <f t="shared" si="8"/>
        <v>0.888006653092825</v>
      </c>
      <c r="J147" s="909"/>
      <c r="K147" s="909"/>
      <c r="L147" s="909"/>
      <c r="M147" s="909"/>
      <c r="N147" s="909"/>
      <c r="O147" s="909"/>
    </row>
    <row r="148" spans="1:15" s="11" customFormat="1" ht="17.25" customHeight="1" x14ac:dyDescent="0.2">
      <c r="A148" s="919">
        <v>29101</v>
      </c>
      <c r="B148" s="892" t="s">
        <v>6200</v>
      </c>
      <c r="C148" s="893">
        <f>'[4]Por organismos DIC'!I151</f>
        <v>309780.07124442363</v>
      </c>
      <c r="D148" s="893">
        <v>-73208.149999999994</v>
      </c>
      <c r="E148" s="891">
        <f t="shared" si="6"/>
        <v>236571.92124442363</v>
      </c>
      <c r="F148" s="893">
        <v>210077.44</v>
      </c>
      <c r="G148" s="893">
        <v>203596.46999999997</v>
      </c>
      <c r="H148" s="891">
        <f t="shared" si="7"/>
        <v>26494.48124442363</v>
      </c>
      <c r="I148" s="916">
        <f t="shared" si="8"/>
        <v>0.888006653092825</v>
      </c>
      <c r="J148" s="909"/>
      <c r="K148" s="909"/>
      <c r="L148" s="909"/>
      <c r="M148" s="909"/>
      <c r="N148" s="909"/>
      <c r="O148" s="909"/>
    </row>
    <row r="149" spans="1:15" s="11" customFormat="1" ht="17.25" customHeight="1" x14ac:dyDescent="0.2">
      <c r="A149" s="918">
        <v>292</v>
      </c>
      <c r="B149" s="890" t="s">
        <v>6201</v>
      </c>
      <c r="C149" s="891">
        <f>C150</f>
        <v>45929.478810679859</v>
      </c>
      <c r="D149" s="891">
        <v>-5500</v>
      </c>
      <c r="E149" s="891">
        <f t="shared" si="6"/>
        <v>40429.478810679859</v>
      </c>
      <c r="F149" s="891">
        <v>35268.1</v>
      </c>
      <c r="G149" s="891">
        <v>35268.1</v>
      </c>
      <c r="H149" s="891">
        <f t="shared" si="7"/>
        <v>5161.3788106798602</v>
      </c>
      <c r="I149" s="916">
        <f t="shared" si="8"/>
        <v>0.87233625160370776</v>
      </c>
      <c r="J149" s="909"/>
      <c r="K149" s="909"/>
      <c r="L149" s="909"/>
      <c r="M149" s="909"/>
      <c r="N149" s="909"/>
      <c r="O149" s="909"/>
    </row>
    <row r="150" spans="1:15" s="11" customFormat="1" ht="17.25" customHeight="1" x14ac:dyDescent="0.2">
      <c r="A150" s="919">
        <v>29201</v>
      </c>
      <c r="B150" s="892" t="s">
        <v>6201</v>
      </c>
      <c r="C150" s="893">
        <f>'[4]Por organismos DIC'!I153</f>
        <v>45929.478810679859</v>
      </c>
      <c r="D150" s="893">
        <v>-5500</v>
      </c>
      <c r="E150" s="891">
        <f t="shared" si="6"/>
        <v>40429.478810679859</v>
      </c>
      <c r="F150" s="893">
        <v>35268.1</v>
      </c>
      <c r="G150" s="893">
        <v>35268.1</v>
      </c>
      <c r="H150" s="891">
        <f t="shared" si="7"/>
        <v>5161.3788106798602</v>
      </c>
      <c r="I150" s="916">
        <f t="shared" si="8"/>
        <v>0.87233625160370776</v>
      </c>
      <c r="J150" s="909"/>
      <c r="K150" s="909"/>
      <c r="L150" s="909"/>
      <c r="M150" s="909"/>
      <c r="N150" s="909"/>
      <c r="O150" s="909"/>
    </row>
    <row r="151" spans="1:15" s="11" customFormat="1" ht="32.25" customHeight="1" x14ac:dyDescent="0.2">
      <c r="A151" s="918">
        <v>293</v>
      </c>
      <c r="B151" s="890" t="s">
        <v>6202</v>
      </c>
      <c r="C151" s="891">
        <f>C152</f>
        <v>29168.300723114979</v>
      </c>
      <c r="D151" s="891">
        <v>-11353.01</v>
      </c>
      <c r="E151" s="891">
        <f t="shared" si="6"/>
        <v>17815.29072311498</v>
      </c>
      <c r="F151" s="891">
        <v>16093.99</v>
      </c>
      <c r="G151" s="891">
        <v>16093.99</v>
      </c>
      <c r="H151" s="891">
        <f t="shared" si="7"/>
        <v>1721.3007231149804</v>
      </c>
      <c r="I151" s="916">
        <f t="shared" si="8"/>
        <v>0.90338071099330264</v>
      </c>
      <c r="J151" s="909"/>
      <c r="K151" s="909"/>
      <c r="L151" s="909"/>
      <c r="M151" s="909"/>
      <c r="N151" s="909"/>
      <c r="O151" s="909"/>
    </row>
    <row r="152" spans="1:15" s="11" customFormat="1" ht="33.75" x14ac:dyDescent="0.2">
      <c r="A152" s="919">
        <v>29301</v>
      </c>
      <c r="B152" s="892" t="s">
        <v>6203</v>
      </c>
      <c r="C152" s="893">
        <f>'[4]Por organismos DIC'!I155</f>
        <v>29168.300723114979</v>
      </c>
      <c r="D152" s="893">
        <v>-11353.01</v>
      </c>
      <c r="E152" s="891">
        <f t="shared" si="6"/>
        <v>17815.29072311498</v>
      </c>
      <c r="F152" s="893">
        <v>16093.99</v>
      </c>
      <c r="G152" s="893">
        <v>16093.99</v>
      </c>
      <c r="H152" s="891">
        <f t="shared" si="7"/>
        <v>1721.3007231149804</v>
      </c>
      <c r="I152" s="916">
        <f t="shared" si="8"/>
        <v>0.90338071099330264</v>
      </c>
      <c r="J152" s="909"/>
      <c r="K152" s="909"/>
      <c r="L152" s="909"/>
      <c r="M152" s="909"/>
      <c r="N152" s="909"/>
      <c r="O152" s="909"/>
    </row>
    <row r="153" spans="1:15" s="11" customFormat="1" ht="17.25" customHeight="1" x14ac:dyDescent="0.2">
      <c r="A153" s="918">
        <v>294</v>
      </c>
      <c r="B153" s="890" t="s">
        <v>6204</v>
      </c>
      <c r="C153" s="891">
        <f>C154</f>
        <v>110792.06572273161</v>
      </c>
      <c r="D153" s="891">
        <v>108383.59</v>
      </c>
      <c r="E153" s="891">
        <f t="shared" si="6"/>
        <v>219175.65572273161</v>
      </c>
      <c r="F153" s="891">
        <v>132413.82</v>
      </c>
      <c r="G153" s="891">
        <v>132413.82</v>
      </c>
      <c r="H153" s="891">
        <f t="shared" si="7"/>
        <v>86761.835722731601</v>
      </c>
      <c r="I153" s="916">
        <f t="shared" si="8"/>
        <v>0.6041447420944881</v>
      </c>
      <c r="J153" s="909"/>
      <c r="K153" s="909"/>
      <c r="L153" s="909"/>
      <c r="M153" s="909"/>
      <c r="N153" s="909"/>
      <c r="O153" s="909"/>
    </row>
    <row r="154" spans="1:15" s="11" customFormat="1" ht="22.5" x14ac:dyDescent="0.2">
      <c r="A154" s="919">
        <v>29401</v>
      </c>
      <c r="B154" s="892" t="s">
        <v>6205</v>
      </c>
      <c r="C154" s="893">
        <f>'[4]Por organismos DIC'!I157</f>
        <v>110792.06572273161</v>
      </c>
      <c r="D154" s="893">
        <v>108383.59</v>
      </c>
      <c r="E154" s="891">
        <f t="shared" si="6"/>
        <v>219175.65572273161</v>
      </c>
      <c r="F154" s="893">
        <v>132413.82</v>
      </c>
      <c r="G154" s="893">
        <v>132413.82</v>
      </c>
      <c r="H154" s="891">
        <f t="shared" si="7"/>
        <v>86761.835722731601</v>
      </c>
      <c r="I154" s="916">
        <f t="shared" si="8"/>
        <v>0.6041447420944881</v>
      </c>
      <c r="J154" s="909"/>
      <c r="K154" s="909"/>
      <c r="L154" s="909"/>
      <c r="M154" s="909"/>
      <c r="N154" s="909"/>
      <c r="O154" s="909"/>
    </row>
    <row r="155" spans="1:15" s="11" customFormat="1" ht="17.25" hidden="1" customHeight="1" x14ac:dyDescent="0.2">
      <c r="A155" s="918">
        <v>295</v>
      </c>
      <c r="B155" s="890" t="s">
        <v>6206</v>
      </c>
      <c r="C155" s="891">
        <f>C156</f>
        <v>0</v>
      </c>
      <c r="D155" s="891">
        <v>0</v>
      </c>
      <c r="E155" s="891">
        <f t="shared" si="6"/>
        <v>0</v>
      </c>
      <c r="F155" s="891">
        <v>0</v>
      </c>
      <c r="G155" s="891">
        <v>0</v>
      </c>
      <c r="H155" s="891">
        <f t="shared" si="7"/>
        <v>0</v>
      </c>
      <c r="I155" s="916" t="e">
        <f t="shared" si="8"/>
        <v>#DIV/0!</v>
      </c>
      <c r="J155" s="909"/>
      <c r="K155" s="909"/>
      <c r="L155" s="909"/>
      <c r="M155" s="909"/>
      <c r="N155" s="909"/>
      <c r="O155" s="909"/>
    </row>
    <row r="156" spans="1:15" s="11" customFormat="1" ht="17.25" hidden="1" customHeight="1" x14ac:dyDescent="0.2">
      <c r="A156" s="919">
        <v>29501</v>
      </c>
      <c r="B156" s="892" t="s">
        <v>6207</v>
      </c>
      <c r="C156" s="893">
        <f>'[4]Por organismos DIC'!I159</f>
        <v>0</v>
      </c>
      <c r="D156" s="893">
        <v>0</v>
      </c>
      <c r="E156" s="891">
        <f t="shared" si="6"/>
        <v>0</v>
      </c>
      <c r="F156" s="893">
        <v>0</v>
      </c>
      <c r="G156" s="893">
        <v>0</v>
      </c>
      <c r="H156" s="891">
        <f t="shared" si="7"/>
        <v>0</v>
      </c>
      <c r="I156" s="916" t="e">
        <f t="shared" si="8"/>
        <v>#DIV/0!</v>
      </c>
      <c r="J156" s="909"/>
      <c r="K156" s="909"/>
      <c r="L156" s="909"/>
      <c r="M156" s="909"/>
      <c r="N156" s="909"/>
      <c r="O156" s="909"/>
    </row>
    <row r="157" spans="1:15" s="11" customFormat="1" ht="22.5" x14ac:dyDescent="0.2">
      <c r="A157" s="918">
        <v>296</v>
      </c>
      <c r="B157" s="890" t="s">
        <v>6208</v>
      </c>
      <c r="C157" s="891">
        <f>C158</f>
        <v>1057663.4063395988</v>
      </c>
      <c r="D157" s="891">
        <v>16685009.85</v>
      </c>
      <c r="E157" s="891">
        <f t="shared" si="6"/>
        <v>17742673.256339598</v>
      </c>
      <c r="F157" s="891">
        <v>2294837.17</v>
      </c>
      <c r="G157" s="891">
        <v>2164206.37</v>
      </c>
      <c r="H157" s="891">
        <f t="shared" si="7"/>
        <v>15447836.086339599</v>
      </c>
      <c r="I157" s="916">
        <f t="shared" si="8"/>
        <v>0.12933998934912677</v>
      </c>
      <c r="J157" s="909"/>
      <c r="K157" s="909"/>
      <c r="L157" s="909"/>
      <c r="M157" s="909"/>
      <c r="N157" s="909"/>
      <c r="O157" s="909"/>
    </row>
    <row r="158" spans="1:15" s="11" customFormat="1" ht="17.25" customHeight="1" x14ac:dyDescent="0.2">
      <c r="A158" s="919">
        <v>29601</v>
      </c>
      <c r="B158" s="892" t="s">
        <v>6208</v>
      </c>
      <c r="C158" s="893">
        <f>'[4]Por organismos DIC'!I161</f>
        <v>1057663.4063395988</v>
      </c>
      <c r="D158" s="893">
        <v>16685009.85</v>
      </c>
      <c r="E158" s="891">
        <f t="shared" si="6"/>
        <v>17742673.256339598</v>
      </c>
      <c r="F158" s="893">
        <v>2294837.17</v>
      </c>
      <c r="G158" s="893">
        <v>2164206.37</v>
      </c>
      <c r="H158" s="891">
        <f t="shared" si="7"/>
        <v>15447836.086339599</v>
      </c>
      <c r="I158" s="916">
        <f t="shared" si="8"/>
        <v>0.12933998934912677</v>
      </c>
      <c r="J158" s="909"/>
      <c r="K158" s="909"/>
      <c r="L158" s="909"/>
      <c r="M158" s="909"/>
      <c r="N158" s="909"/>
      <c r="O158" s="909"/>
    </row>
    <row r="159" spans="1:15" s="11" customFormat="1" ht="17.25" customHeight="1" x14ac:dyDescent="0.2">
      <c r="A159" s="918">
        <v>298</v>
      </c>
      <c r="B159" s="890" t="s">
        <v>6209</v>
      </c>
      <c r="C159" s="891">
        <f>C160</f>
        <v>1364789.1917218056</v>
      </c>
      <c r="D159" s="891">
        <v>-583600.86</v>
      </c>
      <c r="E159" s="891">
        <f t="shared" si="6"/>
        <v>781188.33172180562</v>
      </c>
      <c r="F159" s="891">
        <v>647308.57000000007</v>
      </c>
      <c r="G159" s="891">
        <v>630856.57000000007</v>
      </c>
      <c r="H159" s="891">
        <f t="shared" si="7"/>
        <v>133879.76172180555</v>
      </c>
      <c r="I159" s="916">
        <f t="shared" si="8"/>
        <v>0.828620377077672</v>
      </c>
      <c r="J159" s="909"/>
      <c r="K159" s="909"/>
      <c r="L159" s="909"/>
      <c r="M159" s="909"/>
      <c r="N159" s="909"/>
      <c r="O159" s="909"/>
    </row>
    <row r="160" spans="1:15" s="11" customFormat="1" ht="17.25" customHeight="1" x14ac:dyDescent="0.2">
      <c r="A160" s="919">
        <v>29801</v>
      </c>
      <c r="B160" s="892" t="s">
        <v>6209</v>
      </c>
      <c r="C160" s="893">
        <f>'[4]Por organismos DIC'!I163</f>
        <v>1364789.1917218056</v>
      </c>
      <c r="D160" s="893">
        <v>-583600.86</v>
      </c>
      <c r="E160" s="891">
        <f t="shared" si="6"/>
        <v>781188.33172180562</v>
      </c>
      <c r="F160" s="893">
        <v>647308.57000000007</v>
      </c>
      <c r="G160" s="893">
        <v>630856.57000000007</v>
      </c>
      <c r="H160" s="891">
        <f t="shared" si="7"/>
        <v>133879.76172180555</v>
      </c>
      <c r="I160" s="916">
        <f t="shared" si="8"/>
        <v>0.828620377077672</v>
      </c>
      <c r="J160" s="909"/>
      <c r="K160" s="909"/>
      <c r="L160" s="909"/>
      <c r="M160" s="909"/>
      <c r="N160" s="909"/>
      <c r="O160" s="909"/>
    </row>
    <row r="161" spans="1:21" s="11" customFormat="1" ht="17.25" customHeight="1" x14ac:dyDescent="0.2">
      <c r="A161" s="919"/>
      <c r="B161" s="892"/>
      <c r="C161" s="893"/>
      <c r="D161" s="893"/>
      <c r="E161" s="891"/>
      <c r="F161" s="893"/>
      <c r="G161" s="893"/>
      <c r="H161" s="891"/>
      <c r="I161" s="916"/>
      <c r="J161" s="909"/>
      <c r="K161" s="909"/>
      <c r="L161" s="909"/>
      <c r="M161" s="909"/>
      <c r="N161" s="909"/>
      <c r="O161" s="909"/>
    </row>
    <row r="162" spans="1:21" s="11" customFormat="1" ht="17.25" customHeight="1" x14ac:dyDescent="0.2">
      <c r="A162" s="915">
        <v>3000</v>
      </c>
      <c r="B162" s="890" t="s">
        <v>6210</v>
      </c>
      <c r="C162" s="891">
        <f>C163+C180+C194+C216+C225+C242+C251+C266+C275</f>
        <v>147233209.45890099</v>
      </c>
      <c r="D162" s="891">
        <v>168185838.44000003</v>
      </c>
      <c r="E162" s="891">
        <f t="shared" si="6"/>
        <v>315419047.89890099</v>
      </c>
      <c r="F162" s="891">
        <v>262192437.34999996</v>
      </c>
      <c r="G162" s="891">
        <v>239134501.09999999</v>
      </c>
      <c r="H162" s="891">
        <f t="shared" si="7"/>
        <v>53226610.548901021</v>
      </c>
      <c r="I162" s="916">
        <f t="shared" si="8"/>
        <v>0.83125112163181292</v>
      </c>
      <c r="J162" s="909">
        <v>147233209.45890099</v>
      </c>
      <c r="K162" s="909">
        <v>167699943.33000001</v>
      </c>
      <c r="L162" s="909">
        <v>314933152.78890097</v>
      </c>
      <c r="M162" s="909">
        <v>262049563.19999999</v>
      </c>
      <c r="N162" s="909">
        <v>239134510.09999999</v>
      </c>
      <c r="O162" s="909">
        <v>52883589.588900983</v>
      </c>
      <c r="P162" s="11">
        <v>227702200.89527455</v>
      </c>
      <c r="Q162" s="11">
        <v>21177279.109999999</v>
      </c>
      <c r="R162" s="11">
        <v>248879480.00527453</v>
      </c>
      <c r="S162" s="11">
        <v>247313580.75999996</v>
      </c>
      <c r="T162" s="11">
        <v>236451307.04999998</v>
      </c>
      <c r="U162" s="11">
        <v>1565899.2452745736</v>
      </c>
    </row>
    <row r="163" spans="1:21" s="11" customFormat="1" ht="17.25" customHeight="1" x14ac:dyDescent="0.2">
      <c r="A163" s="917">
        <v>3100</v>
      </c>
      <c r="B163" s="890" t="s">
        <v>6211</v>
      </c>
      <c r="C163" s="891">
        <f>C164+C166+C168+C170+C172+C174+C176+C178</f>
        <v>61038412.895877376</v>
      </c>
      <c r="D163" s="891">
        <v>72606782.280000001</v>
      </c>
      <c r="E163" s="891">
        <f t="shared" si="6"/>
        <v>133645195.17587738</v>
      </c>
      <c r="F163" s="891">
        <v>128237716.24999999</v>
      </c>
      <c r="G163" s="891">
        <v>127489707.44999999</v>
      </c>
      <c r="H163" s="891">
        <f t="shared" si="7"/>
        <v>5407478.9258773923</v>
      </c>
      <c r="I163" s="916">
        <f t="shared" si="8"/>
        <v>0.95953854593304955</v>
      </c>
      <c r="J163" s="909">
        <f>C162-J162</f>
        <v>0</v>
      </c>
      <c r="K163" s="909">
        <f t="shared" ref="K163:O163" si="9">D162-K162</f>
        <v>485895.11000001431</v>
      </c>
      <c r="L163" s="909">
        <f t="shared" si="9"/>
        <v>485895.11000001431</v>
      </c>
      <c r="M163" s="909">
        <f t="shared" si="9"/>
        <v>142874.14999997616</v>
      </c>
      <c r="N163" s="909">
        <f t="shared" si="9"/>
        <v>-9</v>
      </c>
      <c r="O163" s="909">
        <f t="shared" si="9"/>
        <v>343020.96000003815</v>
      </c>
      <c r="P163" s="11">
        <v>25483978.082213655</v>
      </c>
      <c r="Q163" s="11">
        <v>26192681.009999998</v>
      </c>
      <c r="R163" s="11">
        <v>51676659.092213653</v>
      </c>
      <c r="S163" s="11">
        <v>27168168.659999996</v>
      </c>
      <c r="T163" s="11">
        <v>24745633.310000002</v>
      </c>
      <c r="U163" s="11">
        <v>24508490.432213657</v>
      </c>
    </row>
    <row r="164" spans="1:21" s="11" customFormat="1" ht="17.25" customHeight="1" x14ac:dyDescent="0.2">
      <c r="A164" s="918">
        <v>311</v>
      </c>
      <c r="B164" s="890" t="s">
        <v>6212</v>
      </c>
      <c r="C164" s="891">
        <f>C165</f>
        <v>59724995.899999999</v>
      </c>
      <c r="D164" s="891">
        <v>72788071.799999997</v>
      </c>
      <c r="E164" s="891">
        <f t="shared" ref="E164:E231" si="10">+C164+D164</f>
        <v>132513067.69999999</v>
      </c>
      <c r="F164" s="891">
        <v>127279516.64</v>
      </c>
      <c r="G164" s="891">
        <v>126785567.64</v>
      </c>
      <c r="H164" s="891">
        <f t="shared" si="7"/>
        <v>5233551.0599999875</v>
      </c>
      <c r="I164" s="916">
        <f t="shared" si="8"/>
        <v>0.96050539655569389</v>
      </c>
      <c r="J164" s="909"/>
      <c r="K164" s="909"/>
      <c r="L164" s="909"/>
      <c r="M164" s="909"/>
      <c r="N164" s="909"/>
      <c r="O164" s="909"/>
      <c r="P164" s="11">
        <v>147233209.45890099</v>
      </c>
      <c r="Q164" s="11">
        <v>168185838.44000003</v>
      </c>
      <c r="R164" s="11">
        <v>315419047.89890099</v>
      </c>
      <c r="S164" s="11">
        <v>262192437.34999996</v>
      </c>
      <c r="T164" s="11">
        <v>239134501.09999999</v>
      </c>
      <c r="U164" s="11">
        <v>53226610.548901021</v>
      </c>
    </row>
    <row r="165" spans="1:21" s="11" customFormat="1" ht="17.25" customHeight="1" x14ac:dyDescent="0.2">
      <c r="A165" s="919">
        <v>31101</v>
      </c>
      <c r="B165" s="892" t="s">
        <v>6212</v>
      </c>
      <c r="C165" s="893">
        <f>'[4]Por organismos DIC'!I168</f>
        <v>59724995.899999999</v>
      </c>
      <c r="D165" s="893">
        <v>72788071.799999997</v>
      </c>
      <c r="E165" s="891">
        <f t="shared" si="10"/>
        <v>132513067.69999999</v>
      </c>
      <c r="F165" s="893">
        <v>127279516.64</v>
      </c>
      <c r="G165" s="893">
        <v>126785567.64</v>
      </c>
      <c r="H165" s="891">
        <f t="shared" ref="H165:H232" si="11">+E165-F165</f>
        <v>5233551.0599999875</v>
      </c>
      <c r="I165" s="916">
        <f t="shared" si="8"/>
        <v>0.96050539655569389</v>
      </c>
      <c r="J165" s="909"/>
      <c r="K165" s="909"/>
      <c r="L165" s="909"/>
      <c r="M165" s="909"/>
      <c r="N165" s="909"/>
      <c r="O165" s="909"/>
      <c r="P165" s="11">
        <f>SUM(P162:P164)</f>
        <v>400419388.43638921</v>
      </c>
      <c r="Q165" s="11">
        <f t="shared" ref="Q165:U165" si="12">SUM(Q162:Q164)</f>
        <v>215555798.56000003</v>
      </c>
      <c r="R165" s="11">
        <f t="shared" si="12"/>
        <v>615975186.99638915</v>
      </c>
      <c r="S165" s="11">
        <f t="shared" si="12"/>
        <v>536674186.76999992</v>
      </c>
      <c r="T165" s="11">
        <f t="shared" si="12"/>
        <v>500331441.45999998</v>
      </c>
      <c r="U165" s="11">
        <f t="shared" si="12"/>
        <v>79301000.226389259</v>
      </c>
    </row>
    <row r="166" spans="1:21" s="11" customFormat="1" ht="17.25" customHeight="1" x14ac:dyDescent="0.2">
      <c r="A166" s="918">
        <v>312</v>
      </c>
      <c r="B166" s="890" t="s">
        <v>6213</v>
      </c>
      <c r="C166" s="891">
        <f>C167</f>
        <v>3175.2000000000003</v>
      </c>
      <c r="D166" s="891">
        <v>0</v>
      </c>
      <c r="E166" s="891">
        <f t="shared" si="10"/>
        <v>3175.2000000000003</v>
      </c>
      <c r="F166" s="891">
        <v>2909.99</v>
      </c>
      <c r="G166" s="891">
        <v>2909.99</v>
      </c>
      <c r="H166" s="891">
        <f t="shared" si="11"/>
        <v>265.21000000000049</v>
      </c>
      <c r="I166" s="916">
        <f t="shared" si="8"/>
        <v>0.91647455278407641</v>
      </c>
      <c r="J166" s="909"/>
      <c r="K166" s="909"/>
      <c r="L166" s="909"/>
      <c r="M166" s="909"/>
      <c r="N166" s="909"/>
      <c r="O166" s="909"/>
    </row>
    <row r="167" spans="1:21" s="11" customFormat="1" ht="17.25" customHeight="1" x14ac:dyDescent="0.2">
      <c r="A167" s="919">
        <v>31201</v>
      </c>
      <c r="B167" s="892" t="s">
        <v>6213</v>
      </c>
      <c r="C167" s="893">
        <f>'[4]Por organismos DIC'!I170</f>
        <v>3175.2000000000003</v>
      </c>
      <c r="D167" s="893">
        <v>0</v>
      </c>
      <c r="E167" s="891">
        <f t="shared" si="10"/>
        <v>3175.2000000000003</v>
      </c>
      <c r="F167" s="893">
        <v>2909.99</v>
      </c>
      <c r="G167" s="893">
        <v>2909.99</v>
      </c>
      <c r="H167" s="891">
        <f t="shared" si="11"/>
        <v>265.21000000000049</v>
      </c>
      <c r="I167" s="916">
        <f t="shared" si="8"/>
        <v>0.91647455278407641</v>
      </c>
      <c r="J167" s="909"/>
      <c r="K167" s="909"/>
      <c r="L167" s="909"/>
      <c r="M167" s="909"/>
      <c r="N167" s="909"/>
      <c r="O167" s="909"/>
    </row>
    <row r="168" spans="1:21" s="11" customFormat="1" ht="17.25" customHeight="1" x14ac:dyDescent="0.2">
      <c r="A168" s="918">
        <v>313</v>
      </c>
      <c r="B168" s="890" t="s">
        <v>6214</v>
      </c>
      <c r="C168" s="891">
        <f>C169</f>
        <v>35476</v>
      </c>
      <c r="D168" s="891">
        <v>69868.899999999994</v>
      </c>
      <c r="E168" s="891">
        <f t="shared" si="10"/>
        <v>105344.9</v>
      </c>
      <c r="F168" s="891">
        <v>103432.47</v>
      </c>
      <c r="G168" s="891">
        <v>103401.70999999999</v>
      </c>
      <c r="H168" s="891">
        <f t="shared" si="11"/>
        <v>1912.429999999993</v>
      </c>
      <c r="I168" s="916">
        <f t="shared" si="8"/>
        <v>0.98184601247900949</v>
      </c>
      <c r="J168" s="909"/>
      <c r="K168" s="909"/>
      <c r="L168" s="909"/>
      <c r="M168" s="909"/>
      <c r="N168" s="909"/>
      <c r="O168" s="909"/>
    </row>
    <row r="169" spans="1:21" s="11" customFormat="1" ht="17.25" customHeight="1" x14ac:dyDescent="0.2">
      <c r="A169" s="919">
        <v>31301</v>
      </c>
      <c r="B169" s="892" t="s">
        <v>6215</v>
      </c>
      <c r="C169" s="893">
        <f>'[4]Por organismos DIC'!I172</f>
        <v>35476</v>
      </c>
      <c r="D169" s="893">
        <v>69868.899999999994</v>
      </c>
      <c r="E169" s="891">
        <f t="shared" si="10"/>
        <v>105344.9</v>
      </c>
      <c r="F169" s="893">
        <v>103432.47</v>
      </c>
      <c r="G169" s="893">
        <v>103401.70999999999</v>
      </c>
      <c r="H169" s="891">
        <f t="shared" si="11"/>
        <v>1912.429999999993</v>
      </c>
      <c r="I169" s="916">
        <f t="shared" si="8"/>
        <v>0.98184601247900949</v>
      </c>
      <c r="J169" s="909"/>
      <c r="K169" s="909"/>
      <c r="L169" s="909"/>
      <c r="M169" s="909"/>
      <c r="N169" s="909"/>
      <c r="O169" s="909"/>
    </row>
    <row r="170" spans="1:21" s="11" customFormat="1" ht="17.25" customHeight="1" x14ac:dyDescent="0.2">
      <c r="A170" s="918">
        <v>314</v>
      </c>
      <c r="B170" s="890" t="s">
        <v>6216</v>
      </c>
      <c r="C170" s="891">
        <f>C171</f>
        <v>730666.80552019225</v>
      </c>
      <c r="D170" s="891">
        <v>-61809.200000000012</v>
      </c>
      <c r="E170" s="891">
        <f t="shared" si="10"/>
        <v>668857.6055201923</v>
      </c>
      <c r="F170" s="891">
        <v>612362.44000000006</v>
      </c>
      <c r="G170" s="891">
        <v>384016.95999999996</v>
      </c>
      <c r="H170" s="891">
        <f t="shared" si="11"/>
        <v>56495.16552019224</v>
      </c>
      <c r="I170" s="916">
        <f t="shared" si="8"/>
        <v>0.91553483872512131</v>
      </c>
      <c r="J170" s="909"/>
      <c r="K170" s="909"/>
      <c r="L170" s="909"/>
      <c r="M170" s="909"/>
      <c r="N170" s="909"/>
      <c r="O170" s="909"/>
    </row>
    <row r="171" spans="1:21" s="11" customFormat="1" ht="17.25" customHeight="1" x14ac:dyDescent="0.2">
      <c r="A171" s="919">
        <v>31401</v>
      </c>
      <c r="B171" s="892" t="s">
        <v>6216</v>
      </c>
      <c r="C171" s="893">
        <f>'[4]Por organismos DIC'!I174</f>
        <v>730666.80552019225</v>
      </c>
      <c r="D171" s="893">
        <v>-61809.200000000012</v>
      </c>
      <c r="E171" s="891">
        <f t="shared" si="10"/>
        <v>668857.6055201923</v>
      </c>
      <c r="F171" s="893">
        <v>612362.44000000006</v>
      </c>
      <c r="G171" s="893">
        <v>384016.95999999996</v>
      </c>
      <c r="H171" s="891">
        <f t="shared" si="11"/>
        <v>56495.16552019224</v>
      </c>
      <c r="I171" s="916">
        <f t="shared" si="8"/>
        <v>0.91553483872512131</v>
      </c>
      <c r="J171" s="909"/>
      <c r="K171" s="909"/>
      <c r="L171" s="909"/>
      <c r="M171" s="909"/>
      <c r="N171" s="909"/>
      <c r="O171" s="909"/>
    </row>
    <row r="172" spans="1:21" s="11" customFormat="1" ht="17.25" hidden="1" customHeight="1" x14ac:dyDescent="0.2">
      <c r="A172" s="918">
        <v>315</v>
      </c>
      <c r="B172" s="890" t="s">
        <v>6217</v>
      </c>
      <c r="C172" s="891">
        <f>C173</f>
        <v>0</v>
      </c>
      <c r="D172" s="891">
        <v>0</v>
      </c>
      <c r="E172" s="891">
        <f t="shared" si="10"/>
        <v>0</v>
      </c>
      <c r="F172" s="891">
        <v>0</v>
      </c>
      <c r="G172" s="891">
        <v>0</v>
      </c>
      <c r="H172" s="891">
        <f t="shared" si="11"/>
        <v>0</v>
      </c>
      <c r="I172" s="916" t="e">
        <f t="shared" si="8"/>
        <v>#DIV/0!</v>
      </c>
      <c r="J172" s="909"/>
      <c r="K172" s="909"/>
      <c r="L172" s="909"/>
      <c r="M172" s="909"/>
      <c r="N172" s="909"/>
      <c r="O172" s="909"/>
    </row>
    <row r="173" spans="1:21" s="11" customFormat="1" ht="17.25" hidden="1" customHeight="1" x14ac:dyDescent="0.2">
      <c r="A173" s="919">
        <v>31501</v>
      </c>
      <c r="B173" s="892" t="s">
        <v>6217</v>
      </c>
      <c r="C173" s="893">
        <f>'[4]Por organismos DIC'!I176</f>
        <v>0</v>
      </c>
      <c r="D173" s="893">
        <v>0</v>
      </c>
      <c r="E173" s="891">
        <f t="shared" si="10"/>
        <v>0</v>
      </c>
      <c r="F173" s="893">
        <v>0</v>
      </c>
      <c r="G173" s="893">
        <v>0</v>
      </c>
      <c r="H173" s="891">
        <f t="shared" si="11"/>
        <v>0</v>
      </c>
      <c r="I173" s="916" t="e">
        <f t="shared" si="8"/>
        <v>#DIV/0!</v>
      </c>
      <c r="J173" s="909"/>
      <c r="K173" s="909"/>
      <c r="L173" s="909"/>
      <c r="M173" s="909"/>
      <c r="N173" s="909"/>
      <c r="O173" s="909"/>
    </row>
    <row r="174" spans="1:21" s="11" customFormat="1" ht="17.25" hidden="1" customHeight="1" x14ac:dyDescent="0.2">
      <c r="A174" s="918">
        <v>316</v>
      </c>
      <c r="B174" s="890" t="s">
        <v>6218</v>
      </c>
      <c r="C174" s="891">
        <f>C175</f>
        <v>0</v>
      </c>
      <c r="D174" s="891">
        <v>0</v>
      </c>
      <c r="E174" s="891">
        <f t="shared" si="10"/>
        <v>0</v>
      </c>
      <c r="F174" s="891">
        <v>0</v>
      </c>
      <c r="G174" s="891">
        <v>0</v>
      </c>
      <c r="H174" s="891">
        <f t="shared" si="11"/>
        <v>0</v>
      </c>
      <c r="I174" s="916" t="e">
        <f t="shared" si="8"/>
        <v>#DIV/0!</v>
      </c>
      <c r="J174" s="909"/>
      <c r="K174" s="909"/>
      <c r="L174" s="909"/>
      <c r="M174" s="909"/>
      <c r="N174" s="909"/>
      <c r="O174" s="909"/>
    </row>
    <row r="175" spans="1:21" s="11" customFormat="1" ht="17.25" hidden="1" customHeight="1" x14ac:dyDescent="0.2">
      <c r="A175" s="919">
        <v>31601</v>
      </c>
      <c r="B175" s="892" t="s">
        <v>6218</v>
      </c>
      <c r="C175" s="893">
        <f>'[4]Por organismos DIC'!I178</f>
        <v>0</v>
      </c>
      <c r="D175" s="893">
        <v>0</v>
      </c>
      <c r="E175" s="891">
        <f t="shared" si="10"/>
        <v>0</v>
      </c>
      <c r="F175" s="893">
        <v>0</v>
      </c>
      <c r="G175" s="893">
        <v>0</v>
      </c>
      <c r="H175" s="891">
        <f t="shared" si="11"/>
        <v>0</v>
      </c>
      <c r="I175" s="916" t="e">
        <f t="shared" si="8"/>
        <v>#DIV/0!</v>
      </c>
      <c r="J175" s="909"/>
      <c r="K175" s="909"/>
      <c r="L175" s="909"/>
      <c r="M175" s="909"/>
      <c r="N175" s="909"/>
      <c r="O175" s="909"/>
    </row>
    <row r="176" spans="1:21" s="11" customFormat="1" ht="17.25" customHeight="1" x14ac:dyDescent="0.2">
      <c r="A176" s="918">
        <v>317</v>
      </c>
      <c r="B176" s="890" t="s">
        <v>6219</v>
      </c>
      <c r="C176" s="891">
        <f>C177</f>
        <v>497859.38884040323</v>
      </c>
      <c r="D176" s="891">
        <v>-160646.66999999998</v>
      </c>
      <c r="E176" s="891">
        <f t="shared" si="10"/>
        <v>337212.71884040325</v>
      </c>
      <c r="F176" s="891">
        <v>231113.24000000002</v>
      </c>
      <c r="G176" s="891">
        <v>205429.68</v>
      </c>
      <c r="H176" s="891">
        <f t="shared" si="11"/>
        <v>106099.47884040323</v>
      </c>
      <c r="I176" s="916">
        <f t="shared" si="8"/>
        <v>0.68536335401210591</v>
      </c>
      <c r="J176" s="909"/>
      <c r="K176" s="909"/>
      <c r="L176" s="909"/>
      <c r="M176" s="909"/>
      <c r="N176" s="909"/>
      <c r="O176" s="909"/>
    </row>
    <row r="177" spans="1:15" s="11" customFormat="1" ht="17.25" customHeight="1" x14ac:dyDescent="0.2">
      <c r="A177" s="919">
        <v>31701</v>
      </c>
      <c r="B177" s="892" t="s">
        <v>6219</v>
      </c>
      <c r="C177" s="893">
        <f>'[4]Por organismos DIC'!I180</f>
        <v>497859.38884040323</v>
      </c>
      <c r="D177" s="893">
        <v>-160646.66999999998</v>
      </c>
      <c r="E177" s="891">
        <f t="shared" si="10"/>
        <v>337212.71884040325</v>
      </c>
      <c r="F177" s="893">
        <v>231113.24000000002</v>
      </c>
      <c r="G177" s="893">
        <v>205429.68</v>
      </c>
      <c r="H177" s="891">
        <f t="shared" si="11"/>
        <v>106099.47884040323</v>
      </c>
      <c r="I177" s="916">
        <f t="shared" si="8"/>
        <v>0.68536335401210591</v>
      </c>
      <c r="J177" s="909"/>
      <c r="K177" s="909"/>
      <c r="L177" s="909"/>
      <c r="M177" s="909"/>
      <c r="N177" s="909"/>
      <c r="O177" s="909"/>
    </row>
    <row r="178" spans="1:15" s="11" customFormat="1" ht="17.25" customHeight="1" x14ac:dyDescent="0.2">
      <c r="A178" s="918">
        <v>318</v>
      </c>
      <c r="B178" s="890" t="s">
        <v>6220</v>
      </c>
      <c r="C178" s="891">
        <f>C179</f>
        <v>46239.60151678641</v>
      </c>
      <c r="D178" s="891">
        <v>-28702.55</v>
      </c>
      <c r="E178" s="891">
        <f t="shared" si="10"/>
        <v>17537.051516786411</v>
      </c>
      <c r="F178" s="891">
        <v>8381.4699999999993</v>
      </c>
      <c r="G178" s="891">
        <v>8381.4699999999993</v>
      </c>
      <c r="H178" s="891">
        <f t="shared" si="11"/>
        <v>9155.5815167864112</v>
      </c>
      <c r="I178" s="916">
        <f t="shared" si="8"/>
        <v>0.47792925692082744</v>
      </c>
      <c r="J178" s="909"/>
      <c r="K178" s="909"/>
      <c r="L178" s="909"/>
      <c r="M178" s="909"/>
      <c r="N178" s="909"/>
      <c r="O178" s="909"/>
    </row>
    <row r="179" spans="1:15" s="11" customFormat="1" ht="17.25" customHeight="1" x14ac:dyDescent="0.2">
      <c r="A179" s="919">
        <v>31801</v>
      </c>
      <c r="B179" s="892" t="s">
        <v>6221</v>
      </c>
      <c r="C179" s="893">
        <f>'[4]Por organismos DIC'!I182</f>
        <v>46239.60151678641</v>
      </c>
      <c r="D179" s="893">
        <v>-28702.55</v>
      </c>
      <c r="E179" s="891">
        <f t="shared" si="10"/>
        <v>17537.051516786411</v>
      </c>
      <c r="F179" s="893">
        <v>8381.4699999999993</v>
      </c>
      <c r="G179" s="893">
        <v>8381.4699999999993</v>
      </c>
      <c r="H179" s="891">
        <f t="shared" si="11"/>
        <v>9155.5815167864112</v>
      </c>
      <c r="I179" s="916">
        <f t="shared" si="8"/>
        <v>0.47792925692082744</v>
      </c>
      <c r="J179" s="909"/>
      <c r="K179" s="909"/>
      <c r="L179" s="909"/>
      <c r="M179" s="909"/>
      <c r="N179" s="909"/>
      <c r="O179" s="909"/>
    </row>
    <row r="180" spans="1:15" s="11" customFormat="1" ht="17.25" customHeight="1" x14ac:dyDescent="0.2">
      <c r="A180" s="917">
        <v>3200</v>
      </c>
      <c r="B180" s="890" t="s">
        <v>6222</v>
      </c>
      <c r="C180" s="891">
        <f>C181+C183+C185+C188+C190+C192</f>
        <v>6517933.3933127671</v>
      </c>
      <c r="D180" s="891">
        <v>4544976.3899999997</v>
      </c>
      <c r="E180" s="891">
        <f t="shared" si="10"/>
        <v>11062909.783312768</v>
      </c>
      <c r="F180" s="891">
        <v>7656212.8300000001</v>
      </c>
      <c r="G180" s="891">
        <v>6768783.1699999999</v>
      </c>
      <c r="H180" s="891">
        <f t="shared" si="11"/>
        <v>3406696.9533127677</v>
      </c>
      <c r="I180" s="916">
        <f t="shared" si="8"/>
        <v>0.69206139975475434</v>
      </c>
      <c r="J180" s="909"/>
      <c r="K180" s="909"/>
      <c r="L180" s="909"/>
      <c r="M180" s="909"/>
      <c r="N180" s="909"/>
      <c r="O180" s="909"/>
    </row>
    <row r="181" spans="1:15" s="11" customFormat="1" ht="17.25" customHeight="1" x14ac:dyDescent="0.2">
      <c r="A181" s="918">
        <v>321</v>
      </c>
      <c r="B181" s="890" t="s">
        <v>6223</v>
      </c>
      <c r="C181" s="891">
        <f>C182</f>
        <v>700732.39275292773</v>
      </c>
      <c r="D181" s="891">
        <v>-100000</v>
      </c>
      <c r="E181" s="891">
        <f t="shared" si="10"/>
        <v>600732.39275292773</v>
      </c>
      <c r="F181" s="891">
        <v>0</v>
      </c>
      <c r="G181" s="891">
        <v>0</v>
      </c>
      <c r="H181" s="891">
        <f t="shared" si="11"/>
        <v>600732.39275292773</v>
      </c>
      <c r="I181" s="916">
        <f t="shared" si="8"/>
        <v>0</v>
      </c>
      <c r="J181" s="909"/>
      <c r="K181" s="909"/>
      <c r="L181" s="909"/>
      <c r="M181" s="909"/>
      <c r="N181" s="909"/>
      <c r="O181" s="909"/>
    </row>
    <row r="182" spans="1:15" s="11" customFormat="1" ht="17.25" customHeight="1" x14ac:dyDescent="0.2">
      <c r="A182" s="919">
        <v>32101</v>
      </c>
      <c r="B182" s="892" t="s">
        <v>6223</v>
      </c>
      <c r="C182" s="893">
        <f>'[4]Por organismos DIC'!I185</f>
        <v>700732.39275292773</v>
      </c>
      <c r="D182" s="893">
        <v>-100000</v>
      </c>
      <c r="E182" s="891">
        <f t="shared" si="10"/>
        <v>600732.39275292773</v>
      </c>
      <c r="F182" s="893">
        <v>0</v>
      </c>
      <c r="G182" s="893">
        <v>0</v>
      </c>
      <c r="H182" s="891">
        <f t="shared" si="11"/>
        <v>600732.39275292773</v>
      </c>
      <c r="I182" s="916">
        <f t="shared" si="8"/>
        <v>0</v>
      </c>
      <c r="J182" s="909"/>
      <c r="K182" s="909"/>
      <c r="L182" s="909"/>
      <c r="M182" s="909"/>
      <c r="N182" s="909"/>
      <c r="O182" s="909"/>
    </row>
    <row r="183" spans="1:15" s="11" customFormat="1" ht="17.25" customHeight="1" x14ac:dyDescent="0.2">
      <c r="A183" s="918">
        <v>322</v>
      </c>
      <c r="B183" s="890" t="s">
        <v>6224</v>
      </c>
      <c r="C183" s="891">
        <f>C184</f>
        <v>2382711.777222015</v>
      </c>
      <c r="D183" s="891">
        <v>906395.85999999987</v>
      </c>
      <c r="E183" s="891">
        <f t="shared" si="10"/>
        <v>3289107.6372220148</v>
      </c>
      <c r="F183" s="891">
        <v>2083977.1099999999</v>
      </c>
      <c r="G183" s="891">
        <v>1735679.1099999999</v>
      </c>
      <c r="H183" s="891">
        <f t="shared" si="11"/>
        <v>1205130.527222015</v>
      </c>
      <c r="I183" s="916">
        <f t="shared" si="8"/>
        <v>0.63359954731068946</v>
      </c>
      <c r="J183" s="909"/>
      <c r="K183" s="909"/>
      <c r="L183" s="909"/>
      <c r="M183" s="909"/>
      <c r="N183" s="909"/>
      <c r="O183" s="909"/>
    </row>
    <row r="184" spans="1:15" s="11" customFormat="1" ht="17.25" customHeight="1" x14ac:dyDescent="0.2">
      <c r="A184" s="919">
        <v>32201</v>
      </c>
      <c r="B184" s="892" t="s">
        <v>6224</v>
      </c>
      <c r="C184" s="893">
        <f>'[4]Por organismos DIC'!I187</f>
        <v>2382711.777222015</v>
      </c>
      <c r="D184" s="893">
        <v>906395.85999999987</v>
      </c>
      <c r="E184" s="891">
        <f t="shared" si="10"/>
        <v>3289107.6372220148</v>
      </c>
      <c r="F184" s="893">
        <v>2083977.1099999999</v>
      </c>
      <c r="G184" s="893">
        <v>1735679.1099999999</v>
      </c>
      <c r="H184" s="891">
        <f t="shared" si="11"/>
        <v>1205130.527222015</v>
      </c>
      <c r="I184" s="916">
        <f t="shared" si="8"/>
        <v>0.63359954731068946</v>
      </c>
      <c r="J184" s="909"/>
      <c r="K184" s="909"/>
      <c r="L184" s="909"/>
      <c r="M184" s="909"/>
      <c r="N184" s="909"/>
      <c r="O184" s="909"/>
    </row>
    <row r="185" spans="1:15" s="11" customFormat="1" ht="17.25" customHeight="1" x14ac:dyDescent="0.2">
      <c r="A185" s="918">
        <v>323</v>
      </c>
      <c r="B185" s="890" t="s">
        <v>6225</v>
      </c>
      <c r="C185" s="891">
        <f>C186+C187</f>
        <v>1093441.1651255754</v>
      </c>
      <c r="D185" s="891">
        <v>122658.16</v>
      </c>
      <c r="E185" s="891">
        <f t="shared" si="10"/>
        <v>1216099.3251255753</v>
      </c>
      <c r="F185" s="891">
        <v>685941.99</v>
      </c>
      <c r="G185" s="891">
        <v>685941.99</v>
      </c>
      <c r="H185" s="891">
        <f t="shared" si="11"/>
        <v>530157.33512557531</v>
      </c>
      <c r="I185" s="916">
        <f t="shared" si="8"/>
        <v>0.56405095852608023</v>
      </c>
      <c r="J185" s="909"/>
      <c r="K185" s="909"/>
      <c r="L185" s="909"/>
      <c r="M185" s="909"/>
      <c r="N185" s="909"/>
      <c r="O185" s="909"/>
    </row>
    <row r="186" spans="1:15" s="11" customFormat="1" ht="17.25" customHeight="1" x14ac:dyDescent="0.2">
      <c r="A186" s="919">
        <v>32301</v>
      </c>
      <c r="B186" s="892" t="s">
        <v>6226</v>
      </c>
      <c r="C186" s="893">
        <f>'[4]Por organismos DIC'!I189</f>
        <v>35914.233030152798</v>
      </c>
      <c r="D186" s="893">
        <v>303949</v>
      </c>
      <c r="E186" s="891">
        <f t="shared" si="10"/>
        <v>339863.2330301528</v>
      </c>
      <c r="F186" s="893">
        <v>303949</v>
      </c>
      <c r="G186" s="893">
        <v>303949</v>
      </c>
      <c r="H186" s="891">
        <f t="shared" si="11"/>
        <v>35914.233030152798</v>
      </c>
      <c r="I186" s="916">
        <f t="shared" si="8"/>
        <v>0.89432739543507356</v>
      </c>
      <c r="J186" s="909"/>
      <c r="K186" s="909"/>
      <c r="L186" s="909"/>
      <c r="M186" s="909"/>
      <c r="N186" s="909"/>
      <c r="O186" s="909"/>
    </row>
    <row r="187" spans="1:15" s="11" customFormat="1" ht="17.25" customHeight="1" x14ac:dyDescent="0.2">
      <c r="A187" s="919">
        <v>32302</v>
      </c>
      <c r="B187" s="892" t="s">
        <v>6227</v>
      </c>
      <c r="C187" s="893">
        <f>'[4]Por organismos DIC'!I190</f>
        <v>1057526.9320954226</v>
      </c>
      <c r="D187" s="893">
        <v>-181290.84</v>
      </c>
      <c r="E187" s="891">
        <f t="shared" si="10"/>
        <v>876236.09209542267</v>
      </c>
      <c r="F187" s="893">
        <v>381992.99</v>
      </c>
      <c r="G187" s="893">
        <v>381992.99</v>
      </c>
      <c r="H187" s="891">
        <f t="shared" si="11"/>
        <v>494243.10209542268</v>
      </c>
      <c r="I187" s="916">
        <f t="shared" si="8"/>
        <v>0.43594756418501956</v>
      </c>
      <c r="J187" s="909"/>
      <c r="K187" s="909"/>
      <c r="L187" s="909"/>
      <c r="M187" s="909"/>
      <c r="N187" s="909"/>
      <c r="O187" s="909"/>
    </row>
    <row r="188" spans="1:15" s="11" customFormat="1" ht="17.25" hidden="1" customHeight="1" x14ac:dyDescent="0.2">
      <c r="A188" s="918">
        <v>325</v>
      </c>
      <c r="B188" s="890" t="s">
        <v>6228</v>
      </c>
      <c r="C188" s="891">
        <f>C189</f>
        <v>0</v>
      </c>
      <c r="D188" s="891">
        <v>0</v>
      </c>
      <c r="E188" s="891">
        <f t="shared" si="10"/>
        <v>0</v>
      </c>
      <c r="F188" s="891">
        <v>0</v>
      </c>
      <c r="G188" s="891">
        <v>0</v>
      </c>
      <c r="H188" s="891">
        <f t="shared" si="11"/>
        <v>0</v>
      </c>
      <c r="I188" s="916" t="e">
        <f t="shared" si="8"/>
        <v>#DIV/0!</v>
      </c>
      <c r="J188" s="909"/>
      <c r="K188" s="909"/>
      <c r="L188" s="909"/>
      <c r="M188" s="909"/>
      <c r="N188" s="909"/>
      <c r="O188" s="909"/>
    </row>
    <row r="189" spans="1:15" s="11" customFormat="1" ht="17.25" hidden="1" customHeight="1" x14ac:dyDescent="0.2">
      <c r="A189" s="919">
        <v>32501</v>
      </c>
      <c r="B189" s="892" t="s">
        <v>6229</v>
      </c>
      <c r="C189" s="893">
        <f>'[4]Por organismos DIC'!I192</f>
        <v>0</v>
      </c>
      <c r="D189" s="893">
        <v>0</v>
      </c>
      <c r="E189" s="891">
        <f t="shared" si="10"/>
        <v>0</v>
      </c>
      <c r="F189" s="893">
        <v>0</v>
      </c>
      <c r="G189" s="893">
        <v>0</v>
      </c>
      <c r="H189" s="891">
        <f t="shared" si="11"/>
        <v>0</v>
      </c>
      <c r="I189" s="916" t="e">
        <f t="shared" si="8"/>
        <v>#DIV/0!</v>
      </c>
      <c r="J189" s="909"/>
      <c r="K189" s="909"/>
      <c r="L189" s="909"/>
      <c r="M189" s="909"/>
      <c r="N189" s="909"/>
      <c r="O189" s="909"/>
    </row>
    <row r="190" spans="1:15" s="11" customFormat="1" ht="17.25" customHeight="1" x14ac:dyDescent="0.2">
      <c r="A190" s="918">
        <v>326</v>
      </c>
      <c r="B190" s="890" t="s">
        <v>6230</v>
      </c>
      <c r="C190" s="891">
        <f>C191</f>
        <v>2331268.9251699736</v>
      </c>
      <c r="D190" s="891">
        <v>3614994.37</v>
      </c>
      <c r="E190" s="891">
        <f t="shared" si="10"/>
        <v>5946263.2951699737</v>
      </c>
      <c r="F190" s="891">
        <v>4885365.7300000004</v>
      </c>
      <c r="G190" s="891">
        <v>4346234.07</v>
      </c>
      <c r="H190" s="891">
        <f t="shared" si="11"/>
        <v>1060897.5651699733</v>
      </c>
      <c r="I190" s="916">
        <f t="shared" si="8"/>
        <v>0.82158584097146881</v>
      </c>
      <c r="J190" s="909"/>
      <c r="K190" s="909"/>
      <c r="L190" s="909"/>
      <c r="M190" s="909"/>
      <c r="N190" s="909"/>
      <c r="O190" s="909"/>
    </row>
    <row r="191" spans="1:15" s="11" customFormat="1" ht="17.25" customHeight="1" x14ac:dyDescent="0.2">
      <c r="A191" s="919">
        <v>32601</v>
      </c>
      <c r="B191" s="892" t="s">
        <v>6231</v>
      </c>
      <c r="C191" s="893">
        <f>'[4]Por organismos DIC'!I194</f>
        <v>2331268.9251699736</v>
      </c>
      <c r="D191" s="893">
        <v>3614994.37</v>
      </c>
      <c r="E191" s="891">
        <f t="shared" si="10"/>
        <v>5946263.2951699737</v>
      </c>
      <c r="F191" s="893">
        <v>4885365.7300000004</v>
      </c>
      <c r="G191" s="893">
        <v>4346234.07</v>
      </c>
      <c r="H191" s="891">
        <f t="shared" si="11"/>
        <v>1060897.5651699733</v>
      </c>
      <c r="I191" s="916">
        <f t="shared" si="8"/>
        <v>0.82158584097146881</v>
      </c>
      <c r="J191" s="909"/>
      <c r="K191" s="909"/>
      <c r="L191" s="909"/>
      <c r="M191" s="909"/>
      <c r="N191" s="909"/>
      <c r="O191" s="909"/>
    </row>
    <row r="192" spans="1:15" s="11" customFormat="1" ht="17.25" customHeight="1" x14ac:dyDescent="0.2">
      <c r="A192" s="918">
        <v>329</v>
      </c>
      <c r="B192" s="890" t="s">
        <v>6232</v>
      </c>
      <c r="C192" s="891">
        <f>C193</f>
        <v>9779.13304227548</v>
      </c>
      <c r="D192" s="891">
        <v>928</v>
      </c>
      <c r="E192" s="891">
        <f t="shared" si="10"/>
        <v>10707.13304227548</v>
      </c>
      <c r="F192" s="891">
        <v>928</v>
      </c>
      <c r="G192" s="891">
        <v>928</v>
      </c>
      <c r="H192" s="891">
        <f t="shared" si="11"/>
        <v>9779.13304227548</v>
      </c>
      <c r="I192" s="916">
        <f t="shared" si="8"/>
        <v>8.6671193524534881E-2</v>
      </c>
      <c r="J192" s="909"/>
      <c r="K192" s="909"/>
      <c r="L192" s="909"/>
      <c r="M192" s="909"/>
      <c r="N192" s="909"/>
      <c r="O192" s="909"/>
    </row>
    <row r="193" spans="1:15" s="11" customFormat="1" ht="17.25" customHeight="1" x14ac:dyDescent="0.2">
      <c r="A193" s="919">
        <v>32901</v>
      </c>
      <c r="B193" s="892" t="s">
        <v>6232</v>
      </c>
      <c r="C193" s="893">
        <f>'[4]Por organismos DIC'!I196</f>
        <v>9779.13304227548</v>
      </c>
      <c r="D193" s="893">
        <v>928</v>
      </c>
      <c r="E193" s="891">
        <f t="shared" si="10"/>
        <v>10707.13304227548</v>
      </c>
      <c r="F193" s="893">
        <v>928</v>
      </c>
      <c r="G193" s="893">
        <v>928</v>
      </c>
      <c r="H193" s="891">
        <f t="shared" si="11"/>
        <v>9779.13304227548</v>
      </c>
      <c r="I193" s="916">
        <f t="shared" si="8"/>
        <v>8.6671193524534881E-2</v>
      </c>
      <c r="J193" s="909"/>
      <c r="K193" s="909"/>
      <c r="L193" s="909"/>
      <c r="M193" s="909"/>
      <c r="N193" s="909"/>
      <c r="O193" s="909"/>
    </row>
    <row r="194" spans="1:15" s="11" customFormat="1" ht="17.25" customHeight="1" x14ac:dyDescent="0.2">
      <c r="A194" s="917">
        <v>3300</v>
      </c>
      <c r="B194" s="890" t="s">
        <v>6233</v>
      </c>
      <c r="C194" s="891">
        <f>C195+C197+C199+C202+C206+C211+C213+C204</f>
        <v>7749041.5543209761</v>
      </c>
      <c r="D194" s="891">
        <v>80734867.11999999</v>
      </c>
      <c r="E194" s="891">
        <f t="shared" si="10"/>
        <v>88483908.674320966</v>
      </c>
      <c r="F194" s="891">
        <v>86284238.400000006</v>
      </c>
      <c r="G194" s="891">
        <v>85599806.280000001</v>
      </c>
      <c r="H194" s="891">
        <f t="shared" si="11"/>
        <v>2199670.27432096</v>
      </c>
      <c r="I194" s="916">
        <f t="shared" si="8"/>
        <v>0.97514044861628801</v>
      </c>
      <c r="J194" s="909"/>
      <c r="K194" s="909"/>
      <c r="L194" s="909"/>
      <c r="M194" s="909"/>
      <c r="N194" s="909"/>
      <c r="O194" s="909"/>
    </row>
    <row r="195" spans="1:15" s="11" customFormat="1" ht="17.25" customHeight="1" x14ac:dyDescent="0.2">
      <c r="A195" s="918">
        <v>331</v>
      </c>
      <c r="B195" s="890" t="s">
        <v>6234</v>
      </c>
      <c r="C195" s="891">
        <f>C196</f>
        <v>2520081.3854247043</v>
      </c>
      <c r="D195" s="891">
        <v>2363783.91</v>
      </c>
      <c r="E195" s="891">
        <f t="shared" si="10"/>
        <v>4883865.2954247044</v>
      </c>
      <c r="F195" s="891">
        <v>3888707.42</v>
      </c>
      <c r="G195" s="891">
        <v>3652073.99</v>
      </c>
      <c r="H195" s="891">
        <f t="shared" si="11"/>
        <v>995157.87542470451</v>
      </c>
      <c r="I195" s="916">
        <f t="shared" si="8"/>
        <v>0.79623560126504989</v>
      </c>
      <c r="J195" s="909"/>
      <c r="K195" s="909"/>
      <c r="L195" s="909"/>
      <c r="M195" s="909"/>
      <c r="N195" s="909"/>
      <c r="O195" s="909"/>
    </row>
    <row r="196" spans="1:15" s="11" customFormat="1" ht="17.25" customHeight="1" x14ac:dyDescent="0.2">
      <c r="A196" s="919">
        <v>33101</v>
      </c>
      <c r="B196" s="892" t="s">
        <v>6234</v>
      </c>
      <c r="C196" s="893">
        <f>'[4]Por organismos DIC'!I199</f>
        <v>2520081.3854247043</v>
      </c>
      <c r="D196" s="893">
        <v>2363783.91</v>
      </c>
      <c r="E196" s="891">
        <f t="shared" si="10"/>
        <v>4883865.2954247044</v>
      </c>
      <c r="F196" s="893">
        <v>3888707.42</v>
      </c>
      <c r="G196" s="893">
        <v>3652073.99</v>
      </c>
      <c r="H196" s="891">
        <f t="shared" si="11"/>
        <v>995157.87542470451</v>
      </c>
      <c r="I196" s="916">
        <f t="shared" si="8"/>
        <v>0.79623560126504989</v>
      </c>
      <c r="J196" s="909"/>
      <c r="K196" s="909"/>
      <c r="L196" s="909"/>
      <c r="M196" s="909"/>
      <c r="N196" s="909"/>
      <c r="O196" s="909"/>
    </row>
    <row r="197" spans="1:15" s="11" customFormat="1" ht="17.25" customHeight="1" x14ac:dyDescent="0.2">
      <c r="A197" s="918">
        <v>332</v>
      </c>
      <c r="B197" s="890" t="s">
        <v>6235</v>
      </c>
      <c r="C197" s="891">
        <f>C198</f>
        <v>729575.52678136365</v>
      </c>
      <c r="D197" s="891">
        <v>-396180.44</v>
      </c>
      <c r="E197" s="891">
        <f t="shared" si="10"/>
        <v>333395.08678136364</v>
      </c>
      <c r="F197" s="891">
        <v>145205.35</v>
      </c>
      <c r="G197" s="891">
        <v>31283.3</v>
      </c>
      <c r="H197" s="891">
        <f t="shared" si="11"/>
        <v>188189.73678136364</v>
      </c>
      <c r="I197" s="916">
        <f t="shared" si="8"/>
        <v>0.43553536256886677</v>
      </c>
      <c r="J197" s="909"/>
      <c r="K197" s="909"/>
      <c r="L197" s="909"/>
      <c r="M197" s="909"/>
      <c r="N197" s="909"/>
      <c r="O197" s="909"/>
    </row>
    <row r="198" spans="1:15" s="11" customFormat="1" ht="17.25" customHeight="1" x14ac:dyDescent="0.2">
      <c r="A198" s="919">
        <v>33201</v>
      </c>
      <c r="B198" s="892" t="s">
        <v>6236</v>
      </c>
      <c r="C198" s="893">
        <f>'[4]Por organismos DIC'!I201</f>
        <v>729575.52678136365</v>
      </c>
      <c r="D198" s="893">
        <v>-396180.44</v>
      </c>
      <c r="E198" s="891">
        <f t="shared" si="10"/>
        <v>333395.08678136364</v>
      </c>
      <c r="F198" s="893">
        <v>145205.35</v>
      </c>
      <c r="G198" s="893">
        <v>31283.3</v>
      </c>
      <c r="H198" s="891">
        <f t="shared" si="11"/>
        <v>188189.73678136364</v>
      </c>
      <c r="I198" s="916">
        <f t="shared" si="8"/>
        <v>0.43553536256886677</v>
      </c>
      <c r="J198" s="909"/>
      <c r="K198" s="909"/>
      <c r="L198" s="909"/>
      <c r="M198" s="909"/>
      <c r="N198" s="909"/>
      <c r="O198" s="909"/>
    </row>
    <row r="199" spans="1:15" s="11" customFormat="1" ht="17.25" customHeight="1" x14ac:dyDescent="0.2">
      <c r="A199" s="918">
        <v>333</v>
      </c>
      <c r="B199" s="890" t="s">
        <v>6237</v>
      </c>
      <c r="C199" s="891">
        <f>C200+C201</f>
        <v>1092560.5212168586</v>
      </c>
      <c r="D199" s="891">
        <v>109656.26999999999</v>
      </c>
      <c r="E199" s="891">
        <f t="shared" si="10"/>
        <v>1202216.7912168587</v>
      </c>
      <c r="F199" s="891">
        <v>837343.94000000006</v>
      </c>
      <c r="G199" s="891">
        <v>824516.74</v>
      </c>
      <c r="H199" s="891">
        <f t="shared" si="11"/>
        <v>364872.8512168586</v>
      </c>
      <c r="I199" s="916">
        <f t="shared" si="8"/>
        <v>0.69649995418252153</v>
      </c>
      <c r="J199" s="909"/>
      <c r="K199" s="909"/>
      <c r="L199" s="909"/>
      <c r="M199" s="909"/>
      <c r="N199" s="909"/>
      <c r="O199" s="909"/>
    </row>
    <row r="200" spans="1:15" s="11" customFormat="1" ht="17.25" customHeight="1" x14ac:dyDescent="0.2">
      <c r="A200" s="919">
        <v>33301</v>
      </c>
      <c r="B200" s="892" t="s">
        <v>6238</v>
      </c>
      <c r="C200" s="893">
        <f>'[4]Por organismos DIC'!I203</f>
        <v>1072560.5212168586</v>
      </c>
      <c r="D200" s="893">
        <v>55467.76999999999</v>
      </c>
      <c r="E200" s="891">
        <f t="shared" si="10"/>
        <v>1128028.2912168587</v>
      </c>
      <c r="F200" s="893">
        <v>763155.44000000006</v>
      </c>
      <c r="G200" s="893">
        <v>750328.24</v>
      </c>
      <c r="H200" s="891">
        <f t="shared" si="11"/>
        <v>364872.8512168586</v>
      </c>
      <c r="I200" s="916">
        <f t="shared" si="8"/>
        <v>0.67653927294389704</v>
      </c>
      <c r="J200" s="909"/>
      <c r="K200" s="909"/>
      <c r="L200" s="909"/>
      <c r="M200" s="909"/>
      <c r="N200" s="909"/>
      <c r="O200" s="909"/>
    </row>
    <row r="201" spans="1:15" s="11" customFormat="1" ht="17.25" customHeight="1" x14ac:dyDescent="0.2">
      <c r="A201" s="919">
        <v>33302</v>
      </c>
      <c r="B201" s="892" t="s">
        <v>6239</v>
      </c>
      <c r="C201" s="893">
        <f>'[4]Por organismos DIC'!I204</f>
        <v>20000</v>
      </c>
      <c r="D201" s="893">
        <v>54188.499999999993</v>
      </c>
      <c r="E201" s="891">
        <f t="shared" si="10"/>
        <v>74188.5</v>
      </c>
      <c r="F201" s="893">
        <v>74188.5</v>
      </c>
      <c r="G201" s="893">
        <v>74188.5</v>
      </c>
      <c r="H201" s="891">
        <f t="shared" si="11"/>
        <v>0</v>
      </c>
      <c r="I201" s="916">
        <f t="shared" si="8"/>
        <v>1</v>
      </c>
      <c r="J201" s="909"/>
      <c r="K201" s="909"/>
      <c r="L201" s="909"/>
      <c r="M201" s="909"/>
      <c r="N201" s="909"/>
      <c r="O201" s="909"/>
    </row>
    <row r="202" spans="1:15" s="11" customFormat="1" ht="17.25" customHeight="1" x14ac:dyDescent="0.2">
      <c r="A202" s="918">
        <v>334</v>
      </c>
      <c r="B202" s="890" t="s">
        <v>6240</v>
      </c>
      <c r="C202" s="891">
        <f>C203</f>
        <v>180620.658552129</v>
      </c>
      <c r="D202" s="891">
        <v>26630.18</v>
      </c>
      <c r="E202" s="891">
        <f t="shared" si="10"/>
        <v>207250.83855212899</v>
      </c>
      <c r="F202" s="891">
        <v>77608</v>
      </c>
      <c r="G202" s="891">
        <v>77608</v>
      </c>
      <c r="H202" s="891">
        <f t="shared" si="11"/>
        <v>129642.83855212899</v>
      </c>
      <c r="I202" s="916">
        <f t="shared" si="8"/>
        <v>0.37446410611496544</v>
      </c>
      <c r="J202" s="909"/>
      <c r="K202" s="909"/>
      <c r="L202" s="909"/>
      <c r="M202" s="909"/>
      <c r="N202" s="909"/>
      <c r="O202" s="909"/>
    </row>
    <row r="203" spans="1:15" s="11" customFormat="1" ht="17.25" customHeight="1" x14ac:dyDescent="0.2">
      <c r="A203" s="919">
        <v>33401</v>
      </c>
      <c r="B203" s="892" t="s">
        <v>6240</v>
      </c>
      <c r="C203" s="893">
        <f>'[4]Por organismos DIC'!I206</f>
        <v>180620.658552129</v>
      </c>
      <c r="D203" s="893">
        <v>26630.18</v>
      </c>
      <c r="E203" s="891">
        <f t="shared" si="10"/>
        <v>207250.83855212899</v>
      </c>
      <c r="F203" s="893">
        <v>77608</v>
      </c>
      <c r="G203" s="893">
        <v>77608</v>
      </c>
      <c r="H203" s="891">
        <f t="shared" si="11"/>
        <v>129642.83855212899</v>
      </c>
      <c r="I203" s="916">
        <f t="shared" si="8"/>
        <v>0.37446410611496544</v>
      </c>
      <c r="J203" s="909"/>
      <c r="K203" s="909"/>
      <c r="L203" s="909"/>
      <c r="M203" s="909"/>
      <c r="N203" s="909"/>
      <c r="O203" s="909"/>
    </row>
    <row r="204" spans="1:15" s="11" customFormat="1" ht="17.25" customHeight="1" x14ac:dyDescent="0.2">
      <c r="A204" s="918">
        <v>335</v>
      </c>
      <c r="B204" s="890" t="s">
        <v>6241</v>
      </c>
      <c r="C204" s="893">
        <f>C205</f>
        <v>2000</v>
      </c>
      <c r="D204" s="891">
        <v>-1683.04</v>
      </c>
      <c r="E204" s="891">
        <f t="shared" si="10"/>
        <v>316.96000000000004</v>
      </c>
      <c r="F204" s="891">
        <v>0</v>
      </c>
      <c r="G204" s="891">
        <v>0</v>
      </c>
      <c r="H204" s="891">
        <f t="shared" si="11"/>
        <v>316.96000000000004</v>
      </c>
      <c r="I204" s="916">
        <f t="shared" si="8"/>
        <v>0</v>
      </c>
      <c r="J204" s="909"/>
      <c r="K204" s="909"/>
      <c r="L204" s="909"/>
      <c r="M204" s="909"/>
      <c r="N204" s="909"/>
      <c r="O204" s="909"/>
    </row>
    <row r="205" spans="1:15" s="11" customFormat="1" ht="17.25" customHeight="1" x14ac:dyDescent="0.2">
      <c r="A205" s="919">
        <v>33501</v>
      </c>
      <c r="B205" s="892" t="s">
        <v>6241</v>
      </c>
      <c r="C205" s="893">
        <f>'[4]Por organismos DIC'!I208</f>
        <v>2000</v>
      </c>
      <c r="D205" s="893">
        <v>-1683.04</v>
      </c>
      <c r="E205" s="891">
        <f t="shared" si="10"/>
        <v>316.96000000000004</v>
      </c>
      <c r="F205" s="893">
        <v>0</v>
      </c>
      <c r="G205" s="893">
        <v>0</v>
      </c>
      <c r="H205" s="891">
        <f t="shared" si="11"/>
        <v>316.96000000000004</v>
      </c>
      <c r="I205" s="916">
        <f t="shared" ref="I205:I268" si="13">+F205/E205</f>
        <v>0</v>
      </c>
      <c r="J205" s="909"/>
      <c r="K205" s="909"/>
      <c r="L205" s="909"/>
      <c r="M205" s="909"/>
      <c r="N205" s="909"/>
      <c r="O205" s="909"/>
    </row>
    <row r="206" spans="1:15" s="11" customFormat="1" ht="17.25" customHeight="1" x14ac:dyDescent="0.2">
      <c r="A206" s="918">
        <v>336</v>
      </c>
      <c r="B206" s="890" t="s">
        <v>6242</v>
      </c>
      <c r="C206" s="891">
        <f>C207+C208+C209+C210</f>
        <v>1438882.7012459198</v>
      </c>
      <c r="D206" s="891">
        <v>-234790.25999999998</v>
      </c>
      <c r="E206" s="891">
        <f t="shared" si="10"/>
        <v>1204092.4412459198</v>
      </c>
      <c r="F206" s="891">
        <v>872800.58000000007</v>
      </c>
      <c r="G206" s="891">
        <v>827038.58000000007</v>
      </c>
      <c r="H206" s="891">
        <f t="shared" si="11"/>
        <v>331291.86124591972</v>
      </c>
      <c r="I206" s="916">
        <f t="shared" si="13"/>
        <v>0.72486177149063447</v>
      </c>
      <c r="J206" s="909"/>
      <c r="K206" s="909"/>
      <c r="L206" s="909"/>
      <c r="M206" s="909"/>
      <c r="N206" s="909"/>
      <c r="O206" s="909"/>
    </row>
    <row r="207" spans="1:15" s="11" customFormat="1" ht="17.25" hidden="1" customHeight="1" x14ac:dyDescent="0.2">
      <c r="A207" s="919">
        <v>33601</v>
      </c>
      <c r="B207" s="892" t="s">
        <v>6243</v>
      </c>
      <c r="C207" s="893">
        <f>'[4]Por organismos DIC'!I210</f>
        <v>0</v>
      </c>
      <c r="D207" s="893">
        <v>0</v>
      </c>
      <c r="E207" s="891">
        <f t="shared" si="10"/>
        <v>0</v>
      </c>
      <c r="F207" s="893">
        <v>0</v>
      </c>
      <c r="G207" s="893">
        <v>0</v>
      </c>
      <c r="H207" s="891">
        <f t="shared" si="11"/>
        <v>0</v>
      </c>
      <c r="I207" s="916" t="e">
        <f t="shared" si="13"/>
        <v>#DIV/0!</v>
      </c>
      <c r="J207" s="909"/>
      <c r="K207" s="909"/>
      <c r="L207" s="909"/>
      <c r="M207" s="909"/>
      <c r="N207" s="909"/>
      <c r="O207" s="909"/>
    </row>
    <row r="208" spans="1:15" s="11" customFormat="1" ht="17.25" customHeight="1" x14ac:dyDescent="0.2">
      <c r="A208" s="919">
        <v>33603</v>
      </c>
      <c r="B208" s="892" t="s">
        <v>6244</v>
      </c>
      <c r="C208" s="893">
        <f>'[4]Por organismos DIC'!I211</f>
        <v>993882.70124591992</v>
      </c>
      <c r="D208" s="893">
        <v>-262881.53999999998</v>
      </c>
      <c r="E208" s="891">
        <f t="shared" si="10"/>
        <v>731001.16124592</v>
      </c>
      <c r="F208" s="893">
        <v>402525.8</v>
      </c>
      <c r="G208" s="893">
        <v>356763.8</v>
      </c>
      <c r="H208" s="891">
        <f t="shared" si="11"/>
        <v>328475.36124592001</v>
      </c>
      <c r="I208" s="916">
        <f t="shared" si="13"/>
        <v>0.55065001444585138</v>
      </c>
      <c r="J208" s="909"/>
      <c r="K208" s="909"/>
      <c r="L208" s="909"/>
      <c r="M208" s="909"/>
      <c r="N208" s="909"/>
      <c r="O208" s="909"/>
    </row>
    <row r="209" spans="1:15" s="11" customFormat="1" ht="17.25" customHeight="1" x14ac:dyDescent="0.2">
      <c r="A209" s="919">
        <v>33605</v>
      </c>
      <c r="B209" s="892" t="s">
        <v>6245</v>
      </c>
      <c r="C209" s="893">
        <f>'[4]Por organismos DIC'!I212</f>
        <v>350000</v>
      </c>
      <c r="D209" s="893">
        <v>-5420.5</v>
      </c>
      <c r="E209" s="891">
        <f t="shared" si="10"/>
        <v>344579.5</v>
      </c>
      <c r="F209" s="893">
        <v>341763</v>
      </c>
      <c r="G209" s="893">
        <v>341763</v>
      </c>
      <c r="H209" s="891">
        <f t="shared" si="11"/>
        <v>2816.5</v>
      </c>
      <c r="I209" s="916">
        <f t="shared" si="13"/>
        <v>0.99182626940952667</v>
      </c>
      <c r="J209" s="909"/>
      <c r="K209" s="909"/>
      <c r="L209" s="909"/>
      <c r="M209" s="909"/>
      <c r="N209" s="909"/>
      <c r="O209" s="909"/>
    </row>
    <row r="210" spans="1:15" s="11" customFormat="1" ht="17.25" customHeight="1" x14ac:dyDescent="0.2">
      <c r="A210" s="919">
        <v>33608</v>
      </c>
      <c r="B210" s="892" t="s">
        <v>6246</v>
      </c>
      <c r="C210" s="893">
        <f>'[4]Por organismos DIC'!I213</f>
        <v>95000</v>
      </c>
      <c r="D210" s="893">
        <v>33511.78</v>
      </c>
      <c r="E210" s="891">
        <f t="shared" si="10"/>
        <v>128511.78</v>
      </c>
      <c r="F210" s="893">
        <v>128511.78</v>
      </c>
      <c r="G210" s="893">
        <v>128511.78</v>
      </c>
      <c r="H210" s="891">
        <f t="shared" si="11"/>
        <v>0</v>
      </c>
      <c r="I210" s="916">
        <f t="shared" si="13"/>
        <v>1</v>
      </c>
      <c r="J210" s="909"/>
      <c r="K210" s="909"/>
      <c r="L210" s="909"/>
      <c r="M210" s="909"/>
      <c r="N210" s="909"/>
      <c r="O210" s="909"/>
    </row>
    <row r="211" spans="1:15" s="11" customFormat="1" ht="17.25" customHeight="1" x14ac:dyDescent="0.2">
      <c r="A211" s="918">
        <v>338</v>
      </c>
      <c r="B211" s="890" t="s">
        <v>6247</v>
      </c>
      <c r="C211" s="891">
        <f>C212</f>
        <v>337152.75310000003</v>
      </c>
      <c r="D211" s="891">
        <v>-44801.390000000014</v>
      </c>
      <c r="E211" s="891">
        <f t="shared" si="10"/>
        <v>292351.36310000002</v>
      </c>
      <c r="F211" s="891">
        <v>180264</v>
      </c>
      <c r="G211" s="891">
        <v>90088</v>
      </c>
      <c r="H211" s="891">
        <f t="shared" si="11"/>
        <v>112087.36310000002</v>
      </c>
      <c r="I211" s="916">
        <f t="shared" si="13"/>
        <v>0.61660051141386307</v>
      </c>
      <c r="J211" s="909"/>
      <c r="K211" s="909"/>
      <c r="L211" s="909"/>
      <c r="M211" s="909"/>
      <c r="N211" s="909"/>
      <c r="O211" s="909"/>
    </row>
    <row r="212" spans="1:15" s="11" customFormat="1" ht="17.25" customHeight="1" x14ac:dyDescent="0.2">
      <c r="A212" s="919">
        <v>33801</v>
      </c>
      <c r="B212" s="892" t="s">
        <v>6247</v>
      </c>
      <c r="C212" s="893">
        <f>'[4]Por organismos DIC'!I215</f>
        <v>337152.75310000003</v>
      </c>
      <c r="D212" s="893">
        <v>-44801.390000000014</v>
      </c>
      <c r="E212" s="891">
        <f t="shared" si="10"/>
        <v>292351.36310000002</v>
      </c>
      <c r="F212" s="893">
        <v>180264</v>
      </c>
      <c r="G212" s="893">
        <v>90088</v>
      </c>
      <c r="H212" s="891">
        <f t="shared" si="11"/>
        <v>112087.36310000002</v>
      </c>
      <c r="I212" s="916">
        <f t="shared" si="13"/>
        <v>0.61660051141386307</v>
      </c>
      <c r="J212" s="909"/>
      <c r="K212" s="909"/>
      <c r="L212" s="909"/>
      <c r="M212" s="909"/>
      <c r="N212" s="909"/>
      <c r="O212" s="909"/>
    </row>
    <row r="213" spans="1:15" s="11" customFormat="1" ht="17.25" customHeight="1" x14ac:dyDescent="0.2">
      <c r="A213" s="918">
        <v>339</v>
      </c>
      <c r="B213" s="890" t="s">
        <v>6248</v>
      </c>
      <c r="C213" s="891">
        <f>C214+C215</f>
        <v>1448168.0079999999</v>
      </c>
      <c r="D213" s="891">
        <v>78912251.890000001</v>
      </c>
      <c r="E213" s="891">
        <f t="shared" si="10"/>
        <v>80360419.898000002</v>
      </c>
      <c r="F213" s="891">
        <v>80282309.109999999</v>
      </c>
      <c r="G213" s="891">
        <v>80097197.670000002</v>
      </c>
      <c r="H213" s="891">
        <f t="shared" si="11"/>
        <v>78110.788000002503</v>
      </c>
      <c r="I213" s="916">
        <f t="shared" si="13"/>
        <v>0.99902799427754174</v>
      </c>
      <c r="J213" s="909"/>
      <c r="K213" s="909"/>
      <c r="L213" s="909"/>
      <c r="M213" s="909"/>
      <c r="N213" s="909"/>
      <c r="O213" s="909"/>
    </row>
    <row r="214" spans="1:15" s="11" customFormat="1" ht="17.25" customHeight="1" x14ac:dyDescent="0.2">
      <c r="A214" s="919">
        <v>33901</v>
      </c>
      <c r="B214" s="892" t="s">
        <v>6248</v>
      </c>
      <c r="C214" s="893">
        <f>'[4]Por organismos DIC'!I217</f>
        <v>1448168.0079999999</v>
      </c>
      <c r="D214" s="893">
        <v>1830511.8099999998</v>
      </c>
      <c r="E214" s="891">
        <f t="shared" si="10"/>
        <v>3278679.818</v>
      </c>
      <c r="F214" s="893">
        <v>3200569.0300000003</v>
      </c>
      <c r="G214" s="893">
        <v>3015457.5900000003</v>
      </c>
      <c r="H214" s="891">
        <f t="shared" si="11"/>
        <v>78110.787999999709</v>
      </c>
      <c r="I214" s="916">
        <f t="shared" si="13"/>
        <v>0.97617614639551864</v>
      </c>
      <c r="J214" s="909"/>
      <c r="K214" s="909"/>
      <c r="L214" s="909"/>
      <c r="M214" s="909"/>
      <c r="N214" s="909"/>
      <c r="O214" s="909"/>
    </row>
    <row r="215" spans="1:15" s="11" customFormat="1" ht="17.25" customHeight="1" x14ac:dyDescent="0.2">
      <c r="A215" s="919">
        <v>33902</v>
      </c>
      <c r="B215" s="892" t="s">
        <v>6249</v>
      </c>
      <c r="C215" s="893">
        <f>+'[4]Por organismos DIC'!D218</f>
        <v>0</v>
      </c>
      <c r="D215" s="893">
        <v>77081740.079999998</v>
      </c>
      <c r="E215" s="891">
        <f t="shared" si="10"/>
        <v>77081740.079999998</v>
      </c>
      <c r="F215" s="893">
        <v>77081740.079999998</v>
      </c>
      <c r="G215" s="893">
        <v>77081740.079999998</v>
      </c>
      <c r="H215" s="891">
        <f t="shared" si="11"/>
        <v>0</v>
      </c>
      <c r="I215" s="916">
        <f t="shared" si="13"/>
        <v>1</v>
      </c>
      <c r="J215" s="909"/>
      <c r="K215" s="909"/>
      <c r="L215" s="909"/>
      <c r="M215" s="909"/>
      <c r="N215" s="909"/>
      <c r="O215" s="909"/>
    </row>
    <row r="216" spans="1:15" s="11" customFormat="1" ht="17.25" customHeight="1" x14ac:dyDescent="0.2">
      <c r="A216" s="917">
        <v>3400</v>
      </c>
      <c r="B216" s="890" t="s">
        <v>6250</v>
      </c>
      <c r="C216" s="891">
        <f>C217+C219+C221+C223</f>
        <v>10191755.271978199</v>
      </c>
      <c r="D216" s="891">
        <v>-5373304.2199999997</v>
      </c>
      <c r="E216" s="891">
        <f t="shared" si="10"/>
        <v>4818451.0519781997</v>
      </c>
      <c r="F216" s="891">
        <v>3121123.85</v>
      </c>
      <c r="G216" s="891">
        <v>2918303.0900000003</v>
      </c>
      <c r="H216" s="891">
        <f t="shared" si="11"/>
        <v>1697327.2019781996</v>
      </c>
      <c r="I216" s="916">
        <f t="shared" si="13"/>
        <v>0.64774422658473052</v>
      </c>
      <c r="J216" s="909"/>
      <c r="K216" s="909"/>
      <c r="L216" s="909"/>
      <c r="M216" s="909"/>
      <c r="N216" s="909"/>
      <c r="O216" s="909"/>
    </row>
    <row r="217" spans="1:15" s="11" customFormat="1" ht="17.25" customHeight="1" x14ac:dyDescent="0.2">
      <c r="A217" s="918">
        <v>341</v>
      </c>
      <c r="B217" s="890" t="s">
        <v>6251</v>
      </c>
      <c r="C217" s="891">
        <f>C218</f>
        <v>926377.65509305254</v>
      </c>
      <c r="D217" s="891">
        <v>463129.16000000003</v>
      </c>
      <c r="E217" s="891">
        <f t="shared" si="10"/>
        <v>1389506.8150930526</v>
      </c>
      <c r="F217" s="891">
        <v>1235913.99</v>
      </c>
      <c r="G217" s="891">
        <v>1194669.9100000001</v>
      </c>
      <c r="H217" s="891">
        <f t="shared" si="11"/>
        <v>153592.82509305258</v>
      </c>
      <c r="I217" s="916">
        <f t="shared" si="13"/>
        <v>0.88946234489482023</v>
      </c>
      <c r="J217" s="909"/>
      <c r="K217" s="909"/>
      <c r="L217" s="909"/>
      <c r="M217" s="909"/>
      <c r="N217" s="909"/>
      <c r="O217" s="909"/>
    </row>
    <row r="218" spans="1:15" s="11" customFormat="1" ht="17.25" customHeight="1" x14ac:dyDescent="0.2">
      <c r="A218" s="919">
        <v>34101</v>
      </c>
      <c r="B218" s="892" t="s">
        <v>6251</v>
      </c>
      <c r="C218" s="893">
        <f>'[4]Por organismos DIC'!I221</f>
        <v>926377.65509305254</v>
      </c>
      <c r="D218" s="893">
        <v>463129.16000000003</v>
      </c>
      <c r="E218" s="891">
        <f t="shared" si="10"/>
        <v>1389506.8150930526</v>
      </c>
      <c r="F218" s="893">
        <v>1235913.99</v>
      </c>
      <c r="G218" s="893">
        <v>1194669.9100000001</v>
      </c>
      <c r="H218" s="891">
        <f t="shared" si="11"/>
        <v>153592.82509305258</v>
      </c>
      <c r="I218" s="916">
        <f t="shared" si="13"/>
        <v>0.88946234489482023</v>
      </c>
      <c r="J218" s="909"/>
      <c r="K218" s="909"/>
      <c r="L218" s="909"/>
      <c r="M218" s="909"/>
      <c r="N218" s="909"/>
      <c r="O218" s="909"/>
    </row>
    <row r="219" spans="1:15" s="11" customFormat="1" ht="17.25" customHeight="1" x14ac:dyDescent="0.2">
      <c r="A219" s="918">
        <v>343</v>
      </c>
      <c r="B219" s="890" t="s">
        <v>6252</v>
      </c>
      <c r="C219" s="891">
        <f>C220</f>
        <v>8109913.412464424</v>
      </c>
      <c r="D219" s="891">
        <v>-6693682.8300000001</v>
      </c>
      <c r="E219" s="891">
        <f t="shared" si="10"/>
        <v>1416230.582464424</v>
      </c>
      <c r="F219" s="891">
        <v>741764.51000000013</v>
      </c>
      <c r="G219" s="891">
        <v>741761.03</v>
      </c>
      <c r="H219" s="891">
        <f t="shared" si="11"/>
        <v>674466.07246442384</v>
      </c>
      <c r="I219" s="916">
        <f t="shared" si="13"/>
        <v>0.52375970352880963</v>
      </c>
      <c r="J219" s="909"/>
      <c r="K219" s="909"/>
      <c r="L219" s="909"/>
      <c r="M219" s="909"/>
      <c r="N219" s="909"/>
      <c r="O219" s="909"/>
    </row>
    <row r="220" spans="1:15" s="11" customFormat="1" ht="17.25" customHeight="1" x14ac:dyDescent="0.2">
      <c r="A220" s="919">
        <v>34301</v>
      </c>
      <c r="B220" s="892" t="s">
        <v>6252</v>
      </c>
      <c r="C220" s="893">
        <f>'[4]Por organismos DIC'!I223</f>
        <v>8109913.412464424</v>
      </c>
      <c r="D220" s="893">
        <v>-6693682.8300000001</v>
      </c>
      <c r="E220" s="891">
        <f t="shared" si="10"/>
        <v>1416230.582464424</v>
      </c>
      <c r="F220" s="893">
        <v>741764.51000000013</v>
      </c>
      <c r="G220" s="893">
        <v>741761.03</v>
      </c>
      <c r="H220" s="891">
        <f t="shared" si="11"/>
        <v>674466.07246442384</v>
      </c>
      <c r="I220" s="916">
        <f t="shared" si="13"/>
        <v>0.52375970352880963</v>
      </c>
      <c r="J220" s="909"/>
      <c r="K220" s="909"/>
      <c r="L220" s="909"/>
      <c r="M220" s="909"/>
      <c r="N220" s="909"/>
      <c r="O220" s="909"/>
    </row>
    <row r="221" spans="1:15" s="11" customFormat="1" ht="17.25" customHeight="1" x14ac:dyDescent="0.2">
      <c r="A221" s="918">
        <v>344</v>
      </c>
      <c r="B221" s="890" t="s">
        <v>6253</v>
      </c>
      <c r="C221" s="891">
        <f>C222</f>
        <v>1066015.8719413751</v>
      </c>
      <c r="D221" s="891">
        <v>815789.53</v>
      </c>
      <c r="E221" s="891">
        <f t="shared" si="10"/>
        <v>1881805.4019413751</v>
      </c>
      <c r="F221" s="891">
        <v>1064817.1000000001</v>
      </c>
      <c r="G221" s="891">
        <v>915423.9</v>
      </c>
      <c r="H221" s="891">
        <f t="shared" si="11"/>
        <v>816988.30194137502</v>
      </c>
      <c r="I221" s="916">
        <f t="shared" si="13"/>
        <v>0.56584867856234</v>
      </c>
      <c r="J221" s="909"/>
      <c r="K221" s="909"/>
      <c r="L221" s="909"/>
      <c r="M221" s="909"/>
      <c r="N221" s="909"/>
      <c r="O221" s="909"/>
    </row>
    <row r="222" spans="1:15" s="11" customFormat="1" ht="17.25" customHeight="1" x14ac:dyDescent="0.2">
      <c r="A222" s="919">
        <v>34401</v>
      </c>
      <c r="B222" s="892" t="s">
        <v>6253</v>
      </c>
      <c r="C222" s="893">
        <f>'[4]Por organismos DIC'!I225</f>
        <v>1066015.8719413751</v>
      </c>
      <c r="D222" s="893">
        <v>815789.53</v>
      </c>
      <c r="E222" s="891">
        <f t="shared" si="10"/>
        <v>1881805.4019413751</v>
      </c>
      <c r="F222" s="893">
        <v>1064817.1000000001</v>
      </c>
      <c r="G222" s="893">
        <v>915423.9</v>
      </c>
      <c r="H222" s="891">
        <f t="shared" si="11"/>
        <v>816988.30194137502</v>
      </c>
      <c r="I222" s="916">
        <f t="shared" si="13"/>
        <v>0.56584867856234</v>
      </c>
      <c r="J222" s="909"/>
      <c r="K222" s="909"/>
      <c r="L222" s="909"/>
      <c r="M222" s="909"/>
      <c r="N222" s="909"/>
      <c r="O222" s="909"/>
    </row>
    <row r="223" spans="1:15" s="11" customFormat="1" ht="17.25" customHeight="1" x14ac:dyDescent="0.2">
      <c r="A223" s="918">
        <v>347</v>
      </c>
      <c r="B223" s="890" t="s">
        <v>6254</v>
      </c>
      <c r="C223" s="891">
        <f>C224</f>
        <v>89448.332479347911</v>
      </c>
      <c r="D223" s="891">
        <v>41459.920000000006</v>
      </c>
      <c r="E223" s="891">
        <f t="shared" si="10"/>
        <v>130908.25247934792</v>
      </c>
      <c r="F223" s="891">
        <v>78628.25</v>
      </c>
      <c r="G223" s="891">
        <v>66448.25</v>
      </c>
      <c r="H223" s="891">
        <f t="shared" si="11"/>
        <v>52280.002479347924</v>
      </c>
      <c r="I223" s="916">
        <f t="shared" si="13"/>
        <v>0.60063631215613689</v>
      </c>
      <c r="J223" s="909"/>
      <c r="K223" s="909"/>
      <c r="L223" s="909"/>
      <c r="M223" s="909"/>
      <c r="N223" s="909"/>
      <c r="O223" s="909"/>
    </row>
    <row r="224" spans="1:15" s="11" customFormat="1" ht="17.25" customHeight="1" x14ac:dyDescent="0.2">
      <c r="A224" s="919">
        <v>34701</v>
      </c>
      <c r="B224" s="892" t="s">
        <v>6254</v>
      </c>
      <c r="C224" s="893">
        <f>'[4]Por organismos DIC'!I227</f>
        <v>89448.332479347911</v>
      </c>
      <c r="D224" s="893">
        <v>41459.920000000006</v>
      </c>
      <c r="E224" s="891">
        <f t="shared" si="10"/>
        <v>130908.25247934792</v>
      </c>
      <c r="F224" s="893">
        <v>78628.25</v>
      </c>
      <c r="G224" s="893">
        <v>66448.25</v>
      </c>
      <c r="H224" s="891">
        <f t="shared" si="11"/>
        <v>52280.002479347924</v>
      </c>
      <c r="I224" s="916">
        <f t="shared" si="13"/>
        <v>0.60063631215613689</v>
      </c>
      <c r="J224" s="909"/>
      <c r="K224" s="909"/>
      <c r="L224" s="909"/>
      <c r="M224" s="909"/>
      <c r="N224" s="909"/>
      <c r="O224" s="909"/>
    </row>
    <row r="225" spans="1:15" s="11" customFormat="1" ht="22.5" x14ac:dyDescent="0.2">
      <c r="A225" s="917">
        <v>3500</v>
      </c>
      <c r="B225" s="890" t="s">
        <v>6255</v>
      </c>
      <c r="C225" s="891">
        <f>C226+C228+C230+C233+C235+C238+C240</f>
        <v>16927289.39632158</v>
      </c>
      <c r="D225" s="891">
        <v>-2408016.4499999997</v>
      </c>
      <c r="E225" s="891">
        <f t="shared" si="10"/>
        <v>14519272.946321581</v>
      </c>
      <c r="F225" s="891">
        <v>10569506.140000001</v>
      </c>
      <c r="G225" s="891">
        <v>8330071.4100000001</v>
      </c>
      <c r="H225" s="891">
        <f t="shared" si="11"/>
        <v>3949766.80632158</v>
      </c>
      <c r="I225" s="916">
        <f t="shared" si="13"/>
        <v>0.72796387113018335</v>
      </c>
      <c r="J225" s="909"/>
      <c r="K225" s="909"/>
      <c r="L225" s="909"/>
      <c r="M225" s="909"/>
      <c r="N225" s="909"/>
      <c r="O225" s="909"/>
    </row>
    <row r="226" spans="1:15" s="11" customFormat="1" ht="22.5" x14ac:dyDescent="0.2">
      <c r="A226" s="918">
        <v>351</v>
      </c>
      <c r="B226" s="890" t="s">
        <v>6256</v>
      </c>
      <c r="C226" s="891">
        <f>C227</f>
        <v>602425.03439800639</v>
      </c>
      <c r="D226" s="891">
        <v>148431.4</v>
      </c>
      <c r="E226" s="891">
        <f t="shared" si="10"/>
        <v>750856.43439800641</v>
      </c>
      <c r="F226" s="891">
        <v>637464.68999999994</v>
      </c>
      <c r="G226" s="891">
        <v>635520.68999999994</v>
      </c>
      <c r="H226" s="891">
        <f t="shared" si="11"/>
        <v>113391.74439800647</v>
      </c>
      <c r="I226" s="916">
        <f t="shared" si="13"/>
        <v>0.84898345515422335</v>
      </c>
      <c r="J226" s="909"/>
      <c r="K226" s="909"/>
      <c r="L226" s="909"/>
      <c r="M226" s="909"/>
      <c r="N226" s="909"/>
      <c r="O226" s="909"/>
    </row>
    <row r="227" spans="1:15" s="11" customFormat="1" ht="17.25" customHeight="1" x14ac:dyDescent="0.2">
      <c r="A227" s="919">
        <v>35101</v>
      </c>
      <c r="B227" s="892" t="s">
        <v>6256</v>
      </c>
      <c r="C227" s="893">
        <f>'[4]Por organismos DIC'!I230</f>
        <v>602425.03439800639</v>
      </c>
      <c r="D227" s="893">
        <v>148431.4</v>
      </c>
      <c r="E227" s="891">
        <f t="shared" si="10"/>
        <v>750856.43439800641</v>
      </c>
      <c r="F227" s="893">
        <v>637464.68999999994</v>
      </c>
      <c r="G227" s="893">
        <v>635520.68999999994</v>
      </c>
      <c r="H227" s="891">
        <f t="shared" si="11"/>
        <v>113391.74439800647</v>
      </c>
      <c r="I227" s="916">
        <f t="shared" si="13"/>
        <v>0.84898345515422335</v>
      </c>
      <c r="J227" s="909"/>
      <c r="K227" s="909"/>
      <c r="L227" s="909"/>
      <c r="M227" s="909"/>
      <c r="N227" s="909"/>
      <c r="O227" s="909"/>
    </row>
    <row r="228" spans="1:15" s="11" customFormat="1" ht="34.5" customHeight="1" x14ac:dyDescent="0.2">
      <c r="A228" s="918">
        <v>352</v>
      </c>
      <c r="B228" s="890" t="s">
        <v>6257</v>
      </c>
      <c r="C228" s="891">
        <f>C229</f>
        <v>159447.43995853601</v>
      </c>
      <c r="D228" s="891">
        <v>-34122.97</v>
      </c>
      <c r="E228" s="891">
        <f t="shared" si="10"/>
        <v>125324.46995853601</v>
      </c>
      <c r="F228" s="891">
        <v>56381.17</v>
      </c>
      <c r="G228" s="891">
        <v>56381.17</v>
      </c>
      <c r="H228" s="891">
        <f t="shared" si="11"/>
        <v>68943.299958536008</v>
      </c>
      <c r="I228" s="916">
        <f t="shared" si="13"/>
        <v>0.44988157555067965</v>
      </c>
      <c r="J228" s="909"/>
      <c r="K228" s="909"/>
      <c r="L228" s="909"/>
      <c r="M228" s="909"/>
      <c r="N228" s="909"/>
      <c r="O228" s="909"/>
    </row>
    <row r="229" spans="1:15" s="11" customFormat="1" ht="17.25" customHeight="1" x14ac:dyDescent="0.2">
      <c r="A229" s="919">
        <v>35201</v>
      </c>
      <c r="B229" s="892" t="s">
        <v>6258</v>
      </c>
      <c r="C229" s="893">
        <f>'[4]Por organismos DIC'!I232</f>
        <v>159447.43995853601</v>
      </c>
      <c r="D229" s="893">
        <v>-34122.97</v>
      </c>
      <c r="E229" s="891">
        <f t="shared" si="10"/>
        <v>125324.46995853601</v>
      </c>
      <c r="F229" s="893">
        <v>56381.17</v>
      </c>
      <c r="G229" s="893">
        <v>56381.17</v>
      </c>
      <c r="H229" s="891">
        <f t="shared" si="11"/>
        <v>68943.299958536008</v>
      </c>
      <c r="I229" s="916">
        <f t="shared" si="13"/>
        <v>0.44988157555067965</v>
      </c>
      <c r="J229" s="909"/>
      <c r="K229" s="909"/>
      <c r="L229" s="909"/>
      <c r="M229" s="909"/>
      <c r="N229" s="909"/>
      <c r="O229" s="909"/>
    </row>
    <row r="230" spans="1:15" s="11" customFormat="1" ht="34.5" customHeight="1" x14ac:dyDescent="0.2">
      <c r="A230" s="918">
        <v>353</v>
      </c>
      <c r="B230" s="890" t="s">
        <v>6259</v>
      </c>
      <c r="C230" s="891">
        <f>C231+C232</f>
        <v>100766.41271574525</v>
      </c>
      <c r="D230" s="891">
        <v>71700</v>
      </c>
      <c r="E230" s="891">
        <f t="shared" si="10"/>
        <v>172466.41271574525</v>
      </c>
      <c r="F230" s="891">
        <v>105758.01</v>
      </c>
      <c r="G230" s="891">
        <v>99842.01</v>
      </c>
      <c r="H230" s="891">
        <f t="shared" si="11"/>
        <v>66708.402715745251</v>
      </c>
      <c r="I230" s="916">
        <f t="shared" si="13"/>
        <v>0.6132093103502283</v>
      </c>
      <c r="J230" s="909"/>
      <c r="K230" s="909"/>
      <c r="L230" s="909"/>
      <c r="M230" s="909"/>
      <c r="N230" s="909"/>
      <c r="O230" s="909"/>
    </row>
    <row r="231" spans="1:15" s="11" customFormat="1" ht="17.25" hidden="1" customHeight="1" x14ac:dyDescent="0.2">
      <c r="A231" s="919">
        <v>35301</v>
      </c>
      <c r="B231" s="892" t="s">
        <v>6260</v>
      </c>
      <c r="C231" s="893">
        <f>'[4]Por organismos DIC'!I234</f>
        <v>0</v>
      </c>
      <c r="D231" s="893">
        <v>0</v>
      </c>
      <c r="E231" s="891">
        <f t="shared" si="10"/>
        <v>0</v>
      </c>
      <c r="F231" s="893">
        <v>0</v>
      </c>
      <c r="G231" s="893">
        <v>0</v>
      </c>
      <c r="H231" s="891">
        <f t="shared" si="11"/>
        <v>0</v>
      </c>
      <c r="I231" s="916" t="e">
        <f t="shared" si="13"/>
        <v>#DIV/0!</v>
      </c>
      <c r="J231" s="909"/>
      <c r="K231" s="909"/>
      <c r="L231" s="909"/>
      <c r="M231" s="909"/>
      <c r="N231" s="909"/>
      <c r="O231" s="909"/>
    </row>
    <row r="232" spans="1:15" s="11" customFormat="1" ht="24" customHeight="1" x14ac:dyDescent="0.2">
      <c r="A232" s="919">
        <v>35302</v>
      </c>
      <c r="B232" s="892" t="s">
        <v>6261</v>
      </c>
      <c r="C232" s="893">
        <f>'[4]Por organismos DIC'!I235</f>
        <v>100766.41271574525</v>
      </c>
      <c r="D232" s="893">
        <v>71700</v>
      </c>
      <c r="E232" s="891">
        <f t="shared" ref="E232:E297" si="14">+C232+D232</f>
        <v>172466.41271574525</v>
      </c>
      <c r="F232" s="893">
        <v>105758.01</v>
      </c>
      <c r="G232" s="893">
        <v>99842.01</v>
      </c>
      <c r="H232" s="891">
        <f t="shared" si="11"/>
        <v>66708.402715745251</v>
      </c>
      <c r="I232" s="916">
        <f t="shared" si="13"/>
        <v>0.6132093103502283</v>
      </c>
      <c r="J232" s="909"/>
      <c r="K232" s="909"/>
      <c r="L232" s="909"/>
      <c r="M232" s="909"/>
      <c r="N232" s="909"/>
      <c r="O232" s="909"/>
    </row>
    <row r="233" spans="1:15" s="11" customFormat="1" ht="24.75" customHeight="1" x14ac:dyDescent="0.2">
      <c r="A233" s="918">
        <v>355</v>
      </c>
      <c r="B233" s="890" t="s">
        <v>6262</v>
      </c>
      <c r="C233" s="891">
        <f>C234</f>
        <v>1381731.2158652721</v>
      </c>
      <c r="D233" s="891">
        <v>1374770.06</v>
      </c>
      <c r="E233" s="891">
        <f t="shared" si="14"/>
        <v>2756501.2758652722</v>
      </c>
      <c r="F233" s="891">
        <v>1655080.35</v>
      </c>
      <c r="G233" s="891">
        <v>1526582.8299999998</v>
      </c>
      <c r="H233" s="891">
        <f t="shared" ref="H233:H298" si="15">+E233-F233</f>
        <v>1101420.9258652721</v>
      </c>
      <c r="I233" s="916">
        <f t="shared" si="13"/>
        <v>0.60042792814614843</v>
      </c>
      <c r="J233" s="909"/>
      <c r="K233" s="909"/>
      <c r="L233" s="909"/>
      <c r="M233" s="909"/>
      <c r="N233" s="909"/>
      <c r="O233" s="909"/>
    </row>
    <row r="234" spans="1:15" s="11" customFormat="1" ht="17.25" customHeight="1" x14ac:dyDescent="0.2">
      <c r="A234" s="919">
        <v>35501</v>
      </c>
      <c r="B234" s="892" t="s">
        <v>6262</v>
      </c>
      <c r="C234" s="893">
        <f>'[4]Por organismos DIC'!I237</f>
        <v>1381731.2158652721</v>
      </c>
      <c r="D234" s="893">
        <v>1374770.06</v>
      </c>
      <c r="E234" s="891">
        <f t="shared" si="14"/>
        <v>2756501.2758652722</v>
      </c>
      <c r="F234" s="893">
        <v>1655080.35</v>
      </c>
      <c r="G234" s="893">
        <v>1526582.8299999998</v>
      </c>
      <c r="H234" s="891">
        <f t="shared" si="15"/>
        <v>1101420.9258652721</v>
      </c>
      <c r="I234" s="916">
        <f t="shared" si="13"/>
        <v>0.60042792814614843</v>
      </c>
      <c r="J234" s="909"/>
      <c r="K234" s="909"/>
      <c r="L234" s="909"/>
      <c r="M234" s="909"/>
      <c r="N234" s="909"/>
      <c r="O234" s="909"/>
    </row>
    <row r="235" spans="1:15" s="11" customFormat="1" ht="17.25" customHeight="1" x14ac:dyDescent="0.2">
      <c r="A235" s="918">
        <v>357</v>
      </c>
      <c r="B235" s="890" t="s">
        <v>6263</v>
      </c>
      <c r="C235" s="891">
        <f>C236+C237</f>
        <v>14350807.831439309</v>
      </c>
      <c r="D235" s="891">
        <v>-4253459.84</v>
      </c>
      <c r="E235" s="891">
        <f t="shared" si="14"/>
        <v>10097347.991439309</v>
      </c>
      <c r="F235" s="891">
        <v>7569720.8300000001</v>
      </c>
      <c r="G235" s="891">
        <v>5478643.6200000001</v>
      </c>
      <c r="H235" s="891">
        <f t="shared" si="15"/>
        <v>2527627.1614393089</v>
      </c>
      <c r="I235" s="916">
        <f t="shared" si="13"/>
        <v>0.74967415567114537</v>
      </c>
      <c r="J235" s="909"/>
      <c r="K235" s="909"/>
      <c r="L235" s="909"/>
      <c r="M235" s="909"/>
      <c r="N235" s="909"/>
      <c r="O235" s="909"/>
    </row>
    <row r="236" spans="1:15" s="11" customFormat="1" ht="17.25" customHeight="1" x14ac:dyDescent="0.2">
      <c r="A236" s="919">
        <v>35701</v>
      </c>
      <c r="B236" s="892" t="s">
        <v>6264</v>
      </c>
      <c r="C236" s="893">
        <f>'[4]Por organismos DIC'!I239</f>
        <v>14345807.831439309</v>
      </c>
      <c r="D236" s="893">
        <v>-4253459.84</v>
      </c>
      <c r="E236" s="891">
        <f t="shared" si="14"/>
        <v>10092347.991439309</v>
      </c>
      <c r="F236" s="893">
        <v>7569720.8300000001</v>
      </c>
      <c r="G236" s="893">
        <v>5478643.6200000001</v>
      </c>
      <c r="H236" s="891">
        <f t="shared" si="15"/>
        <v>2522627.1614393089</v>
      </c>
      <c r="I236" s="916">
        <f t="shared" si="13"/>
        <v>0.75004556287802482</v>
      </c>
      <c r="J236" s="909"/>
      <c r="K236" s="909"/>
      <c r="L236" s="909"/>
      <c r="M236" s="909"/>
      <c r="N236" s="909"/>
      <c r="O236" s="909"/>
    </row>
    <row r="237" spans="1:15" s="11" customFormat="1" ht="17.25" customHeight="1" x14ac:dyDescent="0.2">
      <c r="A237" s="919">
        <v>35702</v>
      </c>
      <c r="B237" s="892" t="s">
        <v>6265</v>
      </c>
      <c r="C237" s="893">
        <f>'[4]Por organismos DIC'!I240</f>
        <v>5000</v>
      </c>
      <c r="D237" s="893">
        <v>0</v>
      </c>
      <c r="E237" s="891">
        <f t="shared" si="14"/>
        <v>5000</v>
      </c>
      <c r="F237" s="893">
        <v>0</v>
      </c>
      <c r="G237" s="893">
        <v>0</v>
      </c>
      <c r="H237" s="891">
        <f t="shared" si="15"/>
        <v>5000</v>
      </c>
      <c r="I237" s="916">
        <f t="shared" si="13"/>
        <v>0</v>
      </c>
      <c r="J237" s="909"/>
      <c r="K237" s="909"/>
      <c r="L237" s="909"/>
      <c r="M237" s="909"/>
      <c r="N237" s="909"/>
      <c r="O237" s="909"/>
    </row>
    <row r="238" spans="1:15" s="11" customFormat="1" ht="17.25" customHeight="1" x14ac:dyDescent="0.2">
      <c r="A238" s="918">
        <v>358</v>
      </c>
      <c r="B238" s="890" t="s">
        <v>6266</v>
      </c>
      <c r="C238" s="891">
        <f>C239</f>
        <v>236429.77948129721</v>
      </c>
      <c r="D238" s="891">
        <v>345196.58</v>
      </c>
      <c r="E238" s="891">
        <f t="shared" si="14"/>
        <v>581626.3594812972</v>
      </c>
      <c r="F238" s="891">
        <v>520161.09</v>
      </c>
      <c r="G238" s="891">
        <v>508161.09</v>
      </c>
      <c r="H238" s="891">
        <f t="shared" si="15"/>
        <v>61465.269481297175</v>
      </c>
      <c r="I238" s="916">
        <f t="shared" si="13"/>
        <v>0.89432172651852848</v>
      </c>
      <c r="J238" s="909"/>
      <c r="K238" s="909"/>
      <c r="L238" s="909"/>
      <c r="M238" s="909"/>
      <c r="N238" s="909"/>
      <c r="O238" s="909"/>
    </row>
    <row r="239" spans="1:15" s="11" customFormat="1" ht="17.25" customHeight="1" x14ac:dyDescent="0.2">
      <c r="A239" s="919">
        <v>35801</v>
      </c>
      <c r="B239" s="892" t="s">
        <v>6266</v>
      </c>
      <c r="C239" s="893">
        <f>'[4]Por organismos DIC'!I242</f>
        <v>236429.77948129721</v>
      </c>
      <c r="D239" s="893">
        <v>345196.58</v>
      </c>
      <c r="E239" s="891">
        <f t="shared" si="14"/>
        <v>581626.3594812972</v>
      </c>
      <c r="F239" s="893">
        <v>520161.09</v>
      </c>
      <c r="G239" s="893">
        <v>508161.09</v>
      </c>
      <c r="H239" s="891">
        <f t="shared" si="15"/>
        <v>61465.269481297175</v>
      </c>
      <c r="I239" s="916">
        <f t="shared" si="13"/>
        <v>0.89432172651852848</v>
      </c>
      <c r="J239" s="909"/>
      <c r="K239" s="909"/>
      <c r="L239" s="909"/>
      <c r="M239" s="909"/>
      <c r="N239" s="909"/>
      <c r="O239" s="909"/>
    </row>
    <row r="240" spans="1:15" s="11" customFormat="1" ht="17.25" customHeight="1" x14ac:dyDescent="0.2">
      <c r="A240" s="918">
        <v>359</v>
      </c>
      <c r="B240" s="890" t="s">
        <v>6267</v>
      </c>
      <c r="C240" s="891">
        <f>C241</f>
        <v>95681.682463416742</v>
      </c>
      <c r="D240" s="891">
        <v>-60531.68</v>
      </c>
      <c r="E240" s="891">
        <f t="shared" si="14"/>
        <v>35150.002463416742</v>
      </c>
      <c r="F240" s="891">
        <v>24940</v>
      </c>
      <c r="G240" s="891">
        <v>24940</v>
      </c>
      <c r="H240" s="891">
        <f t="shared" si="15"/>
        <v>10210.002463416742</v>
      </c>
      <c r="I240" s="916">
        <f t="shared" si="13"/>
        <v>0.7095305334887797</v>
      </c>
      <c r="J240" s="909"/>
      <c r="K240" s="909"/>
      <c r="L240" s="909"/>
      <c r="M240" s="909"/>
      <c r="N240" s="909"/>
      <c r="O240" s="909"/>
    </row>
    <row r="241" spans="1:15" s="11" customFormat="1" ht="17.25" customHeight="1" x14ac:dyDescent="0.2">
      <c r="A241" s="919">
        <v>35901</v>
      </c>
      <c r="B241" s="892" t="s">
        <v>6267</v>
      </c>
      <c r="C241" s="893">
        <f>'[4]Por organismos DIC'!I244</f>
        <v>95681.682463416742</v>
      </c>
      <c r="D241" s="893">
        <v>-60531.68</v>
      </c>
      <c r="E241" s="891">
        <f t="shared" si="14"/>
        <v>35150.002463416742</v>
      </c>
      <c r="F241" s="893">
        <v>24940</v>
      </c>
      <c r="G241" s="893">
        <v>24940</v>
      </c>
      <c r="H241" s="891">
        <f t="shared" si="15"/>
        <v>10210.002463416742</v>
      </c>
      <c r="I241" s="916">
        <f t="shared" si="13"/>
        <v>0.7095305334887797</v>
      </c>
      <c r="J241" s="909"/>
      <c r="K241" s="909"/>
      <c r="L241" s="909"/>
      <c r="M241" s="909"/>
      <c r="N241" s="909"/>
      <c r="O241" s="909"/>
    </row>
    <row r="242" spans="1:15" s="11" customFormat="1" ht="27.75" customHeight="1" x14ac:dyDescent="0.2">
      <c r="A242" s="917">
        <v>3600</v>
      </c>
      <c r="B242" s="890" t="s">
        <v>6268</v>
      </c>
      <c r="C242" s="891">
        <f>C243+C245+C247+C249</f>
        <v>1803370.7264297067</v>
      </c>
      <c r="D242" s="891">
        <v>-1334992.1299999999</v>
      </c>
      <c r="E242" s="891">
        <f t="shared" si="14"/>
        <v>468378.59642970678</v>
      </c>
      <c r="F242" s="891">
        <v>118011</v>
      </c>
      <c r="G242" s="891">
        <v>118011</v>
      </c>
      <c r="H242" s="891">
        <f t="shared" si="15"/>
        <v>350367.59642970678</v>
      </c>
      <c r="I242" s="916">
        <f t="shared" si="13"/>
        <v>0.25195643203929119</v>
      </c>
      <c r="J242" s="909"/>
      <c r="K242" s="909"/>
      <c r="L242" s="909"/>
      <c r="M242" s="909"/>
      <c r="N242" s="909"/>
      <c r="O242" s="909"/>
    </row>
    <row r="243" spans="1:15" s="11" customFormat="1" ht="22.5" customHeight="1" x14ac:dyDescent="0.2">
      <c r="A243" s="918">
        <v>361</v>
      </c>
      <c r="B243" s="890" t="s">
        <v>6269</v>
      </c>
      <c r="C243" s="891">
        <f>C244</f>
        <v>1773078.6326371171</v>
      </c>
      <c r="D243" s="891">
        <v>-1334992.1299999999</v>
      </c>
      <c r="E243" s="891">
        <f t="shared" si="14"/>
        <v>438086.50263711717</v>
      </c>
      <c r="F243" s="891">
        <v>115455</v>
      </c>
      <c r="G243" s="891">
        <v>115455</v>
      </c>
      <c r="H243" s="891">
        <f t="shared" si="15"/>
        <v>322631.50263711717</v>
      </c>
      <c r="I243" s="916">
        <f t="shared" si="13"/>
        <v>0.26354384192392144</v>
      </c>
      <c r="J243" s="909"/>
      <c r="K243" s="909"/>
      <c r="L243" s="909"/>
      <c r="M243" s="909"/>
      <c r="N243" s="909"/>
      <c r="O243" s="909"/>
    </row>
    <row r="244" spans="1:15" s="11" customFormat="1" ht="17.25" customHeight="1" x14ac:dyDescent="0.2">
      <c r="A244" s="919">
        <v>36101</v>
      </c>
      <c r="B244" s="892" t="s">
        <v>6269</v>
      </c>
      <c r="C244" s="893">
        <f>'[4]Por organismos DIC'!I247</f>
        <v>1773078.6326371171</v>
      </c>
      <c r="D244" s="893">
        <v>-1334992.1299999999</v>
      </c>
      <c r="E244" s="891">
        <f t="shared" si="14"/>
        <v>438086.50263711717</v>
      </c>
      <c r="F244" s="893">
        <v>115455</v>
      </c>
      <c r="G244" s="893">
        <v>115455</v>
      </c>
      <c r="H244" s="891">
        <f t="shared" si="15"/>
        <v>322631.50263711717</v>
      </c>
      <c r="I244" s="916">
        <f t="shared" si="13"/>
        <v>0.26354384192392144</v>
      </c>
      <c r="J244" s="909"/>
      <c r="K244" s="909"/>
      <c r="L244" s="909"/>
      <c r="M244" s="909"/>
      <c r="N244" s="909"/>
      <c r="O244" s="909"/>
    </row>
    <row r="245" spans="1:15" s="11" customFormat="1" ht="17.25" customHeight="1" x14ac:dyDescent="0.2">
      <c r="A245" s="918">
        <v>364</v>
      </c>
      <c r="B245" s="890" t="s">
        <v>6270</v>
      </c>
      <c r="C245" s="891">
        <f>C246</f>
        <v>507.31799648922885</v>
      </c>
      <c r="D245" s="891">
        <v>0</v>
      </c>
      <c r="E245" s="891">
        <f t="shared" si="14"/>
        <v>507.31799648922885</v>
      </c>
      <c r="F245" s="891">
        <v>0</v>
      </c>
      <c r="G245" s="891">
        <v>0</v>
      </c>
      <c r="H245" s="891">
        <f t="shared" si="15"/>
        <v>507.31799648922885</v>
      </c>
      <c r="I245" s="916">
        <f t="shared" si="13"/>
        <v>0</v>
      </c>
      <c r="J245" s="909"/>
      <c r="K245" s="909"/>
      <c r="L245" s="909"/>
      <c r="M245" s="909"/>
      <c r="N245" s="909"/>
      <c r="O245" s="909"/>
    </row>
    <row r="246" spans="1:15" s="11" customFormat="1" ht="17.25" customHeight="1" x14ac:dyDescent="0.2">
      <c r="A246" s="919">
        <v>36401</v>
      </c>
      <c r="B246" s="892" t="s">
        <v>6270</v>
      </c>
      <c r="C246" s="893">
        <f>'[4]Por organismos DIC'!I249</f>
        <v>507.31799648922885</v>
      </c>
      <c r="D246" s="893">
        <v>0</v>
      </c>
      <c r="E246" s="891">
        <f t="shared" si="14"/>
        <v>507.31799648922885</v>
      </c>
      <c r="F246" s="893">
        <v>0</v>
      </c>
      <c r="G246" s="893">
        <v>0</v>
      </c>
      <c r="H246" s="891">
        <f t="shared" si="15"/>
        <v>507.31799648922885</v>
      </c>
      <c r="I246" s="916">
        <f t="shared" si="13"/>
        <v>0</v>
      </c>
      <c r="J246" s="909"/>
      <c r="K246" s="909"/>
      <c r="L246" s="909"/>
      <c r="M246" s="909"/>
      <c r="N246" s="909"/>
      <c r="O246" s="909"/>
    </row>
    <row r="247" spans="1:15" s="11" customFormat="1" ht="24.75" customHeight="1" x14ac:dyDescent="0.2">
      <c r="A247" s="918">
        <v>365</v>
      </c>
      <c r="B247" s="890" t="s">
        <v>6271</v>
      </c>
      <c r="C247" s="891">
        <f>C248</f>
        <v>26163.236000000001</v>
      </c>
      <c r="D247" s="891">
        <v>0</v>
      </c>
      <c r="E247" s="891">
        <f t="shared" si="14"/>
        <v>26163.236000000001</v>
      </c>
      <c r="F247" s="891">
        <v>0</v>
      </c>
      <c r="G247" s="891">
        <v>0</v>
      </c>
      <c r="H247" s="891">
        <f t="shared" si="15"/>
        <v>26163.236000000001</v>
      </c>
      <c r="I247" s="916">
        <f t="shared" si="13"/>
        <v>0</v>
      </c>
      <c r="J247" s="909"/>
      <c r="K247" s="909"/>
      <c r="L247" s="909"/>
      <c r="M247" s="909"/>
      <c r="N247" s="909"/>
      <c r="O247" s="909"/>
    </row>
    <row r="248" spans="1:15" s="11" customFormat="1" ht="17.25" customHeight="1" x14ac:dyDescent="0.2">
      <c r="A248" s="919">
        <v>36501</v>
      </c>
      <c r="B248" s="892" t="s">
        <v>6271</v>
      </c>
      <c r="C248" s="893">
        <f>'[4]Por organismos DIC'!I251</f>
        <v>26163.236000000001</v>
      </c>
      <c r="D248" s="893">
        <v>0</v>
      </c>
      <c r="E248" s="891">
        <f t="shared" si="14"/>
        <v>26163.236000000001</v>
      </c>
      <c r="F248" s="893">
        <v>0</v>
      </c>
      <c r="G248" s="893">
        <v>0</v>
      </c>
      <c r="H248" s="891">
        <f t="shared" si="15"/>
        <v>26163.236000000001</v>
      </c>
      <c r="I248" s="916">
        <f t="shared" si="13"/>
        <v>0</v>
      </c>
      <c r="J248" s="909"/>
      <c r="K248" s="909"/>
      <c r="L248" s="909"/>
      <c r="M248" s="909"/>
      <c r="N248" s="909"/>
      <c r="O248" s="909"/>
    </row>
    <row r="249" spans="1:15" s="11" customFormat="1" ht="17.25" customHeight="1" x14ac:dyDescent="0.2">
      <c r="A249" s="918">
        <v>369</v>
      </c>
      <c r="B249" s="890" t="s">
        <v>6272</v>
      </c>
      <c r="C249" s="891">
        <f>C250</f>
        <v>3621.5397961004564</v>
      </c>
      <c r="D249" s="891">
        <v>0</v>
      </c>
      <c r="E249" s="891">
        <f t="shared" si="14"/>
        <v>3621.5397961004564</v>
      </c>
      <c r="F249" s="891">
        <v>2556</v>
      </c>
      <c r="G249" s="891">
        <v>2556</v>
      </c>
      <c r="H249" s="891">
        <f t="shared" si="15"/>
        <v>1065.5397961004564</v>
      </c>
      <c r="I249" s="916">
        <f t="shared" si="13"/>
        <v>0.70577714008616133</v>
      </c>
      <c r="J249" s="909"/>
      <c r="K249" s="909"/>
      <c r="L249" s="909"/>
      <c r="M249" s="909"/>
      <c r="N249" s="909"/>
      <c r="O249" s="909"/>
    </row>
    <row r="250" spans="1:15" s="11" customFormat="1" ht="17.25" customHeight="1" x14ac:dyDescent="0.2">
      <c r="A250" s="919">
        <v>36901</v>
      </c>
      <c r="B250" s="892" t="s">
        <v>6272</v>
      </c>
      <c r="C250" s="893">
        <f>'[4]Por organismos DIC'!I253</f>
        <v>3621.5397961004564</v>
      </c>
      <c r="D250" s="893">
        <v>0</v>
      </c>
      <c r="E250" s="891">
        <f t="shared" si="14"/>
        <v>3621.5397961004564</v>
      </c>
      <c r="F250" s="893">
        <v>2556</v>
      </c>
      <c r="G250" s="893">
        <v>2556</v>
      </c>
      <c r="H250" s="891">
        <f t="shared" si="15"/>
        <v>1065.5397961004564</v>
      </c>
      <c r="I250" s="916">
        <f t="shared" si="13"/>
        <v>0.70577714008616133</v>
      </c>
      <c r="J250" s="909"/>
      <c r="K250" s="909"/>
      <c r="L250" s="909"/>
      <c r="M250" s="909"/>
      <c r="N250" s="909"/>
      <c r="O250" s="909"/>
    </row>
    <row r="251" spans="1:15" s="11" customFormat="1" ht="17.25" customHeight="1" x14ac:dyDescent="0.2">
      <c r="A251" s="917">
        <v>3700</v>
      </c>
      <c r="B251" s="890" t="s">
        <v>6273</v>
      </c>
      <c r="C251" s="891">
        <f>C252+C255+C257+C260+C262+C264</f>
        <v>2769974.7739054281</v>
      </c>
      <c r="D251" s="891">
        <v>-644309.97000000009</v>
      </c>
      <c r="E251" s="891">
        <f t="shared" si="14"/>
        <v>2125664.8039054279</v>
      </c>
      <c r="F251" s="891">
        <v>1799477.41</v>
      </c>
      <c r="G251" s="891">
        <v>1797531.28</v>
      </c>
      <c r="H251" s="891">
        <f t="shared" si="15"/>
        <v>326187.39390542801</v>
      </c>
      <c r="I251" s="916">
        <f t="shared" si="13"/>
        <v>0.8465480571978552</v>
      </c>
      <c r="J251" s="909"/>
      <c r="K251" s="909"/>
      <c r="L251" s="909"/>
      <c r="M251" s="909"/>
      <c r="N251" s="909"/>
      <c r="O251" s="909"/>
    </row>
    <row r="252" spans="1:15" s="11" customFormat="1" ht="17.25" customHeight="1" x14ac:dyDescent="0.2">
      <c r="A252" s="918">
        <v>371</v>
      </c>
      <c r="B252" s="890" t="s">
        <v>6274</v>
      </c>
      <c r="C252" s="891">
        <f>C253+C254</f>
        <v>270000</v>
      </c>
      <c r="D252" s="891">
        <v>-104853</v>
      </c>
      <c r="E252" s="891">
        <f t="shared" si="14"/>
        <v>165147</v>
      </c>
      <c r="F252" s="891">
        <v>164771</v>
      </c>
      <c r="G252" s="891">
        <v>164771</v>
      </c>
      <c r="H252" s="891">
        <f t="shared" si="15"/>
        <v>376</v>
      </c>
      <c r="I252" s="916">
        <f t="shared" si="13"/>
        <v>0.99772324050694228</v>
      </c>
      <c r="J252" s="909"/>
      <c r="K252" s="909"/>
      <c r="L252" s="909"/>
      <c r="M252" s="909"/>
      <c r="N252" s="909"/>
      <c r="O252" s="909"/>
    </row>
    <row r="253" spans="1:15" s="11" customFormat="1" ht="17.25" customHeight="1" x14ac:dyDescent="0.2">
      <c r="A253" s="919">
        <v>37101</v>
      </c>
      <c r="B253" s="892" t="s">
        <v>6274</v>
      </c>
      <c r="C253" s="893">
        <f>'[4]Por organismos DIC'!I256</f>
        <v>230000</v>
      </c>
      <c r="D253" s="893">
        <v>-64853</v>
      </c>
      <c r="E253" s="891">
        <f t="shared" si="14"/>
        <v>165147</v>
      </c>
      <c r="F253" s="893">
        <v>164771</v>
      </c>
      <c r="G253" s="893">
        <v>164771</v>
      </c>
      <c r="H253" s="891">
        <f t="shared" si="15"/>
        <v>376</v>
      </c>
      <c r="I253" s="916">
        <f t="shared" si="13"/>
        <v>0.99772324050694228</v>
      </c>
      <c r="J253" s="909"/>
      <c r="K253" s="909"/>
      <c r="L253" s="909"/>
      <c r="M253" s="909"/>
      <c r="N253" s="909"/>
      <c r="O253" s="909"/>
    </row>
    <row r="254" spans="1:15" s="11" customFormat="1" ht="17.25" hidden="1" customHeight="1" x14ac:dyDescent="0.2">
      <c r="A254" s="919">
        <v>37104</v>
      </c>
      <c r="B254" s="892" t="s">
        <v>6275</v>
      </c>
      <c r="C254" s="893">
        <f>'[4]Por organismos DIC'!I257</f>
        <v>40000</v>
      </c>
      <c r="D254" s="893">
        <v>-40000</v>
      </c>
      <c r="E254" s="891">
        <f t="shared" si="14"/>
        <v>0</v>
      </c>
      <c r="F254" s="893">
        <v>0</v>
      </c>
      <c r="G254" s="893">
        <v>0</v>
      </c>
      <c r="H254" s="891">
        <f t="shared" si="15"/>
        <v>0</v>
      </c>
      <c r="I254" s="916" t="e">
        <f t="shared" si="13"/>
        <v>#DIV/0!</v>
      </c>
      <c r="J254" s="909"/>
      <c r="K254" s="909"/>
      <c r="L254" s="909"/>
      <c r="M254" s="909"/>
      <c r="N254" s="909"/>
      <c r="O254" s="909"/>
    </row>
    <row r="255" spans="1:15" s="11" customFormat="1" ht="17.25" customHeight="1" x14ac:dyDescent="0.2">
      <c r="A255" s="918">
        <v>372</v>
      </c>
      <c r="B255" s="890" t="s">
        <v>6276</v>
      </c>
      <c r="C255" s="891">
        <f>C256</f>
        <v>10000</v>
      </c>
      <c r="D255" s="891">
        <v>10</v>
      </c>
      <c r="E255" s="891">
        <f t="shared" si="14"/>
        <v>10010</v>
      </c>
      <c r="F255" s="891">
        <v>8509.85</v>
      </c>
      <c r="G255" s="891">
        <v>8509.85</v>
      </c>
      <c r="H255" s="891">
        <f t="shared" si="15"/>
        <v>1500.1499999999996</v>
      </c>
      <c r="I255" s="916">
        <f t="shared" si="13"/>
        <v>0.85013486513486514</v>
      </c>
      <c r="J255" s="909"/>
      <c r="K255" s="909"/>
      <c r="L255" s="909"/>
      <c r="M255" s="909"/>
      <c r="N255" s="909"/>
      <c r="O255" s="909"/>
    </row>
    <row r="256" spans="1:15" s="11" customFormat="1" ht="17.25" customHeight="1" x14ac:dyDescent="0.2">
      <c r="A256" s="919">
        <v>37201</v>
      </c>
      <c r="B256" s="892" t="s">
        <v>6276</v>
      </c>
      <c r="C256" s="893">
        <f>'[4]Por organismos DIC'!I259</f>
        <v>10000</v>
      </c>
      <c r="D256" s="893">
        <v>10</v>
      </c>
      <c r="E256" s="891">
        <f t="shared" si="14"/>
        <v>10010</v>
      </c>
      <c r="F256" s="893">
        <v>8509.85</v>
      </c>
      <c r="G256" s="893">
        <v>8509.85</v>
      </c>
      <c r="H256" s="891">
        <f t="shared" si="15"/>
        <v>1500.1499999999996</v>
      </c>
      <c r="I256" s="916">
        <f t="shared" si="13"/>
        <v>0.85013486513486514</v>
      </c>
      <c r="J256" s="909"/>
      <c r="K256" s="909"/>
      <c r="L256" s="909"/>
      <c r="M256" s="909"/>
      <c r="N256" s="909"/>
      <c r="O256" s="909"/>
    </row>
    <row r="257" spans="1:15" s="11" customFormat="1" ht="17.25" customHeight="1" x14ac:dyDescent="0.2">
      <c r="A257" s="918">
        <v>375</v>
      </c>
      <c r="B257" s="890" t="s">
        <v>6277</v>
      </c>
      <c r="C257" s="891">
        <f>C258+C259</f>
        <v>2321335.4539054283</v>
      </c>
      <c r="D257" s="891">
        <v>-459671.63000000006</v>
      </c>
      <c r="E257" s="891">
        <f t="shared" si="14"/>
        <v>1861663.8239054282</v>
      </c>
      <c r="F257" s="891">
        <v>1542023.4</v>
      </c>
      <c r="G257" s="891">
        <v>1540323.43</v>
      </c>
      <c r="H257" s="891">
        <f t="shared" si="15"/>
        <v>319640.42390542827</v>
      </c>
      <c r="I257" s="916">
        <f t="shared" si="13"/>
        <v>0.82830389686851114</v>
      </c>
      <c r="J257" s="909"/>
      <c r="K257" s="909"/>
      <c r="L257" s="909"/>
      <c r="M257" s="909"/>
      <c r="N257" s="909"/>
      <c r="O257" s="909"/>
    </row>
    <row r="258" spans="1:15" s="11" customFormat="1" ht="17.25" customHeight="1" x14ac:dyDescent="0.2">
      <c r="A258" s="919">
        <v>37501</v>
      </c>
      <c r="B258" s="892" t="s">
        <v>6277</v>
      </c>
      <c r="C258" s="893">
        <f>'[4]Por organismos DIC'!I261</f>
        <v>1564437.6326192059</v>
      </c>
      <c r="D258" s="893">
        <v>-266406.92000000004</v>
      </c>
      <c r="E258" s="891">
        <f t="shared" si="14"/>
        <v>1298030.7126192059</v>
      </c>
      <c r="F258" s="893">
        <v>1116023.3999999999</v>
      </c>
      <c r="G258" s="893">
        <v>1114323.43</v>
      </c>
      <c r="H258" s="891">
        <f t="shared" si="15"/>
        <v>182007.31261920603</v>
      </c>
      <c r="I258" s="916">
        <f t="shared" si="13"/>
        <v>0.85978196752221203</v>
      </c>
      <c r="J258" s="909"/>
      <c r="K258" s="909"/>
      <c r="L258" s="909"/>
      <c r="M258" s="909"/>
      <c r="N258" s="909"/>
      <c r="O258" s="909"/>
    </row>
    <row r="259" spans="1:15" s="11" customFormat="1" ht="17.25" customHeight="1" x14ac:dyDescent="0.2">
      <c r="A259" s="919">
        <v>37502</v>
      </c>
      <c r="B259" s="892" t="s">
        <v>6278</v>
      </c>
      <c r="C259" s="893">
        <f>'[4]Por organismos DIC'!I262</f>
        <v>756897.82128622255</v>
      </c>
      <c r="D259" s="893">
        <v>-193264.71000000002</v>
      </c>
      <c r="E259" s="891">
        <f t="shared" si="14"/>
        <v>563633.11128622247</v>
      </c>
      <c r="F259" s="893">
        <v>426000</v>
      </c>
      <c r="G259" s="893">
        <v>426000</v>
      </c>
      <c r="H259" s="891">
        <f t="shared" si="15"/>
        <v>137633.11128622247</v>
      </c>
      <c r="I259" s="916">
        <f t="shared" si="13"/>
        <v>0.75581081286700691</v>
      </c>
      <c r="J259" s="909"/>
      <c r="K259" s="909"/>
      <c r="L259" s="909"/>
      <c r="M259" s="909"/>
      <c r="N259" s="909"/>
      <c r="O259" s="909"/>
    </row>
    <row r="260" spans="1:15" s="11" customFormat="1" ht="17.25" customHeight="1" x14ac:dyDescent="0.2">
      <c r="A260" s="918">
        <v>376</v>
      </c>
      <c r="B260" s="890" t="s">
        <v>6279</v>
      </c>
      <c r="C260" s="891">
        <f>C261</f>
        <v>60000</v>
      </c>
      <c r="D260" s="891">
        <v>-34102</v>
      </c>
      <c r="E260" s="891">
        <f t="shared" si="14"/>
        <v>25898</v>
      </c>
      <c r="F260" s="891">
        <v>25897.66</v>
      </c>
      <c r="G260" s="891">
        <v>25897.66</v>
      </c>
      <c r="H260" s="891">
        <f t="shared" si="15"/>
        <v>0.34000000000014552</v>
      </c>
      <c r="I260" s="916">
        <f t="shared" si="13"/>
        <v>0.9999868715730944</v>
      </c>
      <c r="J260" s="909"/>
      <c r="K260" s="909"/>
      <c r="L260" s="909"/>
      <c r="M260" s="909"/>
      <c r="N260" s="909"/>
      <c r="O260" s="909"/>
    </row>
    <row r="261" spans="1:15" s="11" customFormat="1" ht="17.25" customHeight="1" x14ac:dyDescent="0.2">
      <c r="A261" s="919">
        <v>37601</v>
      </c>
      <c r="B261" s="892" t="s">
        <v>6279</v>
      </c>
      <c r="C261" s="893">
        <f>'[4]Por organismos DIC'!I264</f>
        <v>60000</v>
      </c>
      <c r="D261" s="893">
        <v>-34102</v>
      </c>
      <c r="E261" s="891">
        <f t="shared" si="14"/>
        <v>25898</v>
      </c>
      <c r="F261" s="893">
        <v>25897.66</v>
      </c>
      <c r="G261" s="893">
        <v>25897.66</v>
      </c>
      <c r="H261" s="891">
        <f t="shared" si="15"/>
        <v>0.34000000000014552</v>
      </c>
      <c r="I261" s="916">
        <f t="shared" si="13"/>
        <v>0.9999868715730944</v>
      </c>
      <c r="J261" s="909"/>
      <c r="K261" s="909"/>
      <c r="L261" s="909"/>
      <c r="M261" s="909"/>
      <c r="N261" s="909"/>
      <c r="O261" s="909"/>
    </row>
    <row r="262" spans="1:15" s="11" customFormat="1" ht="17.25" customHeight="1" x14ac:dyDescent="0.2">
      <c r="A262" s="918">
        <v>378</v>
      </c>
      <c r="B262" s="890" t="s">
        <v>6280</v>
      </c>
      <c r="C262" s="891">
        <f>C263</f>
        <v>2000</v>
      </c>
      <c r="D262" s="891">
        <v>800</v>
      </c>
      <c r="E262" s="891">
        <f t="shared" si="14"/>
        <v>2800</v>
      </c>
      <c r="F262" s="891">
        <v>2788.5</v>
      </c>
      <c r="G262" s="891">
        <v>2788.5</v>
      </c>
      <c r="H262" s="891">
        <f t="shared" si="15"/>
        <v>11.5</v>
      </c>
      <c r="I262" s="916">
        <f t="shared" si="13"/>
        <v>0.99589285714285714</v>
      </c>
      <c r="J262" s="909"/>
      <c r="K262" s="909"/>
      <c r="L262" s="909"/>
      <c r="M262" s="909"/>
      <c r="N262" s="909"/>
      <c r="O262" s="909"/>
    </row>
    <row r="263" spans="1:15" s="11" customFormat="1" ht="17.25" customHeight="1" x14ac:dyDescent="0.2">
      <c r="A263" s="919">
        <v>37801</v>
      </c>
      <c r="B263" s="892" t="s">
        <v>6280</v>
      </c>
      <c r="C263" s="893">
        <f>'[4]Por organismos DIC'!I266</f>
        <v>2000</v>
      </c>
      <c r="D263" s="893">
        <v>800</v>
      </c>
      <c r="E263" s="891">
        <f t="shared" si="14"/>
        <v>2800</v>
      </c>
      <c r="F263" s="893">
        <v>2788.5</v>
      </c>
      <c r="G263" s="893">
        <v>2788.5</v>
      </c>
      <c r="H263" s="891">
        <f t="shared" si="15"/>
        <v>11.5</v>
      </c>
      <c r="I263" s="916">
        <f t="shared" si="13"/>
        <v>0.99589285714285714</v>
      </c>
      <c r="J263" s="909"/>
      <c r="K263" s="909"/>
      <c r="L263" s="909"/>
      <c r="M263" s="909"/>
      <c r="N263" s="909"/>
      <c r="O263" s="909"/>
    </row>
    <row r="264" spans="1:15" s="11" customFormat="1" ht="17.25" customHeight="1" x14ac:dyDescent="0.2">
      <c r="A264" s="918">
        <v>379</v>
      </c>
      <c r="B264" s="890" t="s">
        <v>6281</v>
      </c>
      <c r="C264" s="891">
        <f>C265</f>
        <v>106639.32</v>
      </c>
      <c r="D264" s="891">
        <v>-46493.340000000004</v>
      </c>
      <c r="E264" s="891">
        <f t="shared" si="14"/>
        <v>60145.98</v>
      </c>
      <c r="F264" s="891">
        <v>55487</v>
      </c>
      <c r="G264" s="891">
        <v>55240.84</v>
      </c>
      <c r="H264" s="891">
        <f t="shared" si="15"/>
        <v>4658.9800000000032</v>
      </c>
      <c r="I264" s="916">
        <f t="shared" si="13"/>
        <v>0.92253879644159087</v>
      </c>
      <c r="J264" s="909"/>
      <c r="K264" s="909"/>
      <c r="L264" s="909"/>
      <c r="M264" s="909"/>
      <c r="N264" s="909"/>
      <c r="O264" s="909"/>
    </row>
    <row r="265" spans="1:15" s="11" customFormat="1" ht="17.25" customHeight="1" x14ac:dyDescent="0.2">
      <c r="A265" s="919">
        <v>37901</v>
      </c>
      <c r="B265" s="892" t="s">
        <v>6282</v>
      </c>
      <c r="C265" s="893">
        <f>'[4]Por organismos DIC'!I268</f>
        <v>106639.32</v>
      </c>
      <c r="D265" s="893">
        <v>-46493.340000000004</v>
      </c>
      <c r="E265" s="891">
        <f t="shared" si="14"/>
        <v>60145.98</v>
      </c>
      <c r="F265" s="893">
        <v>55487</v>
      </c>
      <c r="G265" s="893">
        <v>55240.84</v>
      </c>
      <c r="H265" s="891">
        <f t="shared" si="15"/>
        <v>4658.9800000000032</v>
      </c>
      <c r="I265" s="916">
        <f t="shared" si="13"/>
        <v>0.92253879644159087</v>
      </c>
      <c r="J265" s="909"/>
      <c r="K265" s="909"/>
      <c r="L265" s="909"/>
      <c r="M265" s="909"/>
      <c r="N265" s="909"/>
      <c r="O265" s="909"/>
    </row>
    <row r="266" spans="1:15" s="11" customFormat="1" ht="17.25" customHeight="1" x14ac:dyDescent="0.2">
      <c r="A266" s="917">
        <v>3800</v>
      </c>
      <c r="B266" s="890" t="s">
        <v>6283</v>
      </c>
      <c r="C266" s="891">
        <f>C267+C269+C271+C273</f>
        <v>92700</v>
      </c>
      <c r="D266" s="891">
        <v>658592.99</v>
      </c>
      <c r="E266" s="891">
        <f t="shared" si="14"/>
        <v>751292.99</v>
      </c>
      <c r="F266" s="891">
        <v>749934.99</v>
      </c>
      <c r="G266" s="891">
        <v>749934.99</v>
      </c>
      <c r="H266" s="891">
        <f t="shared" si="15"/>
        <v>1358</v>
      </c>
      <c r="I266" s="916">
        <f t="shared" si="13"/>
        <v>0.99819244952624941</v>
      </c>
      <c r="J266" s="909"/>
      <c r="K266" s="909"/>
      <c r="L266" s="909"/>
      <c r="M266" s="909"/>
      <c r="N266" s="909"/>
      <c r="O266" s="909"/>
    </row>
    <row r="267" spans="1:15" s="11" customFormat="1" ht="17.25" customHeight="1" x14ac:dyDescent="0.2">
      <c r="A267" s="918">
        <v>381</v>
      </c>
      <c r="B267" s="890" t="s">
        <v>6284</v>
      </c>
      <c r="C267" s="891">
        <f>C268</f>
        <v>500</v>
      </c>
      <c r="D267" s="891">
        <v>0</v>
      </c>
      <c r="E267" s="891">
        <f t="shared" si="14"/>
        <v>500</v>
      </c>
      <c r="F267" s="891">
        <v>0</v>
      </c>
      <c r="G267" s="891">
        <v>0</v>
      </c>
      <c r="H267" s="891">
        <f t="shared" si="15"/>
        <v>500</v>
      </c>
      <c r="I267" s="916">
        <f t="shared" si="13"/>
        <v>0</v>
      </c>
      <c r="J267" s="909"/>
      <c r="K267" s="909"/>
      <c r="L267" s="909"/>
      <c r="M267" s="909"/>
      <c r="N267" s="909"/>
      <c r="O267" s="909"/>
    </row>
    <row r="268" spans="1:15" s="11" customFormat="1" ht="17.25" customHeight="1" x14ac:dyDescent="0.2">
      <c r="A268" s="919">
        <v>38101</v>
      </c>
      <c r="B268" s="892" t="s">
        <v>6284</v>
      </c>
      <c r="C268" s="893">
        <f>'[4]Por organismos DIC'!I271</f>
        <v>500</v>
      </c>
      <c r="D268" s="893">
        <v>0</v>
      </c>
      <c r="E268" s="891">
        <f t="shared" si="14"/>
        <v>500</v>
      </c>
      <c r="F268" s="893">
        <v>0</v>
      </c>
      <c r="G268" s="893">
        <v>0</v>
      </c>
      <c r="H268" s="891">
        <f t="shared" si="15"/>
        <v>500</v>
      </c>
      <c r="I268" s="916">
        <f t="shared" si="13"/>
        <v>0</v>
      </c>
      <c r="J268" s="909"/>
      <c r="K268" s="909"/>
      <c r="L268" s="909"/>
      <c r="M268" s="909"/>
      <c r="N268" s="909"/>
      <c r="O268" s="909"/>
    </row>
    <row r="269" spans="1:15" s="11" customFormat="1" ht="17.25" customHeight="1" x14ac:dyDescent="0.2">
      <c r="A269" s="918">
        <v>382</v>
      </c>
      <c r="B269" s="890" t="s">
        <v>6285</v>
      </c>
      <c r="C269" s="891">
        <f>C270</f>
        <v>0</v>
      </c>
      <c r="D269" s="891">
        <v>42732.15</v>
      </c>
      <c r="E269" s="891">
        <f t="shared" si="14"/>
        <v>42732.15</v>
      </c>
      <c r="F269" s="891">
        <v>42732.15</v>
      </c>
      <c r="G269" s="891">
        <v>42732.15</v>
      </c>
      <c r="H269" s="891">
        <f t="shared" si="15"/>
        <v>0</v>
      </c>
      <c r="I269" s="916">
        <f t="shared" ref="I269:I334" si="16">+F269/E269</f>
        <v>1</v>
      </c>
      <c r="J269" s="909"/>
      <c r="K269" s="909"/>
      <c r="L269" s="909"/>
      <c r="M269" s="909"/>
      <c r="N269" s="909"/>
      <c r="O269" s="909"/>
    </row>
    <row r="270" spans="1:15" s="11" customFormat="1" ht="17.25" customHeight="1" x14ac:dyDescent="0.2">
      <c r="A270" s="919">
        <v>38201</v>
      </c>
      <c r="B270" s="892" t="s">
        <v>6285</v>
      </c>
      <c r="C270" s="893">
        <f>'[4]Por organismos DIC'!I273</f>
        <v>0</v>
      </c>
      <c r="D270" s="893">
        <v>42732.15</v>
      </c>
      <c r="E270" s="891">
        <f t="shared" si="14"/>
        <v>42732.15</v>
      </c>
      <c r="F270" s="893">
        <v>42732.15</v>
      </c>
      <c r="G270" s="893">
        <v>42732.15</v>
      </c>
      <c r="H270" s="891">
        <f t="shared" si="15"/>
        <v>0</v>
      </c>
      <c r="I270" s="916">
        <f t="shared" si="16"/>
        <v>1</v>
      </c>
      <c r="J270" s="909"/>
      <c r="K270" s="909"/>
      <c r="L270" s="909"/>
      <c r="M270" s="909"/>
      <c r="N270" s="909"/>
      <c r="O270" s="909"/>
    </row>
    <row r="271" spans="1:15" s="11" customFormat="1" ht="17.25" customHeight="1" x14ac:dyDescent="0.2">
      <c r="A271" s="918">
        <v>383</v>
      </c>
      <c r="B271" s="890" t="s">
        <v>6286</v>
      </c>
      <c r="C271" s="891">
        <f>C272</f>
        <v>92200</v>
      </c>
      <c r="D271" s="891">
        <v>615860.84</v>
      </c>
      <c r="E271" s="891">
        <f t="shared" si="14"/>
        <v>708060.84</v>
      </c>
      <c r="F271" s="891">
        <v>707202.84</v>
      </c>
      <c r="G271" s="891">
        <v>707202.84</v>
      </c>
      <c r="H271" s="891">
        <f t="shared" si="15"/>
        <v>858</v>
      </c>
      <c r="I271" s="916">
        <f t="shared" si="16"/>
        <v>0.99878823972245101</v>
      </c>
      <c r="J271" s="909"/>
      <c r="K271" s="909"/>
      <c r="L271" s="909"/>
      <c r="M271" s="909"/>
      <c r="N271" s="909"/>
      <c r="O271" s="909"/>
    </row>
    <row r="272" spans="1:15" s="11" customFormat="1" ht="17.25" customHeight="1" x14ac:dyDescent="0.2">
      <c r="A272" s="919">
        <v>38301</v>
      </c>
      <c r="B272" s="892" t="s">
        <v>6286</v>
      </c>
      <c r="C272" s="893">
        <f>'[4]Por organismos DIC'!I275</f>
        <v>92200</v>
      </c>
      <c r="D272" s="893">
        <v>615860.84</v>
      </c>
      <c r="E272" s="891">
        <f t="shared" si="14"/>
        <v>708060.84</v>
      </c>
      <c r="F272" s="893">
        <v>707202.84</v>
      </c>
      <c r="G272" s="893">
        <v>707202.84</v>
      </c>
      <c r="H272" s="891">
        <f t="shared" si="15"/>
        <v>858</v>
      </c>
      <c r="I272" s="916">
        <f t="shared" si="16"/>
        <v>0.99878823972245101</v>
      </c>
      <c r="J272" s="909"/>
      <c r="K272" s="909"/>
      <c r="L272" s="909"/>
      <c r="M272" s="909"/>
      <c r="N272" s="909"/>
      <c r="O272" s="909"/>
    </row>
    <row r="273" spans="1:15" s="11" customFormat="1" ht="17.25" hidden="1" customHeight="1" x14ac:dyDescent="0.2">
      <c r="A273" s="918">
        <v>385</v>
      </c>
      <c r="B273" s="890" t="s">
        <v>6287</v>
      </c>
      <c r="C273" s="891">
        <f>C274</f>
        <v>0</v>
      </c>
      <c r="D273" s="891">
        <v>0</v>
      </c>
      <c r="E273" s="891">
        <f t="shared" si="14"/>
        <v>0</v>
      </c>
      <c r="F273" s="891">
        <v>0</v>
      </c>
      <c r="G273" s="891">
        <v>0</v>
      </c>
      <c r="H273" s="891">
        <f t="shared" si="15"/>
        <v>0</v>
      </c>
      <c r="I273" s="916" t="e">
        <f t="shared" si="16"/>
        <v>#DIV/0!</v>
      </c>
      <c r="J273" s="909"/>
      <c r="K273" s="909"/>
      <c r="L273" s="909"/>
      <c r="M273" s="909"/>
      <c r="N273" s="909"/>
      <c r="O273" s="909"/>
    </row>
    <row r="274" spans="1:15" s="11" customFormat="1" ht="17.25" hidden="1" customHeight="1" x14ac:dyDescent="0.2">
      <c r="A274" s="919">
        <v>38501</v>
      </c>
      <c r="B274" s="892" t="s">
        <v>6288</v>
      </c>
      <c r="C274" s="893">
        <f>'[4]Por organismos DIC'!I277</f>
        <v>0</v>
      </c>
      <c r="D274" s="893">
        <v>0</v>
      </c>
      <c r="E274" s="891">
        <f t="shared" si="14"/>
        <v>0</v>
      </c>
      <c r="F274" s="893">
        <v>0</v>
      </c>
      <c r="G274" s="893">
        <v>0</v>
      </c>
      <c r="H274" s="891">
        <f t="shared" si="15"/>
        <v>0</v>
      </c>
      <c r="I274" s="916" t="e">
        <f t="shared" si="16"/>
        <v>#DIV/0!</v>
      </c>
      <c r="J274" s="909"/>
      <c r="K274" s="909"/>
      <c r="L274" s="909"/>
      <c r="M274" s="909"/>
      <c r="N274" s="909"/>
      <c r="O274" s="909"/>
    </row>
    <row r="275" spans="1:15" s="11" customFormat="1" ht="17.25" customHeight="1" x14ac:dyDescent="0.2">
      <c r="A275" s="917">
        <v>3900</v>
      </c>
      <c r="B275" s="890" t="s">
        <v>6289</v>
      </c>
      <c r="C275" s="891">
        <f>C276+C278+C280+C282</f>
        <v>40142731.44675497</v>
      </c>
      <c r="D275" s="891">
        <v>19401242.430000003</v>
      </c>
      <c r="E275" s="891">
        <f t="shared" si="14"/>
        <v>59543973.876754969</v>
      </c>
      <c r="F275" s="891">
        <v>23656216.479999997</v>
      </c>
      <c r="G275" s="891">
        <v>5362352.43</v>
      </c>
      <c r="H275" s="891">
        <f t="shared" si="15"/>
        <v>35887757.396754973</v>
      </c>
      <c r="I275" s="916">
        <f t="shared" si="16"/>
        <v>0.39728985050551036</v>
      </c>
      <c r="J275" s="909"/>
      <c r="K275" s="909"/>
      <c r="L275" s="909"/>
      <c r="M275" s="909"/>
      <c r="N275" s="909"/>
      <c r="O275" s="909"/>
    </row>
    <row r="276" spans="1:15" s="11" customFormat="1" ht="17.25" customHeight="1" x14ac:dyDescent="0.2">
      <c r="A276" s="918">
        <v>392</v>
      </c>
      <c r="B276" s="890" t="s">
        <v>6290</v>
      </c>
      <c r="C276" s="891">
        <f>C277</f>
        <v>35125000.001000002</v>
      </c>
      <c r="D276" s="891">
        <v>17819106.950000003</v>
      </c>
      <c r="E276" s="891">
        <f t="shared" si="14"/>
        <v>52944106.951000005</v>
      </c>
      <c r="F276" s="891">
        <v>17672066.359999999</v>
      </c>
      <c r="G276" s="891">
        <v>276300</v>
      </c>
      <c r="H276" s="891">
        <f t="shared" si="15"/>
        <v>35272040.591000006</v>
      </c>
      <c r="I276" s="916">
        <f t="shared" si="16"/>
        <v>0.33378722161383462</v>
      </c>
      <c r="J276" s="909"/>
      <c r="K276" s="909"/>
      <c r="L276" s="909"/>
      <c r="M276" s="909"/>
      <c r="N276" s="909"/>
      <c r="O276" s="909"/>
    </row>
    <row r="277" spans="1:15" s="11" customFormat="1" ht="17.25" customHeight="1" x14ac:dyDescent="0.2">
      <c r="A277" s="919">
        <v>39201</v>
      </c>
      <c r="B277" s="892" t="s">
        <v>6290</v>
      </c>
      <c r="C277" s="893">
        <f>'[4]Por organismos DIC'!I280</f>
        <v>35125000.001000002</v>
      </c>
      <c r="D277" s="893">
        <v>17819106.950000003</v>
      </c>
      <c r="E277" s="891">
        <f t="shared" si="14"/>
        <v>52944106.951000005</v>
      </c>
      <c r="F277" s="893">
        <v>17672066.359999999</v>
      </c>
      <c r="G277" s="893">
        <v>276300</v>
      </c>
      <c r="H277" s="891">
        <f t="shared" si="15"/>
        <v>35272040.591000006</v>
      </c>
      <c r="I277" s="916">
        <f t="shared" si="16"/>
        <v>0.33378722161383462</v>
      </c>
      <c r="J277" s="909"/>
      <c r="K277" s="909"/>
      <c r="L277" s="909"/>
      <c r="M277" s="909"/>
      <c r="N277" s="909"/>
      <c r="O277" s="909"/>
    </row>
    <row r="278" spans="1:15" s="11" customFormat="1" ht="17.25" customHeight="1" x14ac:dyDescent="0.2">
      <c r="A278" s="918">
        <v>395</v>
      </c>
      <c r="B278" s="890" t="s">
        <v>6291</v>
      </c>
      <c r="C278" s="891">
        <f>C279</f>
        <v>1423084.9583120574</v>
      </c>
      <c r="D278" s="891">
        <v>-517880.62</v>
      </c>
      <c r="E278" s="891">
        <f t="shared" si="14"/>
        <v>905204.33831205743</v>
      </c>
      <c r="F278" s="891">
        <v>488120.06</v>
      </c>
      <c r="G278" s="891">
        <v>400014.99</v>
      </c>
      <c r="H278" s="891">
        <f t="shared" si="15"/>
        <v>417084.27831205743</v>
      </c>
      <c r="I278" s="916">
        <f t="shared" si="16"/>
        <v>0.5392374288773315</v>
      </c>
      <c r="J278" s="909"/>
      <c r="K278" s="909"/>
      <c r="L278" s="909"/>
      <c r="M278" s="909"/>
      <c r="N278" s="909"/>
      <c r="O278" s="909"/>
    </row>
    <row r="279" spans="1:15" s="11" customFormat="1" ht="17.25" customHeight="1" x14ac:dyDescent="0.2">
      <c r="A279" s="919">
        <v>39501</v>
      </c>
      <c r="B279" s="892" t="s">
        <v>6291</v>
      </c>
      <c r="C279" s="893">
        <f>'[4]Por organismos DIC'!I282</f>
        <v>1423084.9583120574</v>
      </c>
      <c r="D279" s="893">
        <v>-517880.62</v>
      </c>
      <c r="E279" s="891">
        <f t="shared" si="14"/>
        <v>905204.33831205743</v>
      </c>
      <c r="F279" s="893">
        <v>488120.06</v>
      </c>
      <c r="G279" s="893">
        <v>400014.99</v>
      </c>
      <c r="H279" s="891">
        <f t="shared" si="15"/>
        <v>417084.27831205743</v>
      </c>
      <c r="I279" s="916">
        <f t="shared" si="16"/>
        <v>0.5392374288773315</v>
      </c>
      <c r="J279" s="909"/>
      <c r="K279" s="909"/>
      <c r="L279" s="909"/>
      <c r="M279" s="909"/>
      <c r="N279" s="909"/>
      <c r="O279" s="909"/>
    </row>
    <row r="280" spans="1:15" s="11" customFormat="1" ht="17.25" customHeight="1" x14ac:dyDescent="0.2">
      <c r="A280" s="918">
        <v>396</v>
      </c>
      <c r="B280" s="890" t="s">
        <v>6292</v>
      </c>
      <c r="C280" s="891">
        <f>C281</f>
        <v>9450.7823489051589</v>
      </c>
      <c r="D280" s="891">
        <v>0</v>
      </c>
      <c r="E280" s="891">
        <f t="shared" si="14"/>
        <v>9450.7823489051589</v>
      </c>
      <c r="F280" s="891">
        <v>0</v>
      </c>
      <c r="G280" s="891">
        <v>0</v>
      </c>
      <c r="H280" s="891">
        <f t="shared" si="15"/>
        <v>9450.7823489051589</v>
      </c>
      <c r="I280" s="916">
        <f t="shared" si="16"/>
        <v>0</v>
      </c>
      <c r="J280" s="909"/>
      <c r="K280" s="909"/>
      <c r="L280" s="909"/>
      <c r="M280" s="909"/>
      <c r="N280" s="909"/>
      <c r="O280" s="909"/>
    </row>
    <row r="281" spans="1:15" s="11" customFormat="1" ht="17.25" customHeight="1" x14ac:dyDescent="0.2">
      <c r="A281" s="919">
        <v>39601</v>
      </c>
      <c r="B281" s="892" t="s">
        <v>6292</v>
      </c>
      <c r="C281" s="893">
        <f>'[4]Por organismos DIC'!I284</f>
        <v>9450.7823489051589</v>
      </c>
      <c r="D281" s="893">
        <v>0</v>
      </c>
      <c r="E281" s="891">
        <f t="shared" si="14"/>
        <v>9450.7823489051589</v>
      </c>
      <c r="F281" s="893">
        <v>0</v>
      </c>
      <c r="G281" s="893">
        <v>0</v>
      </c>
      <c r="H281" s="891">
        <f t="shared" si="15"/>
        <v>9450.7823489051589</v>
      </c>
      <c r="I281" s="916">
        <f t="shared" si="16"/>
        <v>0</v>
      </c>
      <c r="J281" s="909"/>
      <c r="K281" s="909"/>
      <c r="L281" s="909"/>
      <c r="M281" s="909"/>
      <c r="N281" s="909"/>
      <c r="O281" s="909"/>
    </row>
    <row r="282" spans="1:15" s="11" customFormat="1" ht="17.25" customHeight="1" x14ac:dyDescent="0.2">
      <c r="A282" s="918">
        <v>398</v>
      </c>
      <c r="B282" s="890" t="s">
        <v>6293</v>
      </c>
      <c r="C282" s="891">
        <f>C283</f>
        <v>3585195.7050940003</v>
      </c>
      <c r="D282" s="891">
        <v>2100016.1</v>
      </c>
      <c r="E282" s="891">
        <f t="shared" si="14"/>
        <v>5685211.805094</v>
      </c>
      <c r="F282" s="891">
        <v>5496030.0599999996</v>
      </c>
      <c r="G282" s="891">
        <v>4686037.4399999995</v>
      </c>
      <c r="H282" s="891">
        <f t="shared" si="15"/>
        <v>189181.74509400036</v>
      </c>
      <c r="I282" s="916">
        <f t="shared" si="16"/>
        <v>0.96672388794301523</v>
      </c>
      <c r="J282" s="909"/>
      <c r="K282" s="909"/>
      <c r="L282" s="909"/>
      <c r="M282" s="909"/>
      <c r="N282" s="909"/>
      <c r="O282" s="909"/>
    </row>
    <row r="283" spans="1:15" s="11" customFormat="1" ht="17.25" customHeight="1" x14ac:dyDescent="0.2">
      <c r="A283" s="919">
        <v>39801</v>
      </c>
      <c r="B283" s="892" t="s">
        <v>6294</v>
      </c>
      <c r="C283" s="893">
        <f>'[4]Por organismos DIC'!I286</f>
        <v>3585195.7050940003</v>
      </c>
      <c r="D283" s="893">
        <v>2100016.1</v>
      </c>
      <c r="E283" s="891">
        <f t="shared" si="14"/>
        <v>5685211.805094</v>
      </c>
      <c r="F283" s="893">
        <v>5496030.0599999996</v>
      </c>
      <c r="G283" s="893">
        <v>4686037.4399999995</v>
      </c>
      <c r="H283" s="891">
        <f t="shared" si="15"/>
        <v>189181.74509400036</v>
      </c>
      <c r="I283" s="916">
        <f t="shared" si="16"/>
        <v>0.96672388794301523</v>
      </c>
      <c r="J283" s="909"/>
      <c r="K283" s="909"/>
      <c r="L283" s="909"/>
      <c r="M283" s="909"/>
      <c r="N283" s="909"/>
      <c r="O283" s="909"/>
    </row>
    <row r="284" spans="1:15" s="11" customFormat="1" ht="12.75" x14ac:dyDescent="0.2">
      <c r="A284" s="919"/>
      <c r="B284" s="892"/>
      <c r="C284" s="893"/>
      <c r="D284" s="893"/>
      <c r="E284" s="891"/>
      <c r="F284" s="893"/>
      <c r="G284" s="893">
        <v>0</v>
      </c>
      <c r="H284" s="891">
        <f t="shared" si="15"/>
        <v>0</v>
      </c>
      <c r="I284" s="916"/>
      <c r="J284" s="909"/>
      <c r="K284" s="909"/>
      <c r="L284" s="909"/>
      <c r="M284" s="909"/>
      <c r="N284" s="909"/>
      <c r="O284" s="909"/>
    </row>
    <row r="285" spans="1:15" s="11" customFormat="1" ht="21.75" customHeight="1" x14ac:dyDescent="0.2">
      <c r="A285" s="915">
        <v>4000</v>
      </c>
      <c r="B285" s="890" t="s">
        <v>6295</v>
      </c>
      <c r="C285" s="891">
        <f>C286+C291+C294+C296+C299</f>
        <v>0</v>
      </c>
      <c r="D285" s="891">
        <v>0</v>
      </c>
      <c r="E285" s="891">
        <f t="shared" si="14"/>
        <v>0</v>
      </c>
      <c r="F285" s="891">
        <v>0</v>
      </c>
      <c r="G285" s="891">
        <v>0</v>
      </c>
      <c r="H285" s="891">
        <f t="shared" si="15"/>
        <v>0</v>
      </c>
      <c r="I285" s="916"/>
      <c r="J285" s="909"/>
      <c r="K285" s="909"/>
      <c r="L285" s="909"/>
      <c r="M285" s="909"/>
      <c r="N285" s="909"/>
      <c r="O285" s="909"/>
    </row>
    <row r="286" spans="1:15" s="11" customFormat="1" ht="17.25" hidden="1" customHeight="1" x14ac:dyDescent="0.2">
      <c r="A286" s="917">
        <v>4100</v>
      </c>
      <c r="B286" s="890" t="s">
        <v>6296</v>
      </c>
      <c r="C286" s="891">
        <f>C287+C289</f>
        <v>0</v>
      </c>
      <c r="D286" s="891">
        <v>0</v>
      </c>
      <c r="E286" s="891">
        <f t="shared" si="14"/>
        <v>0</v>
      </c>
      <c r="F286" s="891">
        <v>0</v>
      </c>
      <c r="G286" s="891">
        <v>0</v>
      </c>
      <c r="H286" s="891">
        <f t="shared" si="15"/>
        <v>0</v>
      </c>
      <c r="I286" s="916" t="e">
        <f t="shared" si="16"/>
        <v>#DIV/0!</v>
      </c>
      <c r="J286" s="909"/>
      <c r="K286" s="909"/>
      <c r="L286" s="909"/>
      <c r="M286" s="909"/>
      <c r="N286" s="909"/>
      <c r="O286" s="909"/>
    </row>
    <row r="287" spans="1:15" s="11" customFormat="1" ht="17.25" hidden="1" customHeight="1" x14ac:dyDescent="0.2">
      <c r="A287" s="918">
        <v>411</v>
      </c>
      <c r="B287" s="890" t="s">
        <v>6297</v>
      </c>
      <c r="C287" s="891">
        <f>C288</f>
        <v>0</v>
      </c>
      <c r="D287" s="891">
        <v>0</v>
      </c>
      <c r="E287" s="891">
        <f t="shared" si="14"/>
        <v>0</v>
      </c>
      <c r="F287" s="891">
        <v>0</v>
      </c>
      <c r="G287" s="891">
        <v>0</v>
      </c>
      <c r="H287" s="891">
        <f t="shared" si="15"/>
        <v>0</v>
      </c>
      <c r="I287" s="916" t="e">
        <f t="shared" si="16"/>
        <v>#DIV/0!</v>
      </c>
      <c r="J287" s="909"/>
      <c r="K287" s="909"/>
      <c r="L287" s="909"/>
      <c r="M287" s="909"/>
      <c r="N287" s="909"/>
      <c r="O287" s="909"/>
    </row>
    <row r="288" spans="1:15" s="11" customFormat="1" ht="17.25" hidden="1" customHeight="1" x14ac:dyDescent="0.2">
      <c r="A288" s="919">
        <v>41104</v>
      </c>
      <c r="B288" s="892" t="s">
        <v>6298</v>
      </c>
      <c r="C288" s="891">
        <v>0</v>
      </c>
      <c r="D288" s="891">
        <v>0</v>
      </c>
      <c r="E288" s="891">
        <f t="shared" si="14"/>
        <v>0</v>
      </c>
      <c r="F288" s="891">
        <v>0</v>
      </c>
      <c r="G288" s="891">
        <v>0</v>
      </c>
      <c r="H288" s="891">
        <f t="shared" si="15"/>
        <v>0</v>
      </c>
      <c r="I288" s="916" t="e">
        <f t="shared" si="16"/>
        <v>#DIV/0!</v>
      </c>
      <c r="J288" s="909"/>
      <c r="K288" s="909"/>
      <c r="L288" s="909"/>
      <c r="M288" s="909"/>
      <c r="N288" s="909"/>
      <c r="O288" s="909"/>
    </row>
    <row r="289" spans="1:16" s="11" customFormat="1" ht="17.25" hidden="1" customHeight="1" x14ac:dyDescent="0.2">
      <c r="A289" s="918">
        <v>415</v>
      </c>
      <c r="B289" s="890" t="s">
        <v>6299</v>
      </c>
      <c r="C289" s="891">
        <f>C290</f>
        <v>0</v>
      </c>
      <c r="D289" s="891">
        <v>0</v>
      </c>
      <c r="E289" s="891">
        <f t="shared" si="14"/>
        <v>0</v>
      </c>
      <c r="F289" s="891">
        <v>0</v>
      </c>
      <c r="G289" s="891">
        <v>0</v>
      </c>
      <c r="H289" s="891">
        <f t="shared" si="15"/>
        <v>0</v>
      </c>
      <c r="I289" s="916" t="e">
        <f t="shared" si="16"/>
        <v>#DIV/0!</v>
      </c>
      <c r="J289" s="909"/>
      <c r="K289" s="909"/>
      <c r="L289" s="909"/>
      <c r="M289" s="909"/>
      <c r="N289" s="909"/>
      <c r="O289" s="909"/>
    </row>
    <row r="290" spans="1:16" s="11" customFormat="1" ht="17.25" hidden="1" customHeight="1" x14ac:dyDescent="0.2">
      <c r="A290" s="919">
        <v>41502</v>
      </c>
      <c r="B290" s="892" t="s">
        <v>6300</v>
      </c>
      <c r="C290" s="891">
        <v>0</v>
      </c>
      <c r="D290" s="891">
        <v>0</v>
      </c>
      <c r="E290" s="891">
        <f t="shared" si="14"/>
        <v>0</v>
      </c>
      <c r="F290" s="891">
        <v>0</v>
      </c>
      <c r="G290" s="891">
        <v>0</v>
      </c>
      <c r="H290" s="891">
        <f t="shared" si="15"/>
        <v>0</v>
      </c>
      <c r="I290" s="916" t="e">
        <f t="shared" si="16"/>
        <v>#DIV/0!</v>
      </c>
      <c r="J290" s="909"/>
      <c r="K290" s="909"/>
      <c r="L290" s="909"/>
      <c r="M290" s="909"/>
      <c r="N290" s="909"/>
      <c r="O290" s="909"/>
    </row>
    <row r="291" spans="1:16" s="11" customFormat="1" ht="17.25" hidden="1" customHeight="1" x14ac:dyDescent="0.2">
      <c r="A291" s="917">
        <v>4200</v>
      </c>
      <c r="B291" s="890" t="s">
        <v>6301</v>
      </c>
      <c r="C291" s="891">
        <f>C292</f>
        <v>0</v>
      </c>
      <c r="D291" s="891">
        <v>0</v>
      </c>
      <c r="E291" s="891">
        <f t="shared" si="14"/>
        <v>0</v>
      </c>
      <c r="F291" s="891">
        <v>0</v>
      </c>
      <c r="G291" s="891">
        <v>0</v>
      </c>
      <c r="H291" s="891">
        <f t="shared" si="15"/>
        <v>0</v>
      </c>
      <c r="I291" s="916" t="e">
        <f t="shared" si="16"/>
        <v>#DIV/0!</v>
      </c>
      <c r="J291" s="909"/>
      <c r="K291" s="909"/>
      <c r="L291" s="909"/>
      <c r="M291" s="909"/>
      <c r="N291" s="909"/>
      <c r="O291" s="909"/>
    </row>
    <row r="292" spans="1:16" s="11" customFormat="1" ht="17.25" hidden="1" customHeight="1" x14ac:dyDescent="0.2">
      <c r="A292" s="918">
        <v>424</v>
      </c>
      <c r="B292" s="890" t="s">
        <v>6302</v>
      </c>
      <c r="C292" s="891">
        <f>C293</f>
        <v>0</v>
      </c>
      <c r="D292" s="891">
        <v>0</v>
      </c>
      <c r="E292" s="891">
        <f t="shared" si="14"/>
        <v>0</v>
      </c>
      <c r="F292" s="891">
        <v>0</v>
      </c>
      <c r="G292" s="891">
        <v>0</v>
      </c>
      <c r="H292" s="891">
        <f t="shared" si="15"/>
        <v>0</v>
      </c>
      <c r="I292" s="916" t="e">
        <f t="shared" si="16"/>
        <v>#DIV/0!</v>
      </c>
      <c r="J292" s="909"/>
      <c r="K292" s="909"/>
      <c r="L292" s="909"/>
      <c r="M292" s="909"/>
      <c r="N292" s="909"/>
      <c r="O292" s="909"/>
    </row>
    <row r="293" spans="1:16" s="11" customFormat="1" ht="17.25" hidden="1" customHeight="1" x14ac:dyDescent="0.2">
      <c r="A293" s="919">
        <v>42401</v>
      </c>
      <c r="B293" s="892" t="s">
        <v>6303</v>
      </c>
      <c r="C293" s="893">
        <v>0</v>
      </c>
      <c r="D293" s="893">
        <v>0</v>
      </c>
      <c r="E293" s="891">
        <f t="shared" si="14"/>
        <v>0</v>
      </c>
      <c r="F293" s="893">
        <v>0</v>
      </c>
      <c r="G293" s="893">
        <v>0</v>
      </c>
      <c r="H293" s="891">
        <f t="shared" si="15"/>
        <v>0</v>
      </c>
      <c r="I293" s="916" t="e">
        <f t="shared" si="16"/>
        <v>#DIV/0!</v>
      </c>
      <c r="J293" s="909"/>
      <c r="K293" s="909"/>
      <c r="L293" s="909"/>
      <c r="M293" s="909"/>
      <c r="N293" s="909"/>
      <c r="O293" s="909"/>
    </row>
    <row r="294" spans="1:16" s="11" customFormat="1" ht="17.25" hidden="1" customHeight="1" x14ac:dyDescent="0.2">
      <c r="A294" s="917">
        <v>4300</v>
      </c>
      <c r="B294" s="890" t="s">
        <v>6304</v>
      </c>
      <c r="C294" s="891">
        <f>C295</f>
        <v>0</v>
      </c>
      <c r="D294" s="891">
        <v>0</v>
      </c>
      <c r="E294" s="891">
        <f t="shared" si="14"/>
        <v>0</v>
      </c>
      <c r="F294" s="891">
        <v>0</v>
      </c>
      <c r="G294" s="891">
        <v>0</v>
      </c>
      <c r="H294" s="891">
        <f t="shared" si="15"/>
        <v>0</v>
      </c>
      <c r="I294" s="916" t="e">
        <f t="shared" si="16"/>
        <v>#DIV/0!</v>
      </c>
      <c r="J294" s="909"/>
      <c r="K294" s="909"/>
      <c r="L294" s="909"/>
      <c r="M294" s="909"/>
      <c r="N294" s="909"/>
      <c r="O294" s="909"/>
    </row>
    <row r="295" spans="1:16" s="11" customFormat="1" ht="17.25" hidden="1" customHeight="1" x14ac:dyDescent="0.2">
      <c r="A295" s="919">
        <v>43401</v>
      </c>
      <c r="B295" s="892" t="s">
        <v>6304</v>
      </c>
      <c r="C295" s="893">
        <v>0</v>
      </c>
      <c r="D295" s="893">
        <v>0</v>
      </c>
      <c r="E295" s="891">
        <f t="shared" si="14"/>
        <v>0</v>
      </c>
      <c r="F295" s="893">
        <v>0</v>
      </c>
      <c r="G295" s="893">
        <v>0</v>
      </c>
      <c r="H295" s="891">
        <f t="shared" si="15"/>
        <v>0</v>
      </c>
      <c r="I295" s="916" t="e">
        <f t="shared" si="16"/>
        <v>#DIV/0!</v>
      </c>
      <c r="J295" s="909"/>
      <c r="K295" s="909"/>
      <c r="L295" s="909"/>
      <c r="M295" s="909"/>
      <c r="N295" s="909"/>
      <c r="O295" s="909"/>
    </row>
    <row r="296" spans="1:16" s="11" customFormat="1" ht="17.25" hidden="1" customHeight="1" x14ac:dyDescent="0.2">
      <c r="A296" s="917">
        <v>4400</v>
      </c>
      <c r="B296" s="890" t="s">
        <v>6305</v>
      </c>
      <c r="C296" s="891">
        <f>C297</f>
        <v>0</v>
      </c>
      <c r="D296" s="891">
        <v>0</v>
      </c>
      <c r="E296" s="891">
        <f t="shared" si="14"/>
        <v>0</v>
      </c>
      <c r="F296" s="891">
        <v>0</v>
      </c>
      <c r="G296" s="891">
        <v>0</v>
      </c>
      <c r="H296" s="891">
        <f t="shared" si="15"/>
        <v>0</v>
      </c>
      <c r="I296" s="916" t="e">
        <f t="shared" si="16"/>
        <v>#DIV/0!</v>
      </c>
      <c r="J296" s="909"/>
      <c r="K296" s="909"/>
      <c r="L296" s="909"/>
      <c r="M296" s="909"/>
      <c r="N296" s="909"/>
      <c r="O296" s="909"/>
    </row>
    <row r="297" spans="1:16" s="11" customFormat="1" ht="17.25" hidden="1" customHeight="1" x14ac:dyDescent="0.2">
      <c r="A297" s="918">
        <v>442</v>
      </c>
      <c r="B297" s="890" t="s">
        <v>6306</v>
      </c>
      <c r="C297" s="891">
        <f>C298</f>
        <v>0</v>
      </c>
      <c r="D297" s="891">
        <v>0</v>
      </c>
      <c r="E297" s="891">
        <f t="shared" si="14"/>
        <v>0</v>
      </c>
      <c r="F297" s="891">
        <v>0</v>
      </c>
      <c r="G297" s="891">
        <v>0</v>
      </c>
      <c r="H297" s="891">
        <f t="shared" si="15"/>
        <v>0</v>
      </c>
      <c r="I297" s="916" t="e">
        <f t="shared" si="16"/>
        <v>#DIV/0!</v>
      </c>
      <c r="J297" s="909"/>
      <c r="K297" s="909"/>
      <c r="L297" s="909"/>
      <c r="M297" s="909"/>
      <c r="N297" s="909"/>
      <c r="O297" s="909"/>
    </row>
    <row r="298" spans="1:16" s="11" customFormat="1" ht="17.25" hidden="1" customHeight="1" x14ac:dyDescent="0.2">
      <c r="A298" s="919">
        <v>44204</v>
      </c>
      <c r="B298" s="892" t="s">
        <v>6307</v>
      </c>
      <c r="C298" s="891">
        <v>0</v>
      </c>
      <c r="D298" s="891">
        <v>0</v>
      </c>
      <c r="E298" s="891">
        <f t="shared" ref="E298:E372" si="17">+C298+D298</f>
        <v>0</v>
      </c>
      <c r="F298" s="891">
        <v>0</v>
      </c>
      <c r="G298" s="891">
        <v>0</v>
      </c>
      <c r="H298" s="891">
        <f t="shared" si="15"/>
        <v>0</v>
      </c>
      <c r="I298" s="916" t="e">
        <f t="shared" si="16"/>
        <v>#DIV/0!</v>
      </c>
      <c r="J298" s="909"/>
      <c r="K298" s="909"/>
      <c r="L298" s="909"/>
      <c r="M298" s="909"/>
      <c r="N298" s="909"/>
      <c r="O298" s="909"/>
    </row>
    <row r="299" spans="1:16" s="11" customFormat="1" ht="17.25" hidden="1" customHeight="1" x14ac:dyDescent="0.2">
      <c r="A299" s="917">
        <v>4800</v>
      </c>
      <c r="B299" s="890" t="s">
        <v>6308</v>
      </c>
      <c r="C299" s="891">
        <f>C300</f>
        <v>0</v>
      </c>
      <c r="D299" s="891">
        <v>0</v>
      </c>
      <c r="E299" s="891">
        <f t="shared" si="17"/>
        <v>0</v>
      </c>
      <c r="F299" s="891">
        <v>0</v>
      </c>
      <c r="G299" s="891">
        <v>0</v>
      </c>
      <c r="H299" s="891">
        <f>+E299-F299</f>
        <v>0</v>
      </c>
      <c r="I299" s="916" t="e">
        <f t="shared" si="16"/>
        <v>#DIV/0!</v>
      </c>
      <c r="J299" s="909"/>
      <c r="K299" s="909"/>
      <c r="L299" s="909"/>
      <c r="M299" s="909"/>
      <c r="N299" s="909"/>
      <c r="O299" s="909"/>
    </row>
    <row r="300" spans="1:16" s="11" customFormat="1" ht="17.25" hidden="1" customHeight="1" x14ac:dyDescent="0.2">
      <c r="A300" s="918">
        <v>481</v>
      </c>
      <c r="B300" s="890" t="s">
        <v>6309</v>
      </c>
      <c r="C300" s="891">
        <f>C301</f>
        <v>0</v>
      </c>
      <c r="D300" s="891">
        <v>0</v>
      </c>
      <c r="E300" s="891">
        <f t="shared" si="17"/>
        <v>0</v>
      </c>
      <c r="F300" s="891">
        <v>0</v>
      </c>
      <c r="G300" s="891">
        <v>0</v>
      </c>
      <c r="H300" s="891">
        <f>+E300-F300</f>
        <v>0</v>
      </c>
      <c r="I300" s="916" t="e">
        <f t="shared" si="16"/>
        <v>#DIV/0!</v>
      </c>
      <c r="J300" s="909"/>
      <c r="K300" s="909"/>
      <c r="L300" s="909"/>
      <c r="M300" s="909"/>
      <c r="N300" s="909"/>
      <c r="O300" s="909"/>
    </row>
    <row r="301" spans="1:16" s="11" customFormat="1" ht="12.75" hidden="1" x14ac:dyDescent="0.2">
      <c r="A301" s="919">
        <v>48101</v>
      </c>
      <c r="B301" s="892" t="s">
        <v>6309</v>
      </c>
      <c r="C301" s="893">
        <v>0</v>
      </c>
      <c r="D301" s="893">
        <v>0</v>
      </c>
      <c r="E301" s="891">
        <f t="shared" si="17"/>
        <v>0</v>
      </c>
      <c r="F301" s="893">
        <v>0</v>
      </c>
      <c r="G301" s="893">
        <v>0</v>
      </c>
      <c r="H301" s="891">
        <f>+E301-F301</f>
        <v>0</v>
      </c>
      <c r="I301" s="916" t="e">
        <f t="shared" si="16"/>
        <v>#DIV/0!</v>
      </c>
      <c r="J301" s="909"/>
      <c r="K301" s="909"/>
      <c r="L301" s="909"/>
      <c r="M301" s="909"/>
      <c r="N301" s="909"/>
      <c r="O301" s="909"/>
    </row>
    <row r="302" spans="1:16" s="11" customFormat="1" ht="12.75" x14ac:dyDescent="0.2">
      <c r="A302" s="919"/>
      <c r="B302" s="892"/>
      <c r="C302" s="893"/>
      <c r="D302" s="893"/>
      <c r="E302" s="891"/>
      <c r="F302" s="893"/>
      <c r="G302" s="893"/>
      <c r="H302" s="891">
        <f>+E302-F302</f>
        <v>0</v>
      </c>
      <c r="I302" s="916"/>
      <c r="J302" s="909"/>
      <c r="K302" s="909"/>
      <c r="L302" s="909"/>
      <c r="M302" s="909"/>
      <c r="N302" s="909"/>
      <c r="O302" s="909"/>
    </row>
    <row r="303" spans="1:16" s="11" customFormat="1" ht="17.25" customHeight="1" x14ac:dyDescent="0.2">
      <c r="A303" s="915">
        <v>5000</v>
      </c>
      <c r="B303" s="890" t="s">
        <v>6310</v>
      </c>
      <c r="C303" s="891">
        <f>C304+C313+C318+C323+C333+C350+C353+C330</f>
        <v>4296626.8851000005</v>
      </c>
      <c r="D303" s="891">
        <v>20204593.010000002</v>
      </c>
      <c r="E303" s="891">
        <f t="shared" si="17"/>
        <v>24501219.895100001</v>
      </c>
      <c r="F303" s="891">
        <v>24334825.75</v>
      </c>
      <c r="G303" s="891">
        <v>20623712.390000001</v>
      </c>
      <c r="H303" s="891">
        <f>+E303-F303</f>
        <v>166394.14510000125</v>
      </c>
      <c r="I303" s="916">
        <f t="shared" si="16"/>
        <v>0.99320874038874785</v>
      </c>
      <c r="J303" s="909">
        <v>4296626.8851000005</v>
      </c>
      <c r="K303" s="909">
        <v>20204593.010000002</v>
      </c>
      <c r="L303" s="909">
        <v>24501219.895100001</v>
      </c>
      <c r="M303" s="909">
        <v>24334825.75</v>
      </c>
      <c r="N303" s="909">
        <v>20623712.390000001</v>
      </c>
      <c r="O303" s="909">
        <v>166394.14510000125</v>
      </c>
    </row>
    <row r="304" spans="1:16" s="11" customFormat="1" ht="17.25" customHeight="1" x14ac:dyDescent="0.2">
      <c r="A304" s="917">
        <v>5100</v>
      </c>
      <c r="B304" s="890" t="s">
        <v>6311</v>
      </c>
      <c r="C304" s="891">
        <f>C305+C307+C309+C311</f>
        <v>180354.8</v>
      </c>
      <c r="D304" s="891">
        <v>1119369.48</v>
      </c>
      <c r="E304" s="891">
        <f t="shared" si="17"/>
        <v>1299724.28</v>
      </c>
      <c r="F304" s="891">
        <v>1299360.48</v>
      </c>
      <c r="G304" s="891">
        <v>1147796.48</v>
      </c>
      <c r="H304" s="891">
        <f t="shared" ref="H304:H373" si="18">+E304-F304</f>
        <v>363.80000000004657</v>
      </c>
      <c r="I304" s="916">
        <f t="shared" si="16"/>
        <v>0.99972009448034627</v>
      </c>
      <c r="J304" s="909">
        <f>C303-J303</f>
        <v>0</v>
      </c>
      <c r="K304" s="909">
        <f t="shared" ref="K304:O304" si="19">D303-K303</f>
        <v>0</v>
      </c>
      <c r="L304" s="909">
        <f t="shared" si="19"/>
        <v>0</v>
      </c>
      <c r="M304" s="909">
        <f t="shared" si="19"/>
        <v>0</v>
      </c>
      <c r="N304" s="909">
        <f t="shared" si="19"/>
        <v>0</v>
      </c>
      <c r="O304" s="909">
        <f t="shared" si="19"/>
        <v>0</v>
      </c>
      <c r="P304" s="909"/>
    </row>
    <row r="305" spans="1:15" s="11" customFormat="1" ht="17.25" customHeight="1" x14ac:dyDescent="0.2">
      <c r="A305" s="918">
        <v>511</v>
      </c>
      <c r="B305" s="890" t="s">
        <v>6312</v>
      </c>
      <c r="C305" s="891">
        <f>C306</f>
        <v>150105.79999999999</v>
      </c>
      <c r="D305" s="891">
        <v>-150000</v>
      </c>
      <c r="E305" s="891">
        <f t="shared" si="17"/>
        <v>105.79999999998836</v>
      </c>
      <c r="F305" s="891">
        <v>0</v>
      </c>
      <c r="G305" s="891">
        <v>0</v>
      </c>
      <c r="H305" s="891">
        <f t="shared" si="18"/>
        <v>105.79999999998836</v>
      </c>
      <c r="I305" s="916">
        <f t="shared" si="16"/>
        <v>0</v>
      </c>
      <c r="J305" s="909"/>
      <c r="K305" s="909"/>
      <c r="L305" s="909"/>
      <c r="M305" s="909"/>
      <c r="N305" s="909"/>
      <c r="O305" s="909"/>
    </row>
    <row r="306" spans="1:15" s="11" customFormat="1" ht="17.25" customHeight="1" x14ac:dyDescent="0.2">
      <c r="A306" s="919">
        <v>51101</v>
      </c>
      <c r="B306" s="892" t="s">
        <v>6312</v>
      </c>
      <c r="C306" s="893">
        <f>'[4]Por organismos DIC'!I309</f>
        <v>150105.79999999999</v>
      </c>
      <c r="D306" s="893">
        <v>-150000</v>
      </c>
      <c r="E306" s="891">
        <f t="shared" si="17"/>
        <v>105.79999999998836</v>
      </c>
      <c r="F306" s="893">
        <v>0</v>
      </c>
      <c r="G306" s="893">
        <v>0</v>
      </c>
      <c r="H306" s="891">
        <f t="shared" si="18"/>
        <v>105.79999999998836</v>
      </c>
      <c r="I306" s="916">
        <f t="shared" si="16"/>
        <v>0</v>
      </c>
      <c r="J306" s="909"/>
      <c r="K306" s="909"/>
      <c r="L306" s="909"/>
      <c r="M306" s="909"/>
      <c r="N306" s="909"/>
      <c r="O306" s="909"/>
    </row>
    <row r="307" spans="1:15" s="11" customFormat="1" ht="17.25" hidden="1" customHeight="1" x14ac:dyDescent="0.2">
      <c r="A307" s="918">
        <v>512</v>
      </c>
      <c r="B307" s="890" t="s">
        <v>6313</v>
      </c>
      <c r="C307" s="891">
        <f>C308</f>
        <v>0</v>
      </c>
      <c r="D307" s="891">
        <v>0</v>
      </c>
      <c r="E307" s="891">
        <f t="shared" si="17"/>
        <v>0</v>
      </c>
      <c r="F307" s="891">
        <v>0</v>
      </c>
      <c r="G307" s="891">
        <v>0</v>
      </c>
      <c r="H307" s="891">
        <f t="shared" si="18"/>
        <v>0</v>
      </c>
      <c r="I307" s="916" t="e">
        <f t="shared" si="16"/>
        <v>#DIV/0!</v>
      </c>
      <c r="J307" s="909"/>
      <c r="K307" s="909"/>
      <c r="L307" s="909"/>
      <c r="M307" s="909"/>
      <c r="N307" s="909"/>
      <c r="O307" s="909"/>
    </row>
    <row r="308" spans="1:15" s="11" customFormat="1" ht="17.25" hidden="1" customHeight="1" x14ac:dyDescent="0.2">
      <c r="A308" s="919">
        <v>51201</v>
      </c>
      <c r="B308" s="892" t="s">
        <v>6313</v>
      </c>
      <c r="C308" s="893"/>
      <c r="D308" s="893">
        <v>0</v>
      </c>
      <c r="E308" s="891">
        <f t="shared" si="17"/>
        <v>0</v>
      </c>
      <c r="F308" s="893">
        <v>0</v>
      </c>
      <c r="G308" s="893">
        <v>0</v>
      </c>
      <c r="H308" s="891">
        <f t="shared" si="18"/>
        <v>0</v>
      </c>
      <c r="I308" s="916" t="e">
        <f t="shared" si="16"/>
        <v>#DIV/0!</v>
      </c>
      <c r="J308" s="909"/>
      <c r="K308" s="909"/>
      <c r="L308" s="909"/>
      <c r="M308" s="909"/>
      <c r="N308" s="909"/>
      <c r="O308" s="909"/>
    </row>
    <row r="309" spans="1:15" s="11" customFormat="1" ht="17.25" customHeight="1" x14ac:dyDescent="0.2">
      <c r="A309" s="918">
        <v>515</v>
      </c>
      <c r="B309" s="890" t="s">
        <v>6314</v>
      </c>
      <c r="C309" s="891">
        <f>C310</f>
        <v>30249</v>
      </c>
      <c r="D309" s="891">
        <v>1269369.48</v>
      </c>
      <c r="E309" s="891">
        <f t="shared" si="17"/>
        <v>1299618.48</v>
      </c>
      <c r="F309" s="891">
        <v>1299360.48</v>
      </c>
      <c r="G309" s="891">
        <v>1147796.48</v>
      </c>
      <c r="H309" s="891">
        <f t="shared" si="18"/>
        <v>258</v>
      </c>
      <c r="I309" s="916">
        <f t="shared" si="16"/>
        <v>0.99980148020055859</v>
      </c>
      <c r="J309" s="909"/>
      <c r="K309" s="909"/>
      <c r="L309" s="909"/>
      <c r="M309" s="909"/>
      <c r="N309" s="909"/>
      <c r="O309" s="909"/>
    </row>
    <row r="310" spans="1:15" s="11" customFormat="1" ht="17.25" customHeight="1" x14ac:dyDescent="0.2">
      <c r="A310" s="919">
        <v>51501</v>
      </c>
      <c r="B310" s="892" t="s">
        <v>6315</v>
      </c>
      <c r="C310" s="893">
        <f>'[4]Por organismos DIC'!I313</f>
        <v>30249</v>
      </c>
      <c r="D310" s="893">
        <v>1269369.48</v>
      </c>
      <c r="E310" s="891">
        <f t="shared" si="17"/>
        <v>1299618.48</v>
      </c>
      <c r="F310" s="893">
        <v>1299360.48</v>
      </c>
      <c r="G310" s="893">
        <v>1147796.48</v>
      </c>
      <c r="H310" s="891">
        <f t="shared" si="18"/>
        <v>258</v>
      </c>
      <c r="I310" s="916">
        <f t="shared" si="16"/>
        <v>0.99980148020055859</v>
      </c>
      <c r="J310" s="909"/>
      <c r="K310" s="909"/>
      <c r="L310" s="909"/>
      <c r="M310" s="909"/>
      <c r="N310" s="909"/>
      <c r="O310" s="909"/>
    </row>
    <row r="311" spans="1:15" s="11" customFormat="1" ht="17.25" hidden="1" customHeight="1" x14ac:dyDescent="0.2">
      <c r="A311" s="918">
        <v>519</v>
      </c>
      <c r="B311" s="890" t="s">
        <v>6316</v>
      </c>
      <c r="C311" s="891">
        <f>C312</f>
        <v>0</v>
      </c>
      <c r="D311" s="891">
        <v>0</v>
      </c>
      <c r="E311" s="891">
        <f t="shared" si="17"/>
        <v>0</v>
      </c>
      <c r="F311" s="891">
        <v>0</v>
      </c>
      <c r="G311" s="891">
        <v>0</v>
      </c>
      <c r="H311" s="891">
        <f t="shared" si="18"/>
        <v>0</v>
      </c>
      <c r="I311" s="916" t="e">
        <f t="shared" si="16"/>
        <v>#DIV/0!</v>
      </c>
      <c r="J311" s="909"/>
      <c r="K311" s="909"/>
      <c r="L311" s="909"/>
      <c r="M311" s="909"/>
      <c r="N311" s="909"/>
      <c r="O311" s="909"/>
    </row>
    <row r="312" spans="1:15" s="11" customFormat="1" ht="17.25" hidden="1" customHeight="1" x14ac:dyDescent="0.2">
      <c r="A312" s="919">
        <v>51901</v>
      </c>
      <c r="B312" s="892" t="s">
        <v>6317</v>
      </c>
      <c r="C312" s="893"/>
      <c r="D312" s="893">
        <v>0</v>
      </c>
      <c r="E312" s="891">
        <f t="shared" si="17"/>
        <v>0</v>
      </c>
      <c r="F312" s="893">
        <v>0</v>
      </c>
      <c r="G312" s="893">
        <v>0</v>
      </c>
      <c r="H312" s="891">
        <f t="shared" si="18"/>
        <v>0</v>
      </c>
      <c r="I312" s="916" t="e">
        <f t="shared" si="16"/>
        <v>#DIV/0!</v>
      </c>
      <c r="J312" s="909"/>
      <c r="K312" s="909"/>
      <c r="L312" s="909"/>
      <c r="M312" s="909"/>
      <c r="N312" s="909"/>
      <c r="O312" s="909"/>
    </row>
    <row r="313" spans="1:15" s="11" customFormat="1" ht="17.25" hidden="1" customHeight="1" x14ac:dyDescent="0.2">
      <c r="A313" s="917">
        <v>5200</v>
      </c>
      <c r="B313" s="890" t="s">
        <v>6318</v>
      </c>
      <c r="C313" s="891">
        <f>C314+C316</f>
        <v>0</v>
      </c>
      <c r="D313" s="891">
        <v>0</v>
      </c>
      <c r="E313" s="891">
        <f t="shared" si="17"/>
        <v>0</v>
      </c>
      <c r="F313" s="891">
        <v>0</v>
      </c>
      <c r="G313" s="891">
        <v>0</v>
      </c>
      <c r="H313" s="891">
        <f t="shared" si="18"/>
        <v>0</v>
      </c>
      <c r="I313" s="916" t="e">
        <f t="shared" si="16"/>
        <v>#DIV/0!</v>
      </c>
      <c r="J313" s="909"/>
      <c r="K313" s="909"/>
      <c r="L313" s="909"/>
      <c r="M313" s="909"/>
      <c r="N313" s="909"/>
      <c r="O313" s="909"/>
    </row>
    <row r="314" spans="1:15" s="11" customFormat="1" ht="17.25" hidden="1" customHeight="1" x14ac:dyDescent="0.2">
      <c r="A314" s="918">
        <v>521</v>
      </c>
      <c r="B314" s="890" t="s">
        <v>6319</v>
      </c>
      <c r="C314" s="891">
        <f>C315</f>
        <v>0</v>
      </c>
      <c r="D314" s="891">
        <v>0</v>
      </c>
      <c r="E314" s="891">
        <f t="shared" si="17"/>
        <v>0</v>
      </c>
      <c r="F314" s="891">
        <v>0</v>
      </c>
      <c r="G314" s="891">
        <v>0</v>
      </c>
      <c r="H314" s="891">
        <f t="shared" si="18"/>
        <v>0</v>
      </c>
      <c r="I314" s="916" t="e">
        <f t="shared" si="16"/>
        <v>#DIV/0!</v>
      </c>
      <c r="J314" s="909"/>
      <c r="K314" s="909"/>
      <c r="L314" s="909"/>
      <c r="M314" s="909"/>
      <c r="N314" s="909"/>
      <c r="O314" s="909"/>
    </row>
    <row r="315" spans="1:15" s="11" customFormat="1" ht="17.25" hidden="1" customHeight="1" x14ac:dyDescent="0.2">
      <c r="A315" s="919">
        <v>52101</v>
      </c>
      <c r="B315" s="892" t="s">
        <v>6319</v>
      </c>
      <c r="C315" s="893"/>
      <c r="D315" s="893">
        <v>0</v>
      </c>
      <c r="E315" s="891">
        <f t="shared" si="17"/>
        <v>0</v>
      </c>
      <c r="F315" s="893">
        <v>0</v>
      </c>
      <c r="G315" s="893">
        <v>0</v>
      </c>
      <c r="H315" s="891">
        <f t="shared" si="18"/>
        <v>0</v>
      </c>
      <c r="I315" s="916" t="e">
        <f t="shared" si="16"/>
        <v>#DIV/0!</v>
      </c>
      <c r="J315" s="909"/>
      <c r="K315" s="909"/>
      <c r="L315" s="909"/>
      <c r="M315" s="909"/>
      <c r="N315" s="909"/>
      <c r="O315" s="909"/>
    </row>
    <row r="316" spans="1:15" s="11" customFormat="1" ht="17.25" hidden="1" customHeight="1" x14ac:dyDescent="0.2">
      <c r="A316" s="918">
        <v>523</v>
      </c>
      <c r="B316" s="890" t="s">
        <v>6320</v>
      </c>
      <c r="C316" s="891">
        <f>C317</f>
        <v>0</v>
      </c>
      <c r="D316" s="891">
        <v>0</v>
      </c>
      <c r="E316" s="891">
        <f t="shared" si="17"/>
        <v>0</v>
      </c>
      <c r="F316" s="891">
        <v>0</v>
      </c>
      <c r="G316" s="891">
        <v>0</v>
      </c>
      <c r="H316" s="891">
        <f t="shared" si="18"/>
        <v>0</v>
      </c>
      <c r="I316" s="916" t="e">
        <f t="shared" si="16"/>
        <v>#DIV/0!</v>
      </c>
      <c r="J316" s="909"/>
      <c r="K316" s="909"/>
      <c r="L316" s="909"/>
      <c r="M316" s="909"/>
      <c r="N316" s="909"/>
      <c r="O316" s="909"/>
    </row>
    <row r="317" spans="1:15" s="11" customFormat="1" ht="17.25" hidden="1" customHeight="1" x14ac:dyDescent="0.2">
      <c r="A317" s="919">
        <v>52301</v>
      </c>
      <c r="B317" s="892" t="s">
        <v>6320</v>
      </c>
      <c r="C317" s="893"/>
      <c r="D317" s="893">
        <v>0</v>
      </c>
      <c r="E317" s="891">
        <f t="shared" si="17"/>
        <v>0</v>
      </c>
      <c r="F317" s="893">
        <v>0</v>
      </c>
      <c r="G317" s="893">
        <v>0</v>
      </c>
      <c r="H317" s="891">
        <f t="shared" si="18"/>
        <v>0</v>
      </c>
      <c r="I317" s="916" t="e">
        <f t="shared" si="16"/>
        <v>#DIV/0!</v>
      </c>
      <c r="J317" s="909"/>
      <c r="K317" s="909"/>
      <c r="L317" s="909"/>
      <c r="M317" s="909"/>
      <c r="N317" s="909"/>
      <c r="O317" s="909"/>
    </row>
    <row r="318" spans="1:15" s="11" customFormat="1" ht="17.25" customHeight="1" x14ac:dyDescent="0.2">
      <c r="A318" s="917">
        <v>5300</v>
      </c>
      <c r="B318" s="890" t="s">
        <v>6321</v>
      </c>
      <c r="C318" s="891">
        <f>C321+C319</f>
        <v>0</v>
      </c>
      <c r="D318" s="891">
        <v>121800</v>
      </c>
      <c r="E318" s="891">
        <f t="shared" si="17"/>
        <v>121800</v>
      </c>
      <c r="F318" s="891">
        <v>121800</v>
      </c>
      <c r="G318" s="891">
        <v>121800</v>
      </c>
      <c r="H318" s="891">
        <f t="shared" si="18"/>
        <v>0</v>
      </c>
      <c r="I318" s="916">
        <f t="shared" si="16"/>
        <v>1</v>
      </c>
      <c r="J318" s="909"/>
      <c r="K318" s="909"/>
      <c r="L318" s="909"/>
      <c r="M318" s="909"/>
      <c r="N318" s="909"/>
      <c r="O318" s="909"/>
    </row>
    <row r="319" spans="1:15" s="11" customFormat="1" ht="17.25" customHeight="1" x14ac:dyDescent="0.2">
      <c r="A319" s="918">
        <v>531</v>
      </c>
      <c r="B319" s="890" t="s">
        <v>6322</v>
      </c>
      <c r="C319" s="891">
        <f>C320</f>
        <v>0</v>
      </c>
      <c r="D319" s="891">
        <v>121800</v>
      </c>
      <c r="E319" s="891">
        <f t="shared" si="17"/>
        <v>121800</v>
      </c>
      <c r="F319" s="891">
        <v>121800</v>
      </c>
      <c r="G319" s="891">
        <v>121800</v>
      </c>
      <c r="H319" s="891">
        <f t="shared" si="18"/>
        <v>0</v>
      </c>
      <c r="I319" s="916">
        <f t="shared" si="16"/>
        <v>1</v>
      </c>
      <c r="J319" s="909"/>
      <c r="K319" s="909"/>
      <c r="L319" s="909"/>
      <c r="M319" s="909"/>
      <c r="N319" s="909"/>
      <c r="O319" s="909"/>
    </row>
    <row r="320" spans="1:15" s="11" customFormat="1" ht="17.25" customHeight="1" x14ac:dyDescent="0.2">
      <c r="A320" s="919">
        <v>53101</v>
      </c>
      <c r="B320" s="892" t="s">
        <v>6323</v>
      </c>
      <c r="C320" s="893">
        <f>'[4]Por organismos DIC'!I323</f>
        <v>0</v>
      </c>
      <c r="D320" s="893">
        <v>121800</v>
      </c>
      <c r="E320" s="891">
        <f t="shared" si="17"/>
        <v>121800</v>
      </c>
      <c r="F320" s="893">
        <v>121800</v>
      </c>
      <c r="G320" s="893">
        <v>121800</v>
      </c>
      <c r="H320" s="891">
        <f t="shared" si="18"/>
        <v>0</v>
      </c>
      <c r="I320" s="916">
        <f t="shared" si="16"/>
        <v>1</v>
      </c>
      <c r="J320" s="909"/>
      <c r="K320" s="909"/>
      <c r="L320" s="909"/>
      <c r="M320" s="909"/>
      <c r="N320" s="909"/>
      <c r="O320" s="909"/>
    </row>
    <row r="321" spans="1:15" s="11" customFormat="1" ht="17.25" hidden="1" customHeight="1" x14ac:dyDescent="0.2">
      <c r="A321" s="918">
        <v>532</v>
      </c>
      <c r="B321" s="890" t="s">
        <v>6324</v>
      </c>
      <c r="C321" s="893">
        <f>C322</f>
        <v>0</v>
      </c>
      <c r="D321" s="893">
        <v>0</v>
      </c>
      <c r="E321" s="891">
        <f t="shared" si="17"/>
        <v>0</v>
      </c>
      <c r="F321" s="893">
        <v>0</v>
      </c>
      <c r="G321" s="893">
        <v>0</v>
      </c>
      <c r="H321" s="891">
        <f t="shared" si="18"/>
        <v>0</v>
      </c>
      <c r="I321" s="916" t="e">
        <f t="shared" si="16"/>
        <v>#DIV/0!</v>
      </c>
      <c r="J321" s="909"/>
      <c r="K321" s="909"/>
      <c r="L321" s="909"/>
      <c r="M321" s="909"/>
      <c r="N321" s="909"/>
      <c r="O321" s="909"/>
    </row>
    <row r="322" spans="1:15" s="11" customFormat="1" ht="17.25" hidden="1" customHeight="1" x14ac:dyDescent="0.2">
      <c r="A322" s="919">
        <v>53201</v>
      </c>
      <c r="B322" s="892" t="s">
        <v>6324</v>
      </c>
      <c r="C322" s="893"/>
      <c r="D322" s="893">
        <v>0</v>
      </c>
      <c r="E322" s="891">
        <f t="shared" si="17"/>
        <v>0</v>
      </c>
      <c r="F322" s="893">
        <v>0</v>
      </c>
      <c r="G322" s="893">
        <v>0</v>
      </c>
      <c r="H322" s="891">
        <f t="shared" si="18"/>
        <v>0</v>
      </c>
      <c r="I322" s="916" t="e">
        <f t="shared" si="16"/>
        <v>#DIV/0!</v>
      </c>
      <c r="J322" s="909"/>
      <c r="K322" s="909"/>
      <c r="L322" s="909"/>
      <c r="M322" s="909"/>
      <c r="N322" s="909"/>
      <c r="O322" s="909"/>
    </row>
    <row r="323" spans="1:15" s="11" customFormat="1" ht="17.25" customHeight="1" x14ac:dyDescent="0.2">
      <c r="A323" s="917">
        <v>5400</v>
      </c>
      <c r="B323" s="890" t="s">
        <v>6325</v>
      </c>
      <c r="C323" s="891">
        <f>C324+C328+C326</f>
        <v>1595000</v>
      </c>
      <c r="D323" s="891">
        <v>13254790</v>
      </c>
      <c r="E323" s="891">
        <f t="shared" si="17"/>
        <v>14849790</v>
      </c>
      <c r="F323" s="891">
        <v>14738790</v>
      </c>
      <c r="G323" s="891">
        <v>14738790</v>
      </c>
      <c r="H323" s="891">
        <f t="shared" si="18"/>
        <v>111000</v>
      </c>
      <c r="I323" s="916">
        <f t="shared" si="16"/>
        <v>0.99252514682025805</v>
      </c>
      <c r="J323" s="909"/>
      <c r="K323" s="909"/>
      <c r="L323" s="909"/>
      <c r="M323" s="909"/>
      <c r="N323" s="909"/>
      <c r="O323" s="909"/>
    </row>
    <row r="324" spans="1:15" s="11" customFormat="1" ht="17.25" customHeight="1" x14ac:dyDescent="0.2">
      <c r="A324" s="918">
        <v>541</v>
      </c>
      <c r="B324" s="890" t="s">
        <v>6325</v>
      </c>
      <c r="C324" s="891">
        <f>C325</f>
        <v>1508000</v>
      </c>
      <c r="D324" s="891">
        <v>12523000</v>
      </c>
      <c r="E324" s="891">
        <f t="shared" si="17"/>
        <v>14031000</v>
      </c>
      <c r="F324" s="891">
        <v>13920000</v>
      </c>
      <c r="G324" s="891">
        <v>13920000</v>
      </c>
      <c r="H324" s="891">
        <f t="shared" si="18"/>
        <v>111000</v>
      </c>
      <c r="I324" s="916">
        <f t="shared" si="16"/>
        <v>0.99208894590549501</v>
      </c>
      <c r="J324" s="909"/>
      <c r="K324" s="909"/>
      <c r="L324" s="909"/>
      <c r="M324" s="909"/>
      <c r="N324" s="909"/>
      <c r="O324" s="909"/>
    </row>
    <row r="325" spans="1:15" s="11" customFormat="1" ht="17.25" customHeight="1" x14ac:dyDescent="0.2">
      <c r="A325" s="919">
        <v>54101</v>
      </c>
      <c r="B325" s="892" t="s">
        <v>6326</v>
      </c>
      <c r="C325" s="893">
        <f>'[4]Por organismos DIC'!I328</f>
        <v>1508000</v>
      </c>
      <c r="D325" s="893">
        <v>12523000</v>
      </c>
      <c r="E325" s="891">
        <f t="shared" si="17"/>
        <v>14031000</v>
      </c>
      <c r="F325" s="893">
        <v>13920000</v>
      </c>
      <c r="G325" s="893">
        <v>13920000</v>
      </c>
      <c r="H325" s="891">
        <f t="shared" si="18"/>
        <v>111000</v>
      </c>
      <c r="I325" s="916">
        <f t="shared" si="16"/>
        <v>0.99208894590549501</v>
      </c>
      <c r="J325" s="909"/>
      <c r="K325" s="909"/>
      <c r="L325" s="909"/>
      <c r="M325" s="909"/>
      <c r="N325" s="909"/>
      <c r="O325" s="909"/>
    </row>
    <row r="326" spans="1:15" s="11" customFormat="1" ht="17.25" customHeight="1" x14ac:dyDescent="0.2">
      <c r="A326" s="920">
        <v>542</v>
      </c>
      <c r="B326" s="890" t="s">
        <v>6327</v>
      </c>
      <c r="C326" s="893">
        <f>C327</f>
        <v>87000</v>
      </c>
      <c r="D326" s="891">
        <v>168200</v>
      </c>
      <c r="E326" s="891">
        <f t="shared" si="17"/>
        <v>255200</v>
      </c>
      <c r="F326" s="891">
        <v>255200</v>
      </c>
      <c r="G326" s="891">
        <v>255200</v>
      </c>
      <c r="H326" s="891">
        <f t="shared" si="18"/>
        <v>0</v>
      </c>
      <c r="I326" s="916">
        <f t="shared" si="16"/>
        <v>1</v>
      </c>
      <c r="J326" s="909"/>
      <c r="K326" s="909"/>
      <c r="L326" s="909"/>
      <c r="M326" s="909"/>
      <c r="N326" s="909"/>
      <c r="O326" s="909"/>
    </row>
    <row r="327" spans="1:15" s="11" customFormat="1" ht="17.25" customHeight="1" x14ac:dyDescent="0.2">
      <c r="A327" s="919">
        <v>54201</v>
      </c>
      <c r="B327" s="892" t="s">
        <v>6327</v>
      </c>
      <c r="C327" s="893">
        <f>'[4]Por organismos DIC'!I330</f>
        <v>87000</v>
      </c>
      <c r="D327" s="893">
        <v>168200</v>
      </c>
      <c r="E327" s="891">
        <f t="shared" si="17"/>
        <v>255200</v>
      </c>
      <c r="F327" s="893">
        <v>255200</v>
      </c>
      <c r="G327" s="893">
        <v>255200</v>
      </c>
      <c r="H327" s="891">
        <f t="shared" si="18"/>
        <v>0</v>
      </c>
      <c r="I327" s="916">
        <f t="shared" si="16"/>
        <v>1</v>
      </c>
      <c r="J327" s="909"/>
      <c r="K327" s="909"/>
      <c r="L327" s="909"/>
      <c r="M327" s="909"/>
      <c r="N327" s="909"/>
      <c r="O327" s="909"/>
    </row>
    <row r="328" spans="1:15" s="11" customFormat="1" ht="17.25" customHeight="1" x14ac:dyDescent="0.2">
      <c r="A328" s="918">
        <v>549</v>
      </c>
      <c r="B328" s="890" t="s">
        <v>6328</v>
      </c>
      <c r="C328" s="891">
        <f>C329</f>
        <v>0</v>
      </c>
      <c r="D328" s="891">
        <v>563590</v>
      </c>
      <c r="E328" s="891">
        <f t="shared" si="17"/>
        <v>563590</v>
      </c>
      <c r="F328" s="891">
        <v>563590</v>
      </c>
      <c r="G328" s="891">
        <v>563590</v>
      </c>
      <c r="H328" s="891">
        <f t="shared" si="18"/>
        <v>0</v>
      </c>
      <c r="I328" s="916">
        <f t="shared" si="16"/>
        <v>1</v>
      </c>
      <c r="J328" s="909"/>
      <c r="K328" s="909"/>
      <c r="L328" s="909"/>
      <c r="M328" s="909"/>
      <c r="N328" s="909"/>
      <c r="O328" s="909"/>
    </row>
    <row r="329" spans="1:15" s="11" customFormat="1" ht="17.25" customHeight="1" x14ac:dyDescent="0.2">
      <c r="A329" s="919">
        <v>54901</v>
      </c>
      <c r="B329" s="892" t="s">
        <v>6328</v>
      </c>
      <c r="C329" s="893"/>
      <c r="D329" s="893">
        <v>563590</v>
      </c>
      <c r="E329" s="891">
        <f t="shared" si="17"/>
        <v>563590</v>
      </c>
      <c r="F329" s="893">
        <v>563590</v>
      </c>
      <c r="G329" s="893">
        <v>563590</v>
      </c>
      <c r="H329" s="891">
        <f t="shared" si="18"/>
        <v>0</v>
      </c>
      <c r="I329" s="916">
        <f t="shared" si="16"/>
        <v>1</v>
      </c>
      <c r="J329" s="909"/>
      <c r="K329" s="909"/>
      <c r="L329" s="909"/>
      <c r="M329" s="909"/>
      <c r="N329" s="909"/>
      <c r="O329" s="909"/>
    </row>
    <row r="330" spans="1:15" s="11" customFormat="1" ht="17.25" hidden="1" customHeight="1" x14ac:dyDescent="0.2">
      <c r="A330" s="917">
        <v>5500</v>
      </c>
      <c r="B330" s="890" t="s">
        <v>6329</v>
      </c>
      <c r="C330" s="891">
        <f>C331</f>
        <v>0</v>
      </c>
      <c r="D330" s="891">
        <v>0</v>
      </c>
      <c r="E330" s="891">
        <f t="shared" si="17"/>
        <v>0</v>
      </c>
      <c r="F330" s="891">
        <v>0</v>
      </c>
      <c r="G330" s="891">
        <v>0</v>
      </c>
      <c r="H330" s="891">
        <f t="shared" si="18"/>
        <v>0</v>
      </c>
      <c r="I330" s="916" t="e">
        <f t="shared" si="16"/>
        <v>#DIV/0!</v>
      </c>
      <c r="J330" s="909"/>
      <c r="K330" s="909"/>
      <c r="L330" s="909"/>
      <c r="M330" s="909"/>
      <c r="N330" s="909"/>
      <c r="O330" s="909"/>
    </row>
    <row r="331" spans="1:15" s="11" customFormat="1" ht="17.25" hidden="1" customHeight="1" x14ac:dyDescent="0.2">
      <c r="A331" s="918">
        <v>551</v>
      </c>
      <c r="B331" s="890" t="s">
        <v>6329</v>
      </c>
      <c r="C331" s="891">
        <f>C332</f>
        <v>0</v>
      </c>
      <c r="D331" s="891">
        <v>0</v>
      </c>
      <c r="E331" s="891">
        <f t="shared" si="17"/>
        <v>0</v>
      </c>
      <c r="F331" s="891">
        <v>0</v>
      </c>
      <c r="G331" s="891">
        <v>0</v>
      </c>
      <c r="H331" s="891">
        <f t="shared" si="18"/>
        <v>0</v>
      </c>
      <c r="I331" s="916" t="e">
        <f t="shared" si="16"/>
        <v>#DIV/0!</v>
      </c>
      <c r="J331" s="909"/>
      <c r="K331" s="909"/>
      <c r="L331" s="909"/>
      <c r="M331" s="909"/>
      <c r="N331" s="909"/>
      <c r="O331" s="909"/>
    </row>
    <row r="332" spans="1:15" s="11" customFormat="1" ht="17.25" hidden="1" customHeight="1" x14ac:dyDescent="0.2">
      <c r="A332" s="919">
        <v>55103</v>
      </c>
      <c r="B332" s="892" t="s">
        <v>6330</v>
      </c>
      <c r="C332" s="893">
        <f>'[4]Por organismos DIC'!I335</f>
        <v>0</v>
      </c>
      <c r="D332" s="893">
        <v>0</v>
      </c>
      <c r="E332" s="891">
        <f t="shared" si="17"/>
        <v>0</v>
      </c>
      <c r="F332" s="893">
        <v>0</v>
      </c>
      <c r="G332" s="893">
        <v>0</v>
      </c>
      <c r="H332" s="891">
        <f t="shared" si="18"/>
        <v>0</v>
      </c>
      <c r="I332" s="916" t="e">
        <f t="shared" si="16"/>
        <v>#DIV/0!</v>
      </c>
      <c r="J332" s="909"/>
      <c r="K332" s="909"/>
      <c r="L332" s="909"/>
      <c r="M332" s="909"/>
      <c r="N332" s="909"/>
      <c r="O332" s="909"/>
    </row>
    <row r="333" spans="1:15" s="11" customFormat="1" ht="17.25" customHeight="1" x14ac:dyDescent="0.2">
      <c r="A333" s="917">
        <v>5600</v>
      </c>
      <c r="B333" s="890" t="s">
        <v>6331</v>
      </c>
      <c r="C333" s="891">
        <f>C334+C338+C340+C342+C344+C347+C336</f>
        <v>2521272.0851000003</v>
      </c>
      <c r="D333" s="891">
        <v>5602284.6099999994</v>
      </c>
      <c r="E333" s="891">
        <f t="shared" si="17"/>
        <v>8123556.6951000001</v>
      </c>
      <c r="F333" s="891">
        <v>8068526.3499999996</v>
      </c>
      <c r="G333" s="891">
        <v>4508976.99</v>
      </c>
      <c r="H333" s="891">
        <f t="shared" si="18"/>
        <v>55030.345100000501</v>
      </c>
      <c r="I333" s="916">
        <f t="shared" si="16"/>
        <v>0.99322583110262608</v>
      </c>
      <c r="J333" s="909"/>
      <c r="K333" s="909"/>
      <c r="L333" s="909"/>
      <c r="M333" s="909"/>
      <c r="N333" s="909"/>
      <c r="O333" s="909"/>
    </row>
    <row r="334" spans="1:15" s="11" customFormat="1" ht="17.25" customHeight="1" x14ac:dyDescent="0.2">
      <c r="A334" s="918">
        <v>562</v>
      </c>
      <c r="B334" s="890" t="s">
        <v>6332</v>
      </c>
      <c r="C334" s="891">
        <f>C335</f>
        <v>2208458.2351000002</v>
      </c>
      <c r="D334" s="891">
        <v>36186.389999999898</v>
      </c>
      <c r="E334" s="891">
        <f t="shared" si="17"/>
        <v>2244644.6250999998</v>
      </c>
      <c r="F334" s="891">
        <v>2190648.65</v>
      </c>
      <c r="G334" s="891">
        <v>2108663.29</v>
      </c>
      <c r="H334" s="891">
        <f t="shared" si="18"/>
        <v>53995.975099999923</v>
      </c>
      <c r="I334" s="916">
        <f t="shared" si="16"/>
        <v>0.97594453282439109</v>
      </c>
      <c r="J334" s="909"/>
      <c r="K334" s="909"/>
      <c r="L334" s="909"/>
      <c r="M334" s="909"/>
      <c r="N334" s="909"/>
      <c r="O334" s="909"/>
    </row>
    <row r="335" spans="1:15" s="11" customFormat="1" ht="17.25" customHeight="1" x14ac:dyDescent="0.2">
      <c r="A335" s="919">
        <v>56201</v>
      </c>
      <c r="B335" s="892" t="s">
        <v>6332</v>
      </c>
      <c r="C335" s="893">
        <f>'[4]Por organismos DIC'!I338</f>
        <v>2208458.2351000002</v>
      </c>
      <c r="D335" s="893">
        <v>36186.389999999898</v>
      </c>
      <c r="E335" s="891">
        <f t="shared" si="17"/>
        <v>2244644.6250999998</v>
      </c>
      <c r="F335" s="893">
        <v>2190648.65</v>
      </c>
      <c r="G335" s="893">
        <v>2108663.29</v>
      </c>
      <c r="H335" s="891">
        <f t="shared" si="18"/>
        <v>53995.975099999923</v>
      </c>
      <c r="I335" s="916">
        <f t="shared" ref="I335:I401" si="20">+F335/E335</f>
        <v>0.97594453282439109</v>
      </c>
      <c r="J335" s="909"/>
      <c r="K335" s="909"/>
      <c r="L335" s="909"/>
      <c r="M335" s="909"/>
      <c r="N335" s="909"/>
      <c r="O335" s="909"/>
    </row>
    <row r="336" spans="1:15" s="11" customFormat="1" ht="17.25" customHeight="1" x14ac:dyDescent="0.2">
      <c r="A336" s="918">
        <v>563</v>
      </c>
      <c r="B336" s="890" t="s">
        <v>6333</v>
      </c>
      <c r="C336" s="893">
        <f>C337</f>
        <v>312813.84999999998</v>
      </c>
      <c r="D336" s="891">
        <v>3141784</v>
      </c>
      <c r="E336" s="891">
        <f t="shared" si="17"/>
        <v>3454597.85</v>
      </c>
      <c r="F336" s="891">
        <v>3453784</v>
      </c>
      <c r="G336" s="891">
        <v>0</v>
      </c>
      <c r="H336" s="891">
        <f t="shared" si="18"/>
        <v>813.85000000009313</v>
      </c>
      <c r="I336" s="916">
        <f t="shared" si="20"/>
        <v>0.99976441541524141</v>
      </c>
      <c r="J336" s="909"/>
      <c r="K336" s="909"/>
      <c r="L336" s="909"/>
      <c r="M336" s="909"/>
      <c r="N336" s="909"/>
      <c r="O336" s="909"/>
    </row>
    <row r="337" spans="1:15" s="11" customFormat="1" ht="17.25" customHeight="1" x14ac:dyDescent="0.2">
      <c r="A337" s="919">
        <v>56301</v>
      </c>
      <c r="B337" s="892" t="s">
        <v>6333</v>
      </c>
      <c r="C337" s="893">
        <f>'[4]Por organismos DIC'!I340</f>
        <v>312813.84999999998</v>
      </c>
      <c r="D337" s="893">
        <v>3141784</v>
      </c>
      <c r="E337" s="891">
        <f t="shared" si="17"/>
        <v>3454597.85</v>
      </c>
      <c r="F337" s="893">
        <v>3453784</v>
      </c>
      <c r="G337" s="893">
        <v>0</v>
      </c>
      <c r="H337" s="891">
        <f t="shared" si="18"/>
        <v>813.85000000009313</v>
      </c>
      <c r="I337" s="916">
        <f t="shared" si="20"/>
        <v>0.99976441541524141</v>
      </c>
      <c r="J337" s="909"/>
      <c r="K337" s="909"/>
      <c r="L337" s="909"/>
      <c r="M337" s="909"/>
      <c r="N337" s="909"/>
      <c r="O337" s="909"/>
    </row>
    <row r="338" spans="1:15" s="11" customFormat="1" ht="26.25" customHeight="1" x14ac:dyDescent="0.2">
      <c r="A338" s="918">
        <v>564</v>
      </c>
      <c r="B338" s="890" t="s">
        <v>6334</v>
      </c>
      <c r="C338" s="891">
        <f>C339</f>
        <v>0</v>
      </c>
      <c r="D338" s="891">
        <v>34412</v>
      </c>
      <c r="E338" s="891">
        <f t="shared" si="17"/>
        <v>34412</v>
      </c>
      <c r="F338" s="891">
        <v>34412</v>
      </c>
      <c r="G338" s="891">
        <v>34412</v>
      </c>
      <c r="H338" s="891">
        <f t="shared" si="18"/>
        <v>0</v>
      </c>
      <c r="I338" s="916">
        <f t="shared" si="20"/>
        <v>1</v>
      </c>
      <c r="J338" s="909"/>
      <c r="K338" s="909"/>
      <c r="L338" s="909"/>
      <c r="M338" s="909"/>
      <c r="N338" s="909"/>
      <c r="O338" s="909"/>
    </row>
    <row r="339" spans="1:15" s="11" customFormat="1" ht="27" customHeight="1" x14ac:dyDescent="0.2">
      <c r="A339" s="919">
        <v>56401</v>
      </c>
      <c r="B339" s="892" t="s">
        <v>6334</v>
      </c>
      <c r="C339" s="893"/>
      <c r="D339" s="893">
        <v>34412</v>
      </c>
      <c r="E339" s="891">
        <f t="shared" si="17"/>
        <v>34412</v>
      </c>
      <c r="F339" s="893">
        <v>34412</v>
      </c>
      <c r="G339" s="893">
        <v>34412</v>
      </c>
      <c r="H339" s="891">
        <f t="shared" si="18"/>
        <v>0</v>
      </c>
      <c r="I339" s="916">
        <f t="shared" si="20"/>
        <v>1</v>
      </c>
      <c r="J339" s="909"/>
      <c r="K339" s="909"/>
      <c r="L339" s="909"/>
      <c r="M339" s="909"/>
      <c r="N339" s="909"/>
      <c r="O339" s="909"/>
    </row>
    <row r="340" spans="1:15" s="11" customFormat="1" ht="17.25" hidden="1" customHeight="1" x14ac:dyDescent="0.2">
      <c r="A340" s="920">
        <v>565</v>
      </c>
      <c r="B340" s="896" t="s">
        <v>6335</v>
      </c>
      <c r="C340" s="891">
        <f>C341</f>
        <v>0</v>
      </c>
      <c r="D340" s="891">
        <v>0</v>
      </c>
      <c r="E340" s="891">
        <f t="shared" si="17"/>
        <v>0</v>
      </c>
      <c r="F340" s="891">
        <v>0</v>
      </c>
      <c r="G340" s="891">
        <v>0</v>
      </c>
      <c r="H340" s="891">
        <f t="shared" si="18"/>
        <v>0</v>
      </c>
      <c r="I340" s="916" t="e">
        <f t="shared" si="20"/>
        <v>#DIV/0!</v>
      </c>
      <c r="J340" s="909"/>
      <c r="K340" s="909"/>
      <c r="L340" s="909"/>
      <c r="M340" s="909"/>
      <c r="N340" s="909"/>
      <c r="O340" s="909"/>
    </row>
    <row r="341" spans="1:15" s="11" customFormat="1" ht="17.25" hidden="1" customHeight="1" x14ac:dyDescent="0.2">
      <c r="A341" s="922">
        <v>56501</v>
      </c>
      <c r="B341" s="897" t="s">
        <v>6335</v>
      </c>
      <c r="C341" s="893"/>
      <c r="D341" s="893">
        <v>0</v>
      </c>
      <c r="E341" s="891">
        <f t="shared" si="17"/>
        <v>0</v>
      </c>
      <c r="F341" s="893">
        <v>0</v>
      </c>
      <c r="G341" s="893">
        <v>0</v>
      </c>
      <c r="H341" s="891">
        <f t="shared" si="18"/>
        <v>0</v>
      </c>
      <c r="I341" s="916" t="e">
        <f t="shared" si="20"/>
        <v>#DIV/0!</v>
      </c>
      <c r="J341" s="909"/>
      <c r="K341" s="909"/>
      <c r="L341" s="909"/>
      <c r="M341" s="909"/>
      <c r="N341" s="909"/>
      <c r="O341" s="909"/>
    </row>
    <row r="342" spans="1:15" s="11" customFormat="1" ht="17.25" customHeight="1" x14ac:dyDescent="0.2">
      <c r="A342" s="920">
        <v>566</v>
      </c>
      <c r="B342" s="896" t="s">
        <v>6336</v>
      </c>
      <c r="C342" s="891">
        <f>C343</f>
        <v>0</v>
      </c>
      <c r="D342" s="891">
        <v>725466.76</v>
      </c>
      <c r="E342" s="891">
        <f t="shared" si="17"/>
        <v>725466.76</v>
      </c>
      <c r="F342" s="891">
        <v>725246.24</v>
      </c>
      <c r="G342" s="891">
        <v>701466.24</v>
      </c>
      <c r="H342" s="891">
        <f t="shared" si="18"/>
        <v>220.52000000001863</v>
      </c>
      <c r="I342" s="916">
        <f t="shared" si="20"/>
        <v>0.9996960301806247</v>
      </c>
      <c r="J342" s="909"/>
      <c r="K342" s="909"/>
      <c r="L342" s="909"/>
      <c r="M342" s="909"/>
      <c r="N342" s="909"/>
      <c r="O342" s="909"/>
    </row>
    <row r="343" spans="1:15" s="11" customFormat="1" ht="17.25" customHeight="1" x14ac:dyDescent="0.2">
      <c r="A343" s="922">
        <v>56601</v>
      </c>
      <c r="B343" s="897" t="s">
        <v>6337</v>
      </c>
      <c r="C343" s="893"/>
      <c r="D343" s="893">
        <v>725466.76</v>
      </c>
      <c r="E343" s="891">
        <f t="shared" si="17"/>
        <v>725466.76</v>
      </c>
      <c r="F343" s="893">
        <v>725246.24</v>
      </c>
      <c r="G343" s="893">
        <v>701466.24</v>
      </c>
      <c r="H343" s="891">
        <f t="shared" si="18"/>
        <v>220.52000000001863</v>
      </c>
      <c r="I343" s="916">
        <f t="shared" si="20"/>
        <v>0.9996960301806247</v>
      </c>
      <c r="J343" s="909"/>
      <c r="K343" s="909"/>
      <c r="L343" s="909"/>
      <c r="M343" s="909"/>
      <c r="N343" s="909"/>
      <c r="O343" s="909"/>
    </row>
    <row r="344" spans="1:15" s="11" customFormat="1" ht="17.25" customHeight="1" x14ac:dyDescent="0.2">
      <c r="A344" s="920">
        <v>567</v>
      </c>
      <c r="B344" s="896" t="s">
        <v>6338</v>
      </c>
      <c r="C344" s="891">
        <f>C345+C346</f>
        <v>0</v>
      </c>
      <c r="D344" s="891">
        <v>121212.26000000001</v>
      </c>
      <c r="E344" s="891">
        <f t="shared" si="17"/>
        <v>121212.26000000001</v>
      </c>
      <c r="F344" s="891">
        <v>121212.26</v>
      </c>
      <c r="G344" s="891">
        <v>121212.26</v>
      </c>
      <c r="H344" s="891">
        <f t="shared" si="18"/>
        <v>0</v>
      </c>
      <c r="I344" s="916">
        <f t="shared" si="20"/>
        <v>0.99999999999999989</v>
      </c>
      <c r="J344" s="909"/>
      <c r="K344" s="909"/>
      <c r="L344" s="909"/>
      <c r="M344" s="909"/>
      <c r="N344" s="909"/>
      <c r="O344" s="909"/>
    </row>
    <row r="345" spans="1:15" s="11" customFormat="1" ht="17.25" customHeight="1" x14ac:dyDescent="0.2">
      <c r="A345" s="922">
        <v>56701</v>
      </c>
      <c r="B345" s="897" t="s">
        <v>6339</v>
      </c>
      <c r="C345" s="893"/>
      <c r="D345" s="893">
        <v>121212.26000000001</v>
      </c>
      <c r="E345" s="891">
        <f t="shared" si="17"/>
        <v>121212.26000000001</v>
      </c>
      <c r="F345" s="893">
        <v>121212.26</v>
      </c>
      <c r="G345" s="893">
        <v>121212.26</v>
      </c>
      <c r="H345" s="891">
        <f t="shared" si="18"/>
        <v>0</v>
      </c>
      <c r="I345" s="916">
        <f t="shared" si="20"/>
        <v>0.99999999999999989</v>
      </c>
      <c r="J345" s="909"/>
      <c r="K345" s="909"/>
      <c r="L345" s="909"/>
      <c r="M345" s="909"/>
      <c r="N345" s="909"/>
      <c r="O345" s="909"/>
    </row>
    <row r="346" spans="1:15" s="11" customFormat="1" ht="17.25" hidden="1" customHeight="1" x14ac:dyDescent="0.2">
      <c r="A346" s="922">
        <v>56702</v>
      </c>
      <c r="B346" s="897" t="s">
        <v>6340</v>
      </c>
      <c r="C346" s="893">
        <f>'[4]Por organismos DIC'!I349</f>
        <v>0</v>
      </c>
      <c r="D346" s="893">
        <v>0</v>
      </c>
      <c r="E346" s="891">
        <f t="shared" si="17"/>
        <v>0</v>
      </c>
      <c r="F346" s="893">
        <v>0</v>
      </c>
      <c r="G346" s="893">
        <v>0</v>
      </c>
      <c r="H346" s="891">
        <f t="shared" si="18"/>
        <v>0</v>
      </c>
      <c r="I346" s="916" t="e">
        <f t="shared" si="20"/>
        <v>#DIV/0!</v>
      </c>
      <c r="J346" s="909"/>
      <c r="K346" s="909"/>
      <c r="L346" s="909"/>
      <c r="M346" s="909"/>
      <c r="N346" s="909"/>
      <c r="O346" s="909"/>
    </row>
    <row r="347" spans="1:15" s="11" customFormat="1" ht="17.25" customHeight="1" x14ac:dyDescent="0.2">
      <c r="A347" s="920">
        <v>569</v>
      </c>
      <c r="B347" s="896" t="s">
        <v>6341</v>
      </c>
      <c r="C347" s="891">
        <f>C348+C349</f>
        <v>0</v>
      </c>
      <c r="D347" s="891">
        <v>1543223.2</v>
      </c>
      <c r="E347" s="891">
        <f t="shared" si="17"/>
        <v>1543223.2</v>
      </c>
      <c r="F347" s="891">
        <v>1543223.2</v>
      </c>
      <c r="G347" s="891">
        <v>1543223.2</v>
      </c>
      <c r="H347" s="891">
        <f t="shared" si="18"/>
        <v>0</v>
      </c>
      <c r="I347" s="916">
        <f t="shared" si="20"/>
        <v>1</v>
      </c>
      <c r="J347" s="909"/>
      <c r="K347" s="909"/>
      <c r="L347" s="909"/>
      <c r="M347" s="909"/>
      <c r="N347" s="909"/>
      <c r="O347" s="909"/>
    </row>
    <row r="348" spans="1:15" s="11" customFormat="1" ht="17.25" customHeight="1" x14ac:dyDescent="0.2">
      <c r="A348" s="922">
        <v>56901</v>
      </c>
      <c r="B348" s="897" t="s">
        <v>6342</v>
      </c>
      <c r="C348" s="893"/>
      <c r="D348" s="893">
        <v>1543223.2</v>
      </c>
      <c r="E348" s="891">
        <f t="shared" si="17"/>
        <v>1543223.2</v>
      </c>
      <c r="F348" s="893">
        <v>1543223.2</v>
      </c>
      <c r="G348" s="893">
        <v>1543223.2</v>
      </c>
      <c r="H348" s="891">
        <f t="shared" si="18"/>
        <v>0</v>
      </c>
      <c r="I348" s="916">
        <f t="shared" si="20"/>
        <v>1</v>
      </c>
      <c r="J348" s="909"/>
      <c r="K348" s="909"/>
      <c r="L348" s="909"/>
      <c r="M348" s="909"/>
      <c r="N348" s="909"/>
      <c r="O348" s="909"/>
    </row>
    <row r="349" spans="1:15" s="11" customFormat="1" ht="17.25" hidden="1" customHeight="1" x14ac:dyDescent="0.2">
      <c r="A349" s="922">
        <v>56902</v>
      </c>
      <c r="B349" s="897" t="s">
        <v>6343</v>
      </c>
      <c r="C349" s="893"/>
      <c r="D349" s="893">
        <v>0</v>
      </c>
      <c r="E349" s="891">
        <f t="shared" si="17"/>
        <v>0</v>
      </c>
      <c r="F349" s="893">
        <v>0</v>
      </c>
      <c r="G349" s="893">
        <v>0</v>
      </c>
      <c r="H349" s="891">
        <f t="shared" si="18"/>
        <v>0</v>
      </c>
      <c r="I349" s="916" t="e">
        <f t="shared" si="20"/>
        <v>#DIV/0!</v>
      </c>
      <c r="J349" s="909"/>
      <c r="K349" s="909"/>
      <c r="L349" s="909"/>
      <c r="M349" s="909"/>
      <c r="N349" s="909"/>
      <c r="O349" s="909"/>
    </row>
    <row r="350" spans="1:15" s="11" customFormat="1" ht="17.25" hidden="1" customHeight="1" x14ac:dyDescent="0.2">
      <c r="A350" s="917">
        <v>5800</v>
      </c>
      <c r="B350" s="896" t="s">
        <v>514</v>
      </c>
      <c r="C350" s="893">
        <f>C351</f>
        <v>0</v>
      </c>
      <c r="D350" s="893">
        <v>0</v>
      </c>
      <c r="E350" s="891">
        <f t="shared" si="17"/>
        <v>0</v>
      </c>
      <c r="F350" s="893">
        <v>0</v>
      </c>
      <c r="G350" s="893">
        <v>0</v>
      </c>
      <c r="H350" s="891">
        <f t="shared" si="18"/>
        <v>0</v>
      </c>
      <c r="I350" s="916" t="e">
        <f t="shared" si="20"/>
        <v>#DIV/0!</v>
      </c>
      <c r="J350" s="909"/>
      <c r="K350" s="909"/>
      <c r="L350" s="909"/>
      <c r="M350" s="909"/>
      <c r="N350" s="909"/>
      <c r="O350" s="909"/>
    </row>
    <row r="351" spans="1:15" s="11" customFormat="1" ht="17.25" hidden="1" customHeight="1" x14ac:dyDescent="0.2">
      <c r="A351" s="918">
        <v>581</v>
      </c>
      <c r="B351" s="896" t="s">
        <v>6344</v>
      </c>
      <c r="C351" s="893">
        <f>C352</f>
        <v>0</v>
      </c>
      <c r="D351" s="893">
        <v>0</v>
      </c>
      <c r="E351" s="891">
        <f t="shared" si="17"/>
        <v>0</v>
      </c>
      <c r="F351" s="893">
        <v>0</v>
      </c>
      <c r="G351" s="893">
        <v>0</v>
      </c>
      <c r="H351" s="891">
        <f t="shared" si="18"/>
        <v>0</v>
      </c>
      <c r="I351" s="916" t="e">
        <f t="shared" si="20"/>
        <v>#DIV/0!</v>
      </c>
      <c r="J351" s="909"/>
      <c r="K351" s="909"/>
      <c r="L351" s="909"/>
      <c r="M351" s="909"/>
      <c r="N351" s="909"/>
      <c r="O351" s="909"/>
    </row>
    <row r="352" spans="1:15" s="11" customFormat="1" ht="17.25" hidden="1" customHeight="1" x14ac:dyDescent="0.2">
      <c r="A352" s="919">
        <v>58101</v>
      </c>
      <c r="B352" s="897" t="s">
        <v>6344</v>
      </c>
      <c r="C352" s="893"/>
      <c r="D352" s="893">
        <v>0</v>
      </c>
      <c r="E352" s="891">
        <f t="shared" si="17"/>
        <v>0</v>
      </c>
      <c r="F352" s="893">
        <v>0</v>
      </c>
      <c r="G352" s="893">
        <v>0</v>
      </c>
      <c r="H352" s="891">
        <f t="shared" si="18"/>
        <v>0</v>
      </c>
      <c r="I352" s="916" t="e">
        <f t="shared" si="20"/>
        <v>#DIV/0!</v>
      </c>
      <c r="J352" s="909"/>
      <c r="K352" s="909"/>
      <c r="L352" s="909"/>
      <c r="M352" s="909"/>
      <c r="N352" s="909"/>
      <c r="O352" s="909"/>
    </row>
    <row r="353" spans="1:15" s="11" customFormat="1" ht="17.25" customHeight="1" x14ac:dyDescent="0.2">
      <c r="A353" s="917">
        <v>5900</v>
      </c>
      <c r="B353" s="896" t="s">
        <v>6345</v>
      </c>
      <c r="C353" s="891">
        <f>C354+C356</f>
        <v>0</v>
      </c>
      <c r="D353" s="891">
        <v>106348.92000000001</v>
      </c>
      <c r="E353" s="891">
        <f t="shared" si="17"/>
        <v>106348.92000000001</v>
      </c>
      <c r="F353" s="891">
        <v>106348.92000000001</v>
      </c>
      <c r="G353" s="891">
        <v>106348.92000000001</v>
      </c>
      <c r="H353" s="891">
        <f t="shared" si="18"/>
        <v>0</v>
      </c>
      <c r="I353" s="916">
        <f t="shared" si="20"/>
        <v>1</v>
      </c>
      <c r="J353" s="909"/>
      <c r="K353" s="909"/>
      <c r="L353" s="909"/>
      <c r="M353" s="909"/>
      <c r="N353" s="909"/>
      <c r="O353" s="909"/>
    </row>
    <row r="354" spans="1:15" s="11" customFormat="1" ht="17.25" customHeight="1" x14ac:dyDescent="0.2">
      <c r="A354" s="918">
        <v>591</v>
      </c>
      <c r="B354" s="896" t="s">
        <v>6346</v>
      </c>
      <c r="C354" s="891">
        <f>C355</f>
        <v>0</v>
      </c>
      <c r="D354" s="891">
        <v>81811.320000000007</v>
      </c>
      <c r="E354" s="891">
        <f t="shared" si="17"/>
        <v>81811.320000000007</v>
      </c>
      <c r="F354" s="891">
        <v>81811.320000000007</v>
      </c>
      <c r="G354" s="891">
        <v>81811.320000000007</v>
      </c>
      <c r="H354" s="891">
        <f t="shared" si="18"/>
        <v>0</v>
      </c>
      <c r="I354" s="916">
        <f t="shared" si="20"/>
        <v>1</v>
      </c>
      <c r="J354" s="909"/>
      <c r="K354" s="909"/>
      <c r="L354" s="909"/>
      <c r="M354" s="909"/>
      <c r="N354" s="909"/>
      <c r="O354" s="909"/>
    </row>
    <row r="355" spans="1:15" s="11" customFormat="1" ht="17.25" customHeight="1" x14ac:dyDescent="0.2">
      <c r="A355" s="919">
        <v>59101</v>
      </c>
      <c r="B355" s="897" t="s">
        <v>6346</v>
      </c>
      <c r="C355" s="893">
        <v>0</v>
      </c>
      <c r="D355" s="893">
        <v>81811.320000000007</v>
      </c>
      <c r="E355" s="891">
        <f t="shared" si="17"/>
        <v>81811.320000000007</v>
      </c>
      <c r="F355" s="893">
        <v>81811.320000000007</v>
      </c>
      <c r="G355" s="893">
        <v>81811.320000000007</v>
      </c>
      <c r="H355" s="891">
        <f t="shared" si="18"/>
        <v>0</v>
      </c>
      <c r="I355" s="916">
        <f t="shared" si="20"/>
        <v>1</v>
      </c>
      <c r="J355" s="909"/>
      <c r="K355" s="909"/>
      <c r="L355" s="909"/>
      <c r="M355" s="909"/>
      <c r="N355" s="909"/>
      <c r="O355" s="909"/>
    </row>
    <row r="356" spans="1:15" s="11" customFormat="1" ht="17.25" customHeight="1" x14ac:dyDescent="0.2">
      <c r="A356" s="918">
        <v>597</v>
      </c>
      <c r="B356" s="896" t="s">
        <v>6347</v>
      </c>
      <c r="C356" s="891">
        <f>C357</f>
        <v>0</v>
      </c>
      <c r="D356" s="891">
        <v>24537.599999999999</v>
      </c>
      <c r="E356" s="891">
        <f t="shared" si="17"/>
        <v>24537.599999999999</v>
      </c>
      <c r="F356" s="891">
        <v>24537.599999999999</v>
      </c>
      <c r="G356" s="891">
        <v>24537.599999999999</v>
      </c>
      <c r="H356" s="891">
        <f t="shared" si="18"/>
        <v>0</v>
      </c>
      <c r="I356" s="916">
        <f t="shared" si="20"/>
        <v>1</v>
      </c>
      <c r="J356" s="909"/>
      <c r="K356" s="909"/>
      <c r="L356" s="909"/>
      <c r="M356" s="909"/>
      <c r="N356" s="909"/>
      <c r="O356" s="909"/>
    </row>
    <row r="357" spans="1:15" s="11" customFormat="1" ht="17.25" customHeight="1" x14ac:dyDescent="0.2">
      <c r="A357" s="919">
        <v>59701</v>
      </c>
      <c r="B357" s="897" t="s">
        <v>6348</v>
      </c>
      <c r="C357" s="893">
        <f>'[4]Por organismos DIC'!I360</f>
        <v>0</v>
      </c>
      <c r="D357" s="893">
        <v>24537.599999999999</v>
      </c>
      <c r="E357" s="891">
        <f t="shared" si="17"/>
        <v>24537.599999999999</v>
      </c>
      <c r="F357" s="893">
        <v>24537.599999999999</v>
      </c>
      <c r="G357" s="893">
        <v>24537.599999999999</v>
      </c>
      <c r="H357" s="891">
        <f t="shared" si="18"/>
        <v>0</v>
      </c>
      <c r="I357" s="916">
        <f t="shared" si="20"/>
        <v>1</v>
      </c>
      <c r="J357" s="909"/>
      <c r="K357" s="909"/>
      <c r="L357" s="909"/>
      <c r="M357" s="909"/>
      <c r="N357" s="909"/>
      <c r="O357" s="909"/>
    </row>
    <row r="358" spans="1:15" s="11" customFormat="1" ht="17.25" customHeight="1" x14ac:dyDescent="0.2">
      <c r="A358" s="919"/>
      <c r="B358" s="892"/>
      <c r="C358" s="893"/>
      <c r="D358" s="893"/>
      <c r="E358" s="891"/>
      <c r="F358" s="893"/>
      <c r="G358" s="893"/>
      <c r="H358" s="891"/>
      <c r="I358" s="916"/>
      <c r="J358" s="909"/>
      <c r="K358" s="909"/>
      <c r="L358" s="909"/>
      <c r="M358" s="909"/>
      <c r="N358" s="909"/>
      <c r="O358" s="909"/>
    </row>
    <row r="359" spans="1:15" s="11" customFormat="1" ht="17.25" customHeight="1" x14ac:dyDescent="0.2">
      <c r="A359" s="923">
        <v>6000</v>
      </c>
      <c r="B359" s="889" t="s">
        <v>6349</v>
      </c>
      <c r="C359" s="891">
        <f>C360+C384</f>
        <v>259999999.995</v>
      </c>
      <c r="D359" s="891">
        <v>3111819113.9400001</v>
      </c>
      <c r="E359" s="891">
        <f t="shared" si="17"/>
        <v>3371819113.9349999</v>
      </c>
      <c r="F359" s="891">
        <v>1910427426.0899999</v>
      </c>
      <c r="G359" s="891">
        <v>1882674905.8399999</v>
      </c>
      <c r="H359" s="891">
        <f t="shared" si="18"/>
        <v>1461391687.845</v>
      </c>
      <c r="I359" s="916">
        <f t="shared" si="20"/>
        <v>0.56658656990068534</v>
      </c>
      <c r="J359" s="909"/>
      <c r="K359" s="909"/>
      <c r="L359" s="909"/>
      <c r="M359" s="909"/>
      <c r="N359" s="909"/>
      <c r="O359" s="909"/>
    </row>
    <row r="360" spans="1:15" s="11" customFormat="1" ht="17.25" customHeight="1" x14ac:dyDescent="0.2">
      <c r="A360" s="924"/>
      <c r="B360" s="889" t="s">
        <v>1911</v>
      </c>
      <c r="C360" s="891">
        <f>C361+C377</f>
        <v>145000000</v>
      </c>
      <c r="D360" s="891">
        <v>74243335.430000007</v>
      </c>
      <c r="E360" s="891">
        <f t="shared" si="17"/>
        <v>219243335.43000001</v>
      </c>
      <c r="F360" s="891">
        <v>175777106.79999998</v>
      </c>
      <c r="G360" s="891">
        <v>170708419.19999999</v>
      </c>
      <c r="H360" s="891">
        <f t="shared" si="18"/>
        <v>43466228.630000025</v>
      </c>
      <c r="I360" s="916">
        <f t="shared" si="20"/>
        <v>0.80174435612945727</v>
      </c>
      <c r="J360" s="909">
        <v>145000000</v>
      </c>
      <c r="K360" s="909">
        <v>74243335.430000007</v>
      </c>
      <c r="L360" s="909">
        <v>219243335.43000001</v>
      </c>
      <c r="M360" s="909">
        <v>175777106.79999998</v>
      </c>
      <c r="N360" s="909">
        <v>171003293.81</v>
      </c>
      <c r="O360" s="909">
        <v>43466228.630000025</v>
      </c>
    </row>
    <row r="361" spans="1:15" s="11" customFormat="1" ht="17.25" customHeight="1" x14ac:dyDescent="0.2">
      <c r="A361" s="923">
        <v>6100</v>
      </c>
      <c r="B361" s="889" t="s">
        <v>6350</v>
      </c>
      <c r="C361" s="891">
        <f>C362+C369</f>
        <v>145000000</v>
      </c>
      <c r="D361" s="891">
        <v>71793415.430000007</v>
      </c>
      <c r="E361" s="891">
        <f t="shared" si="17"/>
        <v>216793415.43000001</v>
      </c>
      <c r="F361" s="891">
        <v>173493105.99999997</v>
      </c>
      <c r="G361" s="891">
        <v>168424418.39999998</v>
      </c>
      <c r="H361" s="891">
        <f t="shared" si="18"/>
        <v>43300309.430000037</v>
      </c>
      <c r="I361" s="916">
        <f t="shared" si="20"/>
        <v>0.800269259358658</v>
      </c>
      <c r="J361" s="909">
        <f>C360-J360</f>
        <v>0</v>
      </c>
      <c r="K361" s="909">
        <f t="shared" ref="K361:O361" si="21">D360-K360</f>
        <v>0</v>
      </c>
      <c r="L361" s="909">
        <f t="shared" si="21"/>
        <v>0</v>
      </c>
      <c r="M361" s="909">
        <f t="shared" si="21"/>
        <v>0</v>
      </c>
      <c r="N361" s="909">
        <f t="shared" si="21"/>
        <v>-294874.61000001431</v>
      </c>
      <c r="O361" s="909">
        <f t="shared" si="21"/>
        <v>0</v>
      </c>
    </row>
    <row r="362" spans="1:15" s="11" customFormat="1" ht="45" x14ac:dyDescent="0.2">
      <c r="A362" s="924">
        <v>613</v>
      </c>
      <c r="B362" s="889" t="s">
        <v>6351</v>
      </c>
      <c r="C362" s="891">
        <f>SUM(C364:C368)</f>
        <v>500000</v>
      </c>
      <c r="D362" s="891">
        <v>4625022.1899999995</v>
      </c>
      <c r="E362" s="891">
        <f>+C362+D362</f>
        <v>5125022.1899999995</v>
      </c>
      <c r="F362" s="891">
        <v>3957122.94</v>
      </c>
      <c r="G362" s="891">
        <v>3803282.94</v>
      </c>
      <c r="H362" s="891">
        <f t="shared" si="18"/>
        <v>1167899.2499999995</v>
      </c>
      <c r="I362" s="916">
        <f t="shared" si="20"/>
        <v>0.77211820618478144</v>
      </c>
      <c r="J362" s="909"/>
      <c r="K362" s="909"/>
      <c r="L362" s="909"/>
      <c r="M362" s="909"/>
      <c r="N362" s="909"/>
      <c r="O362" s="909"/>
    </row>
    <row r="363" spans="1:15" s="11" customFormat="1" ht="17.25" hidden="1" customHeight="1" x14ac:dyDescent="0.2">
      <c r="A363" s="925">
        <v>61303</v>
      </c>
      <c r="B363" s="898" t="s">
        <v>6352</v>
      </c>
      <c r="C363" s="891">
        <v>0</v>
      </c>
      <c r="D363" s="893"/>
      <c r="E363" s="893">
        <f>+C363+D363</f>
        <v>0</v>
      </c>
      <c r="F363" s="891"/>
      <c r="G363" s="891"/>
      <c r="H363" s="891">
        <f t="shared" si="18"/>
        <v>0</v>
      </c>
      <c r="I363" s="916" t="e">
        <f t="shared" si="20"/>
        <v>#DIV/0!</v>
      </c>
      <c r="J363" s="909"/>
      <c r="K363" s="909"/>
      <c r="L363" s="909"/>
      <c r="M363" s="909"/>
      <c r="N363" s="909"/>
      <c r="O363" s="909"/>
    </row>
    <row r="364" spans="1:15" s="11" customFormat="1" ht="22.5" x14ac:dyDescent="0.2">
      <c r="A364" s="925">
        <v>61305</v>
      </c>
      <c r="B364" s="898" t="s">
        <v>6353</v>
      </c>
      <c r="C364" s="893">
        <f>'[4]Por organismos DIC'!I367</f>
        <v>500000</v>
      </c>
      <c r="D364" s="893">
        <v>2625022.19</v>
      </c>
      <c r="E364" s="891">
        <f t="shared" si="17"/>
        <v>3125022.19</v>
      </c>
      <c r="F364" s="893">
        <v>1978635.48</v>
      </c>
      <c r="G364" s="893">
        <v>1824795.48</v>
      </c>
      <c r="H364" s="891">
        <f t="shared" si="18"/>
        <v>1146386.71</v>
      </c>
      <c r="I364" s="916">
        <f t="shared" si="20"/>
        <v>0.63315885766558344</v>
      </c>
      <c r="J364" s="909"/>
      <c r="K364" s="909"/>
      <c r="L364" s="909"/>
      <c r="M364" s="909"/>
      <c r="N364" s="909"/>
      <c r="O364" s="909"/>
    </row>
    <row r="365" spans="1:15" s="11" customFormat="1" ht="22.5" x14ac:dyDescent="0.2">
      <c r="A365" s="925">
        <v>61306</v>
      </c>
      <c r="B365" s="898" t="s">
        <v>6354</v>
      </c>
      <c r="C365" s="893">
        <f>+'[4]Por organismos DIC'!I368</f>
        <v>0</v>
      </c>
      <c r="D365" s="893">
        <v>2000000</v>
      </c>
      <c r="E365" s="891">
        <f t="shared" si="17"/>
        <v>2000000</v>
      </c>
      <c r="F365" s="893">
        <v>1978487.46</v>
      </c>
      <c r="G365" s="893">
        <v>1978487.46</v>
      </c>
      <c r="H365" s="891">
        <f t="shared" si="18"/>
        <v>21512.540000000037</v>
      </c>
      <c r="I365" s="916">
        <f t="shared" si="20"/>
        <v>0.98924372999999999</v>
      </c>
      <c r="J365" s="909"/>
      <c r="K365" s="909"/>
      <c r="L365" s="909"/>
      <c r="M365" s="909"/>
      <c r="N365" s="909"/>
      <c r="O365" s="909"/>
    </row>
    <row r="366" spans="1:15" s="11" customFormat="1" ht="17.25" hidden="1" customHeight="1" x14ac:dyDescent="0.2">
      <c r="A366" s="925">
        <v>61309</v>
      </c>
      <c r="B366" s="898" t="s">
        <v>6355</v>
      </c>
      <c r="C366" s="893">
        <f>'[4]Por organismos DIC'!I369</f>
        <v>0</v>
      </c>
      <c r="D366" s="893">
        <v>0</v>
      </c>
      <c r="E366" s="891">
        <f t="shared" si="17"/>
        <v>0</v>
      </c>
      <c r="F366" s="893">
        <v>0</v>
      </c>
      <c r="G366" s="893">
        <v>0</v>
      </c>
      <c r="H366" s="891">
        <f t="shared" si="18"/>
        <v>0</v>
      </c>
      <c r="I366" s="916" t="e">
        <f t="shared" si="20"/>
        <v>#DIV/0!</v>
      </c>
      <c r="J366" s="909"/>
      <c r="K366" s="909"/>
      <c r="L366" s="909"/>
      <c r="M366" s="909"/>
      <c r="N366" s="909"/>
      <c r="O366" s="909"/>
    </row>
    <row r="367" spans="1:15" s="11" customFormat="1" ht="17.25" hidden="1" customHeight="1" x14ac:dyDescent="0.2">
      <c r="A367" s="925">
        <v>61310</v>
      </c>
      <c r="B367" s="898" t="s">
        <v>6356</v>
      </c>
      <c r="C367" s="893">
        <f>'[4]Por organismos DIC'!I370</f>
        <v>0</v>
      </c>
      <c r="D367" s="893">
        <v>0</v>
      </c>
      <c r="E367" s="891">
        <f t="shared" si="17"/>
        <v>0</v>
      </c>
      <c r="F367" s="893">
        <v>0</v>
      </c>
      <c r="G367" s="893">
        <v>0</v>
      </c>
      <c r="H367" s="891">
        <f t="shared" si="18"/>
        <v>0</v>
      </c>
      <c r="I367" s="916" t="e">
        <f t="shared" si="20"/>
        <v>#DIV/0!</v>
      </c>
      <c r="J367" s="909"/>
      <c r="K367" s="909"/>
      <c r="L367" s="909"/>
      <c r="M367" s="909"/>
      <c r="N367" s="909"/>
      <c r="O367" s="909"/>
    </row>
    <row r="368" spans="1:15" s="11" customFormat="1" ht="12.75" hidden="1" x14ac:dyDescent="0.2">
      <c r="A368" s="925">
        <v>61315</v>
      </c>
      <c r="B368" s="898" t="s">
        <v>6357</v>
      </c>
      <c r="C368" s="893">
        <f>'[4]Por organismos DIC'!I371</f>
        <v>0</v>
      </c>
      <c r="D368" s="893">
        <v>0</v>
      </c>
      <c r="E368" s="891">
        <f t="shared" si="17"/>
        <v>0</v>
      </c>
      <c r="F368" s="893">
        <v>0</v>
      </c>
      <c r="G368" s="893">
        <v>0</v>
      </c>
      <c r="H368" s="891">
        <f t="shared" si="18"/>
        <v>0</v>
      </c>
      <c r="I368" s="916" t="e">
        <f t="shared" si="20"/>
        <v>#DIV/0!</v>
      </c>
      <c r="J368" s="909"/>
      <c r="K368" s="909"/>
      <c r="L368" s="909"/>
      <c r="M368" s="909"/>
      <c r="N368" s="909"/>
      <c r="O368" s="909"/>
    </row>
    <row r="369" spans="1:15" s="11" customFormat="1" ht="17.25" customHeight="1" x14ac:dyDescent="0.2">
      <c r="A369" s="924">
        <v>614</v>
      </c>
      <c r="B369" s="889" t="s">
        <v>6358</v>
      </c>
      <c r="C369" s="891">
        <f>SUM(C370:C376)</f>
        <v>144500000</v>
      </c>
      <c r="D369" s="891">
        <v>67168393.24000001</v>
      </c>
      <c r="E369" s="891">
        <f t="shared" si="17"/>
        <v>211668393.24000001</v>
      </c>
      <c r="F369" s="891">
        <v>169535983.05999997</v>
      </c>
      <c r="G369" s="891">
        <v>164621135.45999998</v>
      </c>
      <c r="H369" s="891">
        <f t="shared" si="18"/>
        <v>42132410.180000037</v>
      </c>
      <c r="I369" s="916">
        <f t="shared" si="20"/>
        <v>0.8009508668957096</v>
      </c>
      <c r="J369" s="909"/>
      <c r="K369" s="909"/>
      <c r="L369" s="909"/>
      <c r="M369" s="909"/>
      <c r="N369" s="909"/>
      <c r="O369" s="909"/>
    </row>
    <row r="370" spans="1:15" s="11" customFormat="1" ht="17.25" hidden="1" customHeight="1" x14ac:dyDescent="0.2">
      <c r="A370" s="925">
        <v>61404</v>
      </c>
      <c r="B370" s="898" t="s">
        <v>6359</v>
      </c>
      <c r="C370" s="893">
        <f>'[4]Por organismos DIC'!I373</f>
        <v>0</v>
      </c>
      <c r="D370" s="893">
        <v>0</v>
      </c>
      <c r="E370" s="891">
        <f t="shared" si="17"/>
        <v>0</v>
      </c>
      <c r="F370" s="893">
        <v>0</v>
      </c>
      <c r="G370" s="893">
        <v>0</v>
      </c>
      <c r="H370" s="891">
        <f t="shared" si="18"/>
        <v>0</v>
      </c>
      <c r="I370" s="916" t="e">
        <f t="shared" si="20"/>
        <v>#DIV/0!</v>
      </c>
      <c r="J370" s="909"/>
      <c r="K370" s="909"/>
      <c r="L370" s="909"/>
      <c r="M370" s="909"/>
      <c r="N370" s="909"/>
      <c r="O370" s="909"/>
    </row>
    <row r="371" spans="1:15" s="11" customFormat="1" ht="17.25" customHeight="1" x14ac:dyDescent="0.2">
      <c r="A371" s="925">
        <v>61406</v>
      </c>
      <c r="B371" s="898" t="s">
        <v>6360</v>
      </c>
      <c r="C371" s="893">
        <f>'[4]Por organismos DIC'!I375</f>
        <v>0</v>
      </c>
      <c r="D371" s="893">
        <v>13806474.559999999</v>
      </c>
      <c r="E371" s="891">
        <f t="shared" si="17"/>
        <v>13806474.559999999</v>
      </c>
      <c r="F371" s="893">
        <v>9767649.2199999988</v>
      </c>
      <c r="G371" s="893">
        <v>9767649.2199999988</v>
      </c>
      <c r="H371" s="891">
        <f t="shared" si="18"/>
        <v>4038825.34</v>
      </c>
      <c r="I371" s="916">
        <f t="shared" si="20"/>
        <v>0.70746874428746276</v>
      </c>
      <c r="J371" s="909"/>
      <c r="K371" s="909"/>
      <c r="L371" s="909"/>
      <c r="M371" s="909"/>
      <c r="N371" s="909"/>
      <c r="O371" s="909"/>
    </row>
    <row r="372" spans="1:15" s="11" customFormat="1" ht="17.25" customHeight="1" x14ac:dyDescent="0.2">
      <c r="A372" s="925">
        <v>61408</v>
      </c>
      <c r="B372" s="898" t="s">
        <v>6361</v>
      </c>
      <c r="C372" s="893">
        <f>'[4]Por organismos DIC'!I376</f>
        <v>60052078.600000001</v>
      </c>
      <c r="D372" s="893">
        <v>75890587.460000008</v>
      </c>
      <c r="E372" s="891">
        <f t="shared" si="17"/>
        <v>135942666.06</v>
      </c>
      <c r="F372" s="893">
        <v>128182335.36</v>
      </c>
      <c r="G372" s="893">
        <v>124889980.78999999</v>
      </c>
      <c r="H372" s="891">
        <f t="shared" si="18"/>
        <v>7760330.700000003</v>
      </c>
      <c r="I372" s="916">
        <f t="shared" si="20"/>
        <v>0.94291467921796612</v>
      </c>
      <c r="J372" s="909"/>
      <c r="K372" s="909"/>
      <c r="L372" s="909"/>
      <c r="M372" s="909"/>
      <c r="N372" s="909"/>
      <c r="O372" s="909"/>
    </row>
    <row r="373" spans="1:15" s="11" customFormat="1" ht="17.25" customHeight="1" x14ac:dyDescent="0.2">
      <c r="A373" s="925">
        <v>61409</v>
      </c>
      <c r="B373" s="898" t="s">
        <v>6362</v>
      </c>
      <c r="C373" s="893">
        <f>'[4]Por organismos DIC'!I377</f>
        <v>84447921.400000006</v>
      </c>
      <c r="D373" s="893">
        <v>-25935671.759999998</v>
      </c>
      <c r="E373" s="891">
        <f t="shared" ref="E373:E425" si="22">+C373+D373</f>
        <v>58512249.640000008</v>
      </c>
      <c r="F373" s="893">
        <v>29955057.75</v>
      </c>
      <c r="G373" s="893">
        <v>28624199.98</v>
      </c>
      <c r="H373" s="891">
        <f t="shared" si="18"/>
        <v>28557191.890000008</v>
      </c>
      <c r="I373" s="916">
        <f t="shared" si="20"/>
        <v>0.51194507020837898</v>
      </c>
      <c r="J373" s="909"/>
      <c r="K373" s="909"/>
      <c r="L373" s="909"/>
      <c r="M373" s="909"/>
      <c r="N373" s="909"/>
      <c r="O373" s="909"/>
    </row>
    <row r="374" spans="1:15" s="11" customFormat="1" ht="17.25" customHeight="1" x14ac:dyDescent="0.2">
      <c r="A374" s="925">
        <v>61415</v>
      </c>
      <c r="B374" s="898" t="s">
        <v>6363</v>
      </c>
      <c r="C374" s="893">
        <f>'[4]Por organismos DIC'!I378</f>
        <v>0</v>
      </c>
      <c r="D374" s="893">
        <v>0</v>
      </c>
      <c r="E374" s="891">
        <f t="shared" si="22"/>
        <v>0</v>
      </c>
      <c r="F374" s="893">
        <v>0</v>
      </c>
      <c r="G374" s="893">
        <v>0</v>
      </c>
      <c r="H374" s="891">
        <f t="shared" ref="H374:H425" si="23">+E374-F374</f>
        <v>0</v>
      </c>
      <c r="I374" s="916" t="e">
        <f t="shared" si="20"/>
        <v>#DIV/0!</v>
      </c>
      <c r="J374" s="909"/>
      <c r="K374" s="909"/>
      <c r="L374" s="909"/>
      <c r="M374" s="909"/>
      <c r="N374" s="909"/>
      <c r="O374" s="909"/>
    </row>
    <row r="375" spans="1:15" s="11" customFormat="1" ht="17.25" customHeight="1" x14ac:dyDescent="0.2">
      <c r="A375" s="926">
        <v>61424</v>
      </c>
      <c r="B375" s="899" t="s">
        <v>6364</v>
      </c>
      <c r="C375" s="893">
        <f>'[4]Por organismos DIC'!I379</f>
        <v>0</v>
      </c>
      <c r="D375" s="893">
        <v>2503292.21</v>
      </c>
      <c r="E375" s="891">
        <f t="shared" si="22"/>
        <v>2503292.21</v>
      </c>
      <c r="F375" s="893">
        <v>862586.7</v>
      </c>
      <c r="G375" s="893">
        <v>862199.24</v>
      </c>
      <c r="H375" s="891">
        <f t="shared" si="23"/>
        <v>1640705.51</v>
      </c>
      <c r="I375" s="916">
        <f t="shared" si="20"/>
        <v>0.34458090691697552</v>
      </c>
      <c r="J375" s="909"/>
      <c r="K375" s="909"/>
      <c r="L375" s="909"/>
      <c r="M375" s="909"/>
      <c r="N375" s="909"/>
      <c r="O375" s="909"/>
    </row>
    <row r="376" spans="1:15" s="11" customFormat="1" ht="17.25" customHeight="1" x14ac:dyDescent="0.2">
      <c r="A376" s="926">
        <v>61425</v>
      </c>
      <c r="B376" s="899" t="s">
        <v>6365</v>
      </c>
      <c r="C376" s="893">
        <f>'[4]Por organismos DIC'!I380</f>
        <v>0</v>
      </c>
      <c r="D376" s="893">
        <v>903710.77</v>
      </c>
      <c r="E376" s="891">
        <f t="shared" si="22"/>
        <v>903710.77</v>
      </c>
      <c r="F376" s="893">
        <v>768354.03</v>
      </c>
      <c r="G376" s="893">
        <v>477106.23</v>
      </c>
      <c r="H376" s="891">
        <f t="shared" si="23"/>
        <v>135356.74</v>
      </c>
      <c r="I376" s="916">
        <f t="shared" si="20"/>
        <v>0.85022117197961466</v>
      </c>
      <c r="J376" s="909"/>
      <c r="K376" s="909"/>
      <c r="L376" s="909"/>
      <c r="M376" s="909"/>
      <c r="N376" s="909"/>
      <c r="O376" s="909"/>
    </row>
    <row r="377" spans="1:15" s="11" customFormat="1" ht="17.25" customHeight="1" x14ac:dyDescent="0.2">
      <c r="A377" s="927">
        <v>6200</v>
      </c>
      <c r="B377" s="901" t="s">
        <v>6366</v>
      </c>
      <c r="C377" s="891">
        <f>C378</f>
        <v>0</v>
      </c>
      <c r="D377" s="891">
        <v>2449920</v>
      </c>
      <c r="E377" s="891">
        <f t="shared" si="22"/>
        <v>2449920</v>
      </c>
      <c r="F377" s="891">
        <v>2284000.7999999998</v>
      </c>
      <c r="G377" s="891">
        <v>2284000.7999999998</v>
      </c>
      <c r="H377" s="891">
        <f t="shared" si="23"/>
        <v>165919.20000000019</v>
      </c>
      <c r="I377" s="916">
        <f t="shared" si="20"/>
        <v>0.93227566614420054</v>
      </c>
      <c r="J377" s="909"/>
      <c r="K377" s="909"/>
      <c r="L377" s="909"/>
      <c r="M377" s="909"/>
      <c r="N377" s="909"/>
      <c r="O377" s="909"/>
    </row>
    <row r="378" spans="1:15" s="11" customFormat="1" ht="17.25" customHeight="1" x14ac:dyDescent="0.2">
      <c r="A378" s="924">
        <v>624</v>
      </c>
      <c r="B378" s="901" t="s">
        <v>6367</v>
      </c>
      <c r="C378" s="891">
        <f>C379+C382+C381+C380</f>
        <v>0</v>
      </c>
      <c r="D378" s="891">
        <v>2449920</v>
      </c>
      <c r="E378" s="891">
        <f t="shared" si="22"/>
        <v>2449920</v>
      </c>
      <c r="F378" s="891">
        <v>2284000.7999999998</v>
      </c>
      <c r="G378" s="891">
        <v>2284000.7999999998</v>
      </c>
      <c r="H378" s="891">
        <f t="shared" si="23"/>
        <v>165919.20000000019</v>
      </c>
      <c r="I378" s="916">
        <f t="shared" si="20"/>
        <v>0.93227566614420054</v>
      </c>
      <c r="J378" s="909"/>
      <c r="K378" s="909"/>
      <c r="L378" s="909"/>
      <c r="M378" s="909"/>
      <c r="N378" s="909"/>
      <c r="O378" s="909"/>
    </row>
    <row r="379" spans="1:15" s="11" customFormat="1" ht="17.25" hidden="1" customHeight="1" x14ac:dyDescent="0.2">
      <c r="A379" s="926">
        <v>62404</v>
      </c>
      <c r="B379" s="899" t="s">
        <v>6359</v>
      </c>
      <c r="C379" s="893">
        <f>'[4]Por organismos DIC'!I383</f>
        <v>0</v>
      </c>
      <c r="D379" s="893">
        <v>0</v>
      </c>
      <c r="E379" s="891">
        <f t="shared" si="22"/>
        <v>0</v>
      </c>
      <c r="F379" s="893">
        <v>0</v>
      </c>
      <c r="G379" s="893">
        <v>0</v>
      </c>
      <c r="H379" s="891">
        <f t="shared" si="23"/>
        <v>0</v>
      </c>
      <c r="I379" s="916" t="e">
        <f t="shared" si="20"/>
        <v>#DIV/0!</v>
      </c>
      <c r="J379" s="909"/>
      <c r="K379" s="909"/>
      <c r="L379" s="909"/>
      <c r="M379" s="909"/>
      <c r="N379" s="909"/>
      <c r="O379" s="909"/>
    </row>
    <row r="380" spans="1:15" s="11" customFormat="1" ht="17.25" customHeight="1" x14ac:dyDescent="0.2">
      <c r="A380" s="926">
        <v>62408</v>
      </c>
      <c r="B380" s="899" t="s">
        <v>6368</v>
      </c>
      <c r="C380" s="893">
        <f>'[4]Por organismos DIC'!I384</f>
        <v>0</v>
      </c>
      <c r="D380" s="893">
        <v>2449920</v>
      </c>
      <c r="E380" s="891">
        <f t="shared" si="22"/>
        <v>2449920</v>
      </c>
      <c r="F380" s="893">
        <v>2284000.7999999998</v>
      </c>
      <c r="G380" s="893">
        <v>2284000.7999999998</v>
      </c>
      <c r="H380" s="891">
        <f t="shared" si="23"/>
        <v>165919.20000000019</v>
      </c>
      <c r="I380" s="916">
        <f t="shared" si="20"/>
        <v>0.93227566614420054</v>
      </c>
      <c r="J380" s="909"/>
      <c r="K380" s="909"/>
      <c r="L380" s="909"/>
      <c r="M380" s="909"/>
      <c r="N380" s="909"/>
      <c r="O380" s="909"/>
    </row>
    <row r="381" spans="1:15" s="11" customFormat="1" ht="17.25" hidden="1" customHeight="1" x14ac:dyDescent="0.2">
      <c r="A381" s="926">
        <v>62409</v>
      </c>
      <c r="B381" s="899" t="s">
        <v>6369</v>
      </c>
      <c r="C381" s="893">
        <f>'[4]Por organismos DIC'!I383</f>
        <v>0</v>
      </c>
      <c r="D381" s="893">
        <v>0</v>
      </c>
      <c r="E381" s="891">
        <f t="shared" si="22"/>
        <v>0</v>
      </c>
      <c r="F381" s="893">
        <v>0</v>
      </c>
      <c r="G381" s="893">
        <v>0</v>
      </c>
      <c r="H381" s="891">
        <f t="shared" si="23"/>
        <v>0</v>
      </c>
      <c r="I381" s="916" t="e">
        <f t="shared" si="20"/>
        <v>#DIV/0!</v>
      </c>
      <c r="J381" s="909"/>
      <c r="K381" s="909"/>
      <c r="L381" s="909"/>
      <c r="M381" s="909"/>
      <c r="N381" s="909"/>
      <c r="O381" s="909"/>
    </row>
    <row r="382" spans="1:15" s="11" customFormat="1" ht="17.25" hidden="1" customHeight="1" x14ac:dyDescent="0.2">
      <c r="A382" s="926">
        <v>61406</v>
      </c>
      <c r="B382" s="899" t="s">
        <v>6360</v>
      </c>
      <c r="C382" s="893">
        <f>'[4]Por organismos DIC'!I386</f>
        <v>0</v>
      </c>
      <c r="D382" s="893">
        <v>0</v>
      </c>
      <c r="E382" s="891">
        <f t="shared" si="22"/>
        <v>0</v>
      </c>
      <c r="F382" s="893">
        <v>0</v>
      </c>
      <c r="G382" s="893">
        <v>0</v>
      </c>
      <c r="H382" s="891">
        <f t="shared" si="23"/>
        <v>0</v>
      </c>
      <c r="I382" s="916" t="e">
        <f t="shared" si="20"/>
        <v>#DIV/0!</v>
      </c>
      <c r="J382" s="909"/>
      <c r="K382" s="909"/>
      <c r="L382" s="909"/>
      <c r="M382" s="909"/>
      <c r="N382" s="909"/>
      <c r="O382" s="909"/>
    </row>
    <row r="383" spans="1:15" s="11" customFormat="1" ht="17.25" customHeight="1" x14ac:dyDescent="0.2">
      <c r="A383" s="926"/>
      <c r="B383" s="899"/>
      <c r="C383" s="893"/>
      <c r="D383" s="893"/>
      <c r="E383" s="891"/>
      <c r="F383" s="893"/>
      <c r="G383" s="893"/>
      <c r="H383" s="891"/>
      <c r="I383" s="916"/>
      <c r="J383" s="909"/>
      <c r="K383" s="909"/>
      <c r="L383" s="909"/>
      <c r="M383" s="909"/>
      <c r="N383" s="909"/>
      <c r="O383" s="909"/>
    </row>
    <row r="384" spans="1:15" s="11" customFormat="1" ht="17.25" customHeight="1" x14ac:dyDescent="0.2">
      <c r="A384" s="928"/>
      <c r="B384" s="900" t="s">
        <v>2063</v>
      </c>
      <c r="C384" s="891">
        <f>C385+C403</f>
        <v>114999999.995</v>
      </c>
      <c r="D384" s="891">
        <v>3037575778.5100002</v>
      </c>
      <c r="E384" s="891">
        <f t="shared" si="22"/>
        <v>3152575778.5050001</v>
      </c>
      <c r="F384" s="891">
        <v>1734650319.29</v>
      </c>
      <c r="G384" s="891">
        <v>1711966486.6399999</v>
      </c>
      <c r="H384" s="891">
        <f t="shared" si="23"/>
        <v>1417925459.2150002</v>
      </c>
      <c r="I384" s="916">
        <f t="shared" si="20"/>
        <v>0.55023271165034382</v>
      </c>
      <c r="J384" s="909">
        <v>114999999.995</v>
      </c>
      <c r="K384" s="909">
        <v>3037575778.5100002</v>
      </c>
      <c r="L384" s="909">
        <v>3152575778.5050001</v>
      </c>
      <c r="M384" s="909">
        <v>1734650319.29</v>
      </c>
      <c r="N384" s="909">
        <v>1711966486.6399999</v>
      </c>
      <c r="O384" s="909">
        <v>1417925459.2150002</v>
      </c>
    </row>
    <row r="385" spans="1:15" s="11" customFormat="1" ht="17.25" customHeight="1" x14ac:dyDescent="0.2">
      <c r="A385" s="927">
        <v>6100</v>
      </c>
      <c r="B385" s="901" t="s">
        <v>6350</v>
      </c>
      <c r="C385" s="891">
        <f>C386+C396</f>
        <v>114999999.995</v>
      </c>
      <c r="D385" s="891">
        <v>3037575778.5100002</v>
      </c>
      <c r="E385" s="891">
        <f t="shared" si="22"/>
        <v>3152575778.5050001</v>
      </c>
      <c r="F385" s="891">
        <v>1734650319.29</v>
      </c>
      <c r="G385" s="891">
        <v>1711966486.6399999</v>
      </c>
      <c r="H385" s="891">
        <f t="shared" si="23"/>
        <v>1417925459.2150002</v>
      </c>
      <c r="I385" s="916">
        <f t="shared" si="20"/>
        <v>0.55023271165034382</v>
      </c>
      <c r="J385" s="909">
        <f>C384-J384</f>
        <v>0</v>
      </c>
      <c r="K385" s="909">
        <f t="shared" ref="K385:O385" si="24">D384-K384</f>
        <v>0</v>
      </c>
      <c r="L385" s="909">
        <f t="shared" si="24"/>
        <v>0</v>
      </c>
      <c r="M385" s="909">
        <f t="shared" si="24"/>
        <v>0</v>
      </c>
      <c r="N385" s="909">
        <f t="shared" si="24"/>
        <v>0</v>
      </c>
      <c r="O385" s="909">
        <f t="shared" si="24"/>
        <v>0</v>
      </c>
    </row>
    <row r="386" spans="1:15" s="11" customFormat="1" ht="17.25" customHeight="1" x14ac:dyDescent="0.2">
      <c r="A386" s="928">
        <v>613</v>
      </c>
      <c r="B386" s="889" t="s">
        <v>6351</v>
      </c>
      <c r="C386" s="891">
        <f>SUM(C388:C395)+C387</f>
        <v>500000</v>
      </c>
      <c r="D386" s="891">
        <v>3001879694.3800001</v>
      </c>
      <c r="E386" s="891">
        <f t="shared" si="22"/>
        <v>3002379694.3800001</v>
      </c>
      <c r="F386" s="891">
        <v>1662600947.4400001</v>
      </c>
      <c r="G386" s="891">
        <v>1651448541.27</v>
      </c>
      <c r="H386" s="891">
        <f t="shared" si="23"/>
        <v>1339778746.9400001</v>
      </c>
      <c r="I386" s="916">
        <f t="shared" si="20"/>
        <v>0.55376105512308693</v>
      </c>
      <c r="J386" s="909"/>
      <c r="K386" s="909"/>
      <c r="L386" s="909"/>
      <c r="M386" s="909"/>
      <c r="N386" s="909"/>
      <c r="O386" s="909"/>
    </row>
    <row r="387" spans="1:15" s="11" customFormat="1" ht="17.25" hidden="1" customHeight="1" x14ac:dyDescent="0.2">
      <c r="A387" s="926">
        <v>61303</v>
      </c>
      <c r="B387" s="898" t="s">
        <v>6352</v>
      </c>
      <c r="C387" s="893">
        <f>'[4]Por organismos DIC'!I391</f>
        <v>0</v>
      </c>
      <c r="D387" s="893">
        <v>0</v>
      </c>
      <c r="E387" s="891">
        <f t="shared" si="22"/>
        <v>0</v>
      </c>
      <c r="F387" s="891">
        <v>0</v>
      </c>
      <c r="G387" s="891">
        <v>0</v>
      </c>
      <c r="H387" s="891">
        <f t="shared" si="23"/>
        <v>0</v>
      </c>
      <c r="I387" s="916" t="e">
        <f t="shared" si="20"/>
        <v>#DIV/0!</v>
      </c>
      <c r="J387" s="909"/>
      <c r="K387" s="909"/>
      <c r="L387" s="909"/>
      <c r="M387" s="909"/>
      <c r="N387" s="909"/>
      <c r="O387" s="909"/>
    </row>
    <row r="388" spans="1:15" s="11" customFormat="1" ht="21" customHeight="1" x14ac:dyDescent="0.2">
      <c r="A388" s="926">
        <v>61305</v>
      </c>
      <c r="B388" s="898" t="s">
        <v>6353</v>
      </c>
      <c r="C388" s="893">
        <f>'[4]Por organismos DIC'!I392</f>
        <v>500000</v>
      </c>
      <c r="D388" s="893">
        <v>1000000</v>
      </c>
      <c r="E388" s="891">
        <f t="shared" si="22"/>
        <v>1500000</v>
      </c>
      <c r="F388" s="893">
        <v>1396693.81</v>
      </c>
      <c r="G388" s="893">
        <v>1396693.81</v>
      </c>
      <c r="H388" s="891">
        <f t="shared" si="23"/>
        <v>103306.18999999994</v>
      </c>
      <c r="I388" s="916">
        <f t="shared" si="20"/>
        <v>0.93112920666666665</v>
      </c>
      <c r="J388" s="909"/>
      <c r="K388" s="909"/>
      <c r="L388" s="909"/>
      <c r="M388" s="909"/>
      <c r="N388" s="909"/>
      <c r="O388" s="909"/>
    </row>
    <row r="389" spans="1:15" s="11" customFormat="1" ht="21" customHeight="1" x14ac:dyDescent="0.2">
      <c r="A389" s="926">
        <v>61306</v>
      </c>
      <c r="B389" s="898" t="s">
        <v>6370</v>
      </c>
      <c r="C389" s="893">
        <f>'[4]Por organismos DIC'!C393</f>
        <v>0</v>
      </c>
      <c r="D389" s="893">
        <v>641485037.25999999</v>
      </c>
      <c r="E389" s="891">
        <f t="shared" si="22"/>
        <v>641485037.25999999</v>
      </c>
      <c r="F389" s="893">
        <v>150132941.68000001</v>
      </c>
      <c r="G389" s="893">
        <v>150132941.68000001</v>
      </c>
      <c r="H389" s="891">
        <f t="shared" si="23"/>
        <v>491352095.57999998</v>
      </c>
      <c r="I389" s="916">
        <f t="shared" si="20"/>
        <v>0.2340396625948887</v>
      </c>
      <c r="J389" s="909"/>
      <c r="K389" s="909"/>
      <c r="L389" s="909"/>
      <c r="M389" s="909"/>
      <c r="N389" s="909"/>
      <c r="O389" s="909"/>
    </row>
    <row r="390" spans="1:15" s="11" customFormat="1" ht="21" customHeight="1" x14ac:dyDescent="0.2">
      <c r="A390" s="926">
        <v>61307</v>
      </c>
      <c r="B390" s="898" t="s">
        <v>6371</v>
      </c>
      <c r="C390" s="893">
        <f>'[4]Por organismos DIC'!I394</f>
        <v>0</v>
      </c>
      <c r="D390" s="893">
        <v>326099267.34000003</v>
      </c>
      <c r="E390" s="891">
        <f t="shared" si="22"/>
        <v>326099267.34000003</v>
      </c>
      <c r="F390" s="893">
        <v>324262985.61000001</v>
      </c>
      <c r="G390" s="893">
        <v>313908052.58999997</v>
      </c>
      <c r="H390" s="902">
        <f t="shared" si="23"/>
        <v>1836281.7300000191</v>
      </c>
      <c r="I390" s="916">
        <f t="shared" si="20"/>
        <v>0.99436894861807379</v>
      </c>
      <c r="J390" s="909"/>
      <c r="K390" s="909"/>
      <c r="L390" s="909"/>
      <c r="M390" s="909"/>
      <c r="N390" s="909"/>
      <c r="O390" s="909"/>
    </row>
    <row r="391" spans="1:15" s="11" customFormat="1" ht="21" customHeight="1" x14ac:dyDescent="0.2">
      <c r="A391" s="926">
        <v>61308</v>
      </c>
      <c r="B391" s="898" t="s">
        <v>6372</v>
      </c>
      <c r="C391" s="893">
        <f>'[4]Por organismos DIC'!I395</f>
        <v>0</v>
      </c>
      <c r="D391" s="893">
        <v>2013295389.78</v>
      </c>
      <c r="E391" s="891">
        <f t="shared" si="22"/>
        <v>2013295389.78</v>
      </c>
      <c r="F391" s="893">
        <v>1168905470.3400002</v>
      </c>
      <c r="G391" s="893">
        <v>1168107997.1900001</v>
      </c>
      <c r="H391" s="891">
        <f t="shared" si="23"/>
        <v>844389919.43999982</v>
      </c>
      <c r="I391" s="916">
        <f t="shared" si="20"/>
        <v>0.58059312919190198</v>
      </c>
      <c r="J391" s="909"/>
      <c r="K391" s="909"/>
      <c r="L391" s="909"/>
      <c r="M391" s="909"/>
      <c r="N391" s="909"/>
      <c r="O391" s="909"/>
    </row>
    <row r="392" spans="1:15" s="11" customFormat="1" ht="17.25" hidden="1" customHeight="1" x14ac:dyDescent="0.2">
      <c r="A392" s="926">
        <v>61309</v>
      </c>
      <c r="B392" s="898" t="s">
        <v>6373</v>
      </c>
      <c r="C392" s="893">
        <f>'[4]Por organismos DIC'!I396</f>
        <v>0</v>
      </c>
      <c r="D392" s="893">
        <v>0</v>
      </c>
      <c r="E392" s="891">
        <f t="shared" si="22"/>
        <v>0</v>
      </c>
      <c r="F392" s="893">
        <v>0</v>
      </c>
      <c r="G392" s="893">
        <v>0</v>
      </c>
      <c r="H392" s="891">
        <f t="shared" si="23"/>
        <v>0</v>
      </c>
      <c r="I392" s="916" t="e">
        <f t="shared" si="20"/>
        <v>#DIV/0!</v>
      </c>
      <c r="J392" s="909"/>
      <c r="K392" s="909"/>
      <c r="L392" s="909"/>
      <c r="M392" s="909"/>
      <c r="N392" s="909"/>
      <c r="O392" s="909"/>
    </row>
    <row r="393" spans="1:15" s="11" customFormat="1" ht="17.25" customHeight="1" x14ac:dyDescent="0.2">
      <c r="A393" s="926">
        <v>61310</v>
      </c>
      <c r="B393" s="898" t="s">
        <v>6356</v>
      </c>
      <c r="C393" s="893">
        <f>'[4]Por organismos DIC'!I397</f>
        <v>0</v>
      </c>
      <c r="D393" s="893">
        <v>20000000</v>
      </c>
      <c r="E393" s="891">
        <f t="shared" si="22"/>
        <v>20000000</v>
      </c>
      <c r="F393" s="893">
        <v>17902856</v>
      </c>
      <c r="G393" s="893">
        <v>17902856</v>
      </c>
      <c r="H393" s="891">
        <f t="shared" si="23"/>
        <v>2097144</v>
      </c>
      <c r="I393" s="916">
        <f t="shared" si="20"/>
        <v>0.89514280000000002</v>
      </c>
      <c r="J393" s="909"/>
      <c r="K393" s="909"/>
      <c r="L393" s="909"/>
      <c r="M393" s="909"/>
      <c r="N393" s="909"/>
      <c r="O393" s="909"/>
    </row>
    <row r="394" spans="1:15" s="11" customFormat="1" ht="17.25" hidden="1" customHeight="1" x14ac:dyDescent="0.2">
      <c r="A394" s="926">
        <v>61313</v>
      </c>
      <c r="B394" s="898" t="s">
        <v>6374</v>
      </c>
      <c r="C394" s="893">
        <f>'[4]Por organismos DIC'!I398</f>
        <v>0</v>
      </c>
      <c r="D394" s="893">
        <v>0</v>
      </c>
      <c r="E394" s="891">
        <f t="shared" si="22"/>
        <v>0</v>
      </c>
      <c r="F394" s="893">
        <v>0</v>
      </c>
      <c r="G394" s="893">
        <v>0</v>
      </c>
      <c r="H394" s="891">
        <f t="shared" si="23"/>
        <v>0</v>
      </c>
      <c r="I394" s="916" t="e">
        <f t="shared" si="20"/>
        <v>#DIV/0!</v>
      </c>
      <c r="J394" s="909"/>
      <c r="K394" s="909"/>
      <c r="L394" s="909"/>
      <c r="M394" s="909"/>
      <c r="N394" s="909"/>
      <c r="O394" s="909"/>
    </row>
    <row r="395" spans="1:15" s="11" customFormat="1" ht="17.25" hidden="1" customHeight="1" x14ac:dyDescent="0.2">
      <c r="A395" s="926">
        <v>61315</v>
      </c>
      <c r="B395" s="898" t="s">
        <v>6357</v>
      </c>
      <c r="C395" s="893">
        <f>'[4]Por organismos DIC'!I399</f>
        <v>0</v>
      </c>
      <c r="D395" s="893">
        <v>0</v>
      </c>
      <c r="E395" s="891">
        <f t="shared" si="22"/>
        <v>0</v>
      </c>
      <c r="F395" s="893">
        <v>0</v>
      </c>
      <c r="G395" s="893">
        <v>0</v>
      </c>
      <c r="H395" s="891">
        <f t="shared" si="23"/>
        <v>0</v>
      </c>
      <c r="I395" s="916" t="e">
        <f t="shared" si="20"/>
        <v>#DIV/0!</v>
      </c>
      <c r="J395" s="909"/>
      <c r="K395" s="909"/>
      <c r="L395" s="909"/>
      <c r="M395" s="909"/>
      <c r="N395" s="909"/>
      <c r="O395" s="909"/>
    </row>
    <row r="396" spans="1:15" s="11" customFormat="1" ht="17.25" customHeight="1" x14ac:dyDescent="0.2">
      <c r="A396" s="924">
        <v>614</v>
      </c>
      <c r="B396" s="889" t="s">
        <v>6358</v>
      </c>
      <c r="C396" s="891">
        <f>C397+C398+C399+C400+C401+C402</f>
        <v>114499999.995</v>
      </c>
      <c r="D396" s="891">
        <v>35696084.130000003</v>
      </c>
      <c r="E396" s="891">
        <f t="shared" si="22"/>
        <v>150196084.125</v>
      </c>
      <c r="F396" s="891">
        <v>72049371.849999994</v>
      </c>
      <c r="G396" s="891">
        <v>60517945.369999997</v>
      </c>
      <c r="H396" s="891">
        <f t="shared" si="23"/>
        <v>78146712.275000006</v>
      </c>
      <c r="I396" s="916">
        <f t="shared" si="20"/>
        <v>0.47970206593427056</v>
      </c>
      <c r="J396" s="909"/>
      <c r="K396" s="909"/>
      <c r="L396" s="909"/>
      <c r="M396" s="909"/>
      <c r="N396" s="909"/>
      <c r="O396" s="909"/>
    </row>
    <row r="397" spans="1:15" s="11" customFormat="1" ht="17.25" customHeight="1" x14ac:dyDescent="0.2">
      <c r="A397" s="925">
        <v>61406</v>
      </c>
      <c r="B397" s="898" t="s">
        <v>6360</v>
      </c>
      <c r="C397" s="891">
        <f>'[4]Por organismos DIC'!I401</f>
        <v>0</v>
      </c>
      <c r="D397" s="893">
        <v>2792120.12</v>
      </c>
      <c r="E397" s="891">
        <f t="shared" si="22"/>
        <v>2792120.12</v>
      </c>
      <c r="F397" s="893">
        <v>1035684.72</v>
      </c>
      <c r="G397" s="893">
        <v>1035684.72</v>
      </c>
      <c r="H397" s="891">
        <f t="shared" si="23"/>
        <v>1756435.4000000001</v>
      </c>
      <c r="I397" s="916">
        <f t="shared" si="20"/>
        <v>0.37093129073544295</v>
      </c>
      <c r="J397" s="909"/>
      <c r="K397" s="909"/>
      <c r="L397" s="909"/>
      <c r="M397" s="909"/>
      <c r="N397" s="909"/>
      <c r="O397" s="909"/>
    </row>
    <row r="398" spans="1:15" s="11" customFormat="1" ht="27" customHeight="1" x14ac:dyDescent="0.2">
      <c r="A398" s="925">
        <v>61408</v>
      </c>
      <c r="B398" s="898" t="s">
        <v>6361</v>
      </c>
      <c r="C398" s="893">
        <f>'[4]Por organismos DIC'!I402</f>
        <v>68945896.605000004</v>
      </c>
      <c r="D398" s="893">
        <v>27142000.02</v>
      </c>
      <c r="E398" s="893">
        <f t="shared" si="22"/>
        <v>96087896.625</v>
      </c>
      <c r="F398" s="893">
        <v>48267753.239999995</v>
      </c>
      <c r="G398" s="893">
        <v>37302466.539999999</v>
      </c>
      <c r="H398" s="891">
        <f t="shared" si="23"/>
        <v>47820143.385000005</v>
      </c>
      <c r="I398" s="916">
        <f t="shared" si="20"/>
        <v>0.50232916876485945</v>
      </c>
      <c r="J398" s="909"/>
      <c r="K398" s="909"/>
      <c r="L398" s="909"/>
      <c r="M398" s="909"/>
      <c r="N398" s="909"/>
      <c r="O398" s="909"/>
    </row>
    <row r="399" spans="1:15" s="11" customFormat="1" ht="26.25" customHeight="1" x14ac:dyDescent="0.2">
      <c r="A399" s="925">
        <v>61409</v>
      </c>
      <c r="B399" s="898" t="s">
        <v>6362</v>
      </c>
      <c r="C399" s="893">
        <f>'[4]Por organismos DIC'!I403</f>
        <v>45554103.390000001</v>
      </c>
      <c r="D399" s="893">
        <v>4511137.84</v>
      </c>
      <c r="E399" s="891">
        <f t="shared" si="22"/>
        <v>50065241.230000004</v>
      </c>
      <c r="F399" s="893">
        <v>22027875.359999999</v>
      </c>
      <c r="G399" s="893">
        <v>21461735.579999998</v>
      </c>
      <c r="H399" s="891">
        <f t="shared" si="23"/>
        <v>28037365.870000005</v>
      </c>
      <c r="I399" s="916">
        <f t="shared" si="20"/>
        <v>0.43998340602822256</v>
      </c>
      <c r="J399" s="909"/>
      <c r="K399" s="909"/>
      <c r="L399" s="909"/>
      <c r="M399" s="909"/>
      <c r="N399" s="909"/>
      <c r="O399" s="909"/>
    </row>
    <row r="400" spans="1:15" s="11" customFormat="1" ht="17.25" hidden="1" customHeight="1" x14ac:dyDescent="0.2">
      <c r="A400" s="925">
        <v>61415</v>
      </c>
      <c r="B400" s="898" t="s">
        <v>6363</v>
      </c>
      <c r="C400" s="893">
        <f>'[4]Por organismos DIC'!I404</f>
        <v>0</v>
      </c>
      <c r="D400" s="893">
        <v>0</v>
      </c>
      <c r="E400" s="891">
        <f t="shared" si="22"/>
        <v>0</v>
      </c>
      <c r="F400" s="893">
        <v>0</v>
      </c>
      <c r="G400" s="893">
        <v>0</v>
      </c>
      <c r="H400" s="891">
        <f t="shared" si="23"/>
        <v>0</v>
      </c>
      <c r="I400" s="916" t="e">
        <f t="shared" si="20"/>
        <v>#DIV/0!</v>
      </c>
      <c r="J400" s="909"/>
      <c r="K400" s="909"/>
      <c r="L400" s="909"/>
      <c r="M400" s="909"/>
      <c r="N400" s="909"/>
      <c r="O400" s="909"/>
    </row>
    <row r="401" spans="1:21" s="11" customFormat="1" ht="17.25" hidden="1" customHeight="1" x14ac:dyDescent="0.2">
      <c r="A401" s="925">
        <v>61424</v>
      </c>
      <c r="B401" s="898" t="s">
        <v>6364</v>
      </c>
      <c r="C401" s="893">
        <f>'[4]Por organismos DIC'!I405</f>
        <v>0</v>
      </c>
      <c r="D401" s="893">
        <v>0</v>
      </c>
      <c r="E401" s="891">
        <f t="shared" si="22"/>
        <v>0</v>
      </c>
      <c r="F401" s="893">
        <v>0</v>
      </c>
      <c r="G401" s="893">
        <v>0</v>
      </c>
      <c r="H401" s="891">
        <f t="shared" si="23"/>
        <v>0</v>
      </c>
      <c r="I401" s="916" t="e">
        <f t="shared" si="20"/>
        <v>#DIV/0!</v>
      </c>
      <c r="J401" s="909"/>
      <c r="K401" s="909"/>
      <c r="L401" s="909"/>
      <c r="M401" s="909"/>
      <c r="N401" s="909"/>
      <c r="O401" s="909"/>
    </row>
    <row r="402" spans="1:21" s="11" customFormat="1" ht="17.25" customHeight="1" x14ac:dyDescent="0.2">
      <c r="A402" s="925">
        <v>61425</v>
      </c>
      <c r="B402" s="898" t="s">
        <v>6365</v>
      </c>
      <c r="C402" s="893">
        <f>'[4]Por organismos DIC'!I406</f>
        <v>0</v>
      </c>
      <c r="D402" s="893">
        <v>1250826.1499999999</v>
      </c>
      <c r="E402" s="891">
        <f t="shared" si="22"/>
        <v>1250826.1499999999</v>
      </c>
      <c r="F402" s="893">
        <v>718058.53</v>
      </c>
      <c r="G402" s="893">
        <v>718058.53</v>
      </c>
      <c r="H402" s="891">
        <f t="shared" si="23"/>
        <v>532767.61999999988</v>
      </c>
      <c r="I402" s="916">
        <f t="shared" ref="I402:I423" si="25">+F402/E402</f>
        <v>0.57406741136647976</v>
      </c>
      <c r="J402" s="909"/>
      <c r="K402" s="909"/>
      <c r="L402" s="909"/>
      <c r="M402" s="909"/>
      <c r="N402" s="909"/>
      <c r="O402" s="909"/>
    </row>
    <row r="403" spans="1:21" s="11" customFormat="1" ht="17.25" customHeight="1" x14ac:dyDescent="0.2">
      <c r="A403" s="929">
        <v>6200</v>
      </c>
      <c r="B403" s="901" t="s">
        <v>6375</v>
      </c>
      <c r="C403" s="893">
        <f>'[4]Por organismos DIC'!I407</f>
        <v>0</v>
      </c>
      <c r="D403" s="891">
        <v>0</v>
      </c>
      <c r="E403" s="891">
        <f t="shared" si="22"/>
        <v>0</v>
      </c>
      <c r="F403" s="893">
        <v>0</v>
      </c>
      <c r="G403" s="893">
        <v>0</v>
      </c>
      <c r="H403" s="891">
        <f t="shared" si="23"/>
        <v>0</v>
      </c>
      <c r="I403" s="916"/>
      <c r="J403" s="909"/>
      <c r="K403" s="909"/>
      <c r="L403" s="909"/>
      <c r="M403" s="909"/>
      <c r="N403" s="909"/>
      <c r="O403" s="909"/>
    </row>
    <row r="404" spans="1:21" s="11" customFormat="1" ht="17.25" customHeight="1" x14ac:dyDescent="0.2">
      <c r="A404" s="930">
        <v>624</v>
      </c>
      <c r="B404" s="903" t="s">
        <v>6376</v>
      </c>
      <c r="C404" s="893">
        <f>C405</f>
        <v>0</v>
      </c>
      <c r="D404" s="891">
        <v>0</v>
      </c>
      <c r="E404" s="891">
        <f t="shared" si="22"/>
        <v>0</v>
      </c>
      <c r="F404" s="893">
        <v>0</v>
      </c>
      <c r="G404" s="893">
        <v>0</v>
      </c>
      <c r="H404" s="891">
        <f t="shared" si="23"/>
        <v>0</v>
      </c>
      <c r="I404" s="916"/>
      <c r="J404" s="909"/>
      <c r="K404" s="909"/>
      <c r="L404" s="909"/>
      <c r="M404" s="909"/>
      <c r="N404" s="909"/>
      <c r="O404" s="909"/>
    </row>
    <row r="405" spans="1:21" s="11" customFormat="1" ht="17.25" customHeight="1" x14ac:dyDescent="0.2">
      <c r="A405" s="931">
        <v>62404</v>
      </c>
      <c r="B405" s="898" t="s">
        <v>6359</v>
      </c>
      <c r="C405" s="893">
        <f>'[4]Por organismos DIC'!I409</f>
        <v>0</v>
      </c>
      <c r="D405" s="893">
        <v>0</v>
      </c>
      <c r="E405" s="891">
        <f t="shared" si="22"/>
        <v>0</v>
      </c>
      <c r="F405" s="893">
        <v>0</v>
      </c>
      <c r="G405" s="893">
        <v>0</v>
      </c>
      <c r="H405" s="891">
        <f t="shared" si="23"/>
        <v>0</v>
      </c>
      <c r="I405" s="916"/>
      <c r="J405" s="909"/>
      <c r="K405" s="909"/>
      <c r="L405" s="909"/>
      <c r="M405" s="909"/>
      <c r="N405" s="909"/>
      <c r="O405" s="909"/>
    </row>
    <row r="406" spans="1:21" s="11" customFormat="1" ht="17.25" customHeight="1" x14ac:dyDescent="0.2">
      <c r="A406" s="925"/>
      <c r="B406" s="898"/>
      <c r="C406" s="893"/>
      <c r="D406" s="893"/>
      <c r="E406" s="891">
        <f t="shared" si="22"/>
        <v>0</v>
      </c>
      <c r="F406" s="893">
        <v>0</v>
      </c>
      <c r="G406" s="893">
        <v>0</v>
      </c>
      <c r="H406" s="891">
        <f t="shared" si="23"/>
        <v>0</v>
      </c>
      <c r="I406" s="916"/>
      <c r="J406" s="909"/>
      <c r="K406" s="909"/>
      <c r="L406" s="909"/>
      <c r="M406" s="909"/>
      <c r="N406" s="909"/>
      <c r="O406" s="909"/>
    </row>
    <row r="407" spans="1:21" s="11" customFormat="1" ht="17.25" customHeight="1" x14ac:dyDescent="0.2">
      <c r="A407" s="923">
        <v>7000</v>
      </c>
      <c r="B407" s="889" t="s">
        <v>6377</v>
      </c>
      <c r="C407" s="891">
        <f t="shared" ref="C407:C409" si="26">C408</f>
        <v>27951116.004999999</v>
      </c>
      <c r="D407" s="891">
        <v>0</v>
      </c>
      <c r="E407" s="891">
        <f t="shared" si="22"/>
        <v>27951116.004999999</v>
      </c>
      <c r="F407" s="893">
        <v>0</v>
      </c>
      <c r="G407" s="893">
        <v>0</v>
      </c>
      <c r="H407" s="891">
        <f t="shared" si="23"/>
        <v>27951116.004999999</v>
      </c>
      <c r="I407" s="916">
        <f t="shared" si="25"/>
        <v>0</v>
      </c>
      <c r="J407" s="909"/>
      <c r="K407" s="909"/>
      <c r="L407" s="909"/>
      <c r="M407" s="909"/>
      <c r="N407" s="909"/>
      <c r="O407" s="909"/>
      <c r="P407" s="11">
        <v>4296626.8851000005</v>
      </c>
      <c r="Q407" s="11">
        <v>20204593.010000002</v>
      </c>
      <c r="R407" s="11">
        <v>24501219.895100001</v>
      </c>
      <c r="S407" s="11">
        <v>24334825.75</v>
      </c>
      <c r="T407" s="11">
        <v>20623712.390000001</v>
      </c>
      <c r="U407" s="11">
        <v>166394.14510000125</v>
      </c>
    </row>
    <row r="408" spans="1:21" s="11" customFormat="1" ht="22.5" x14ac:dyDescent="0.2">
      <c r="A408" s="923">
        <v>7900</v>
      </c>
      <c r="B408" s="889" t="s">
        <v>6378</v>
      </c>
      <c r="C408" s="891">
        <f t="shared" si="26"/>
        <v>27951116.004999999</v>
      </c>
      <c r="D408" s="891">
        <v>0</v>
      </c>
      <c r="E408" s="891">
        <f t="shared" si="22"/>
        <v>27951116.004999999</v>
      </c>
      <c r="F408" s="893">
        <v>0</v>
      </c>
      <c r="G408" s="893">
        <v>0</v>
      </c>
      <c r="H408" s="891">
        <f t="shared" si="23"/>
        <v>27951116.004999999</v>
      </c>
      <c r="I408" s="916">
        <f t="shared" si="25"/>
        <v>0</v>
      </c>
      <c r="J408" s="909"/>
      <c r="K408" s="909"/>
      <c r="L408" s="909"/>
      <c r="M408" s="909"/>
      <c r="N408" s="909"/>
      <c r="O408" s="909"/>
      <c r="P408" s="11">
        <v>259999999.995</v>
      </c>
      <c r="Q408" s="11">
        <v>3111819113.9400001</v>
      </c>
      <c r="R408" s="11">
        <v>3371819113.9349999</v>
      </c>
      <c r="S408" s="11">
        <v>1910427426.0899999</v>
      </c>
      <c r="T408" s="11">
        <v>1882674905.8399999</v>
      </c>
      <c r="U408" s="11">
        <v>1461391687.845</v>
      </c>
    </row>
    <row r="409" spans="1:21" s="11" customFormat="1" ht="17.25" customHeight="1" x14ac:dyDescent="0.2">
      <c r="A409" s="924">
        <v>799</v>
      </c>
      <c r="B409" s="889" t="s">
        <v>6379</v>
      </c>
      <c r="C409" s="891">
        <f t="shared" si="26"/>
        <v>27951116.004999999</v>
      </c>
      <c r="D409" s="891">
        <v>0</v>
      </c>
      <c r="E409" s="891">
        <f t="shared" si="22"/>
        <v>27951116.004999999</v>
      </c>
      <c r="F409" s="893">
        <v>0</v>
      </c>
      <c r="G409" s="893">
        <v>0</v>
      </c>
      <c r="H409" s="891">
        <f t="shared" si="23"/>
        <v>27951116.004999999</v>
      </c>
      <c r="I409" s="916">
        <f t="shared" si="25"/>
        <v>0</v>
      </c>
      <c r="J409" s="909"/>
      <c r="K409" s="909"/>
      <c r="L409" s="909"/>
      <c r="M409" s="909"/>
      <c r="N409" s="909"/>
      <c r="O409" s="909"/>
      <c r="P409" s="11">
        <v>27951116.004999999</v>
      </c>
      <c r="Q409" s="11">
        <v>0</v>
      </c>
      <c r="R409" s="11">
        <v>27951116.004999999</v>
      </c>
      <c r="S409" s="11">
        <v>0</v>
      </c>
      <c r="T409" s="11">
        <v>0</v>
      </c>
      <c r="U409" s="11">
        <v>27951116.004999999</v>
      </c>
    </row>
    <row r="410" spans="1:21" s="11" customFormat="1" ht="17.25" customHeight="1" x14ac:dyDescent="0.2">
      <c r="A410" s="925">
        <v>79901</v>
      </c>
      <c r="B410" s="898" t="s">
        <v>6379</v>
      </c>
      <c r="C410" s="893">
        <f>'[4]Por organismos DIC'!I414</f>
        <v>27951116.004999999</v>
      </c>
      <c r="D410" s="893">
        <v>0</v>
      </c>
      <c r="E410" s="891">
        <f t="shared" si="22"/>
        <v>27951116.004999999</v>
      </c>
      <c r="F410" s="893">
        <v>0</v>
      </c>
      <c r="G410" s="893">
        <v>0</v>
      </c>
      <c r="H410" s="891">
        <f t="shared" si="23"/>
        <v>27951116.004999999</v>
      </c>
      <c r="I410" s="916">
        <f t="shared" si="25"/>
        <v>0</v>
      </c>
      <c r="J410" s="909"/>
      <c r="K410" s="909"/>
      <c r="L410" s="909"/>
      <c r="M410" s="909"/>
      <c r="N410" s="909"/>
      <c r="O410" s="909"/>
      <c r="P410" s="11">
        <f>SUM(P407:P409)</f>
        <v>292247742.88510001</v>
      </c>
      <c r="Q410" s="11">
        <f t="shared" ref="Q410:U410" si="27">SUM(Q407:Q409)</f>
        <v>3132023706.9500003</v>
      </c>
      <c r="R410" s="11">
        <f t="shared" si="27"/>
        <v>3424271449.8351002</v>
      </c>
      <c r="S410" s="11">
        <f t="shared" si="27"/>
        <v>1934762251.8399999</v>
      </c>
      <c r="T410" s="11">
        <f t="shared" si="27"/>
        <v>1903298618.23</v>
      </c>
      <c r="U410" s="11">
        <f t="shared" si="27"/>
        <v>1489509197.9951003</v>
      </c>
    </row>
    <row r="411" spans="1:21" s="11" customFormat="1" ht="17.25" customHeight="1" x14ac:dyDescent="0.2">
      <c r="A411" s="926"/>
      <c r="B411" s="899"/>
      <c r="C411" s="893"/>
      <c r="D411" s="893"/>
      <c r="E411" s="891"/>
      <c r="F411" s="893"/>
      <c r="G411" s="893"/>
      <c r="H411" s="891">
        <f t="shared" si="23"/>
        <v>0</v>
      </c>
      <c r="I411" s="916"/>
      <c r="J411" s="909"/>
      <c r="K411" s="909"/>
      <c r="L411" s="909"/>
      <c r="M411" s="909"/>
      <c r="N411" s="909"/>
      <c r="O411" s="909"/>
    </row>
    <row r="412" spans="1:21" s="11" customFormat="1" ht="17.25" customHeight="1" x14ac:dyDescent="0.2">
      <c r="A412" s="923">
        <v>9000</v>
      </c>
      <c r="B412" s="901" t="s">
        <v>6380</v>
      </c>
      <c r="C412" s="891">
        <f>C413+C417+C421</f>
        <v>90000000</v>
      </c>
      <c r="D412" s="891">
        <v>-330666.93999997154</v>
      </c>
      <c r="E412" s="891">
        <f t="shared" si="22"/>
        <v>89669333.060000032</v>
      </c>
      <c r="F412" s="891">
        <v>69977902.400000006</v>
      </c>
      <c r="G412" s="891">
        <v>68698950.810000002</v>
      </c>
      <c r="H412" s="891">
        <f t="shared" si="23"/>
        <v>19691430.660000026</v>
      </c>
      <c r="I412" s="916">
        <f t="shared" si="25"/>
        <v>0.78039949681766907</v>
      </c>
      <c r="J412" s="909">
        <v>90000000</v>
      </c>
      <c r="K412" s="909">
        <v>-320102.93999997154</v>
      </c>
      <c r="L412" s="909">
        <v>89679897.060000032</v>
      </c>
      <c r="M412" s="909">
        <v>69977902.400000006</v>
      </c>
      <c r="N412" s="909">
        <v>68698950.810000002</v>
      </c>
      <c r="O412" s="909">
        <v>19701994.660000026</v>
      </c>
    </row>
    <row r="413" spans="1:21" s="11" customFormat="1" ht="17.25" customHeight="1" x14ac:dyDescent="0.2">
      <c r="A413" s="923">
        <v>9100</v>
      </c>
      <c r="B413" s="901" t="s">
        <v>6381</v>
      </c>
      <c r="C413" s="891">
        <f>C414</f>
        <v>90000000</v>
      </c>
      <c r="D413" s="891">
        <v>-56608003.209999979</v>
      </c>
      <c r="E413" s="891">
        <f t="shared" si="22"/>
        <v>33391996.790000021</v>
      </c>
      <c r="F413" s="891">
        <v>30931478.789999999</v>
      </c>
      <c r="G413" s="891">
        <v>30933478.789999999</v>
      </c>
      <c r="H413" s="891">
        <f t="shared" si="23"/>
        <v>2460518.0000000224</v>
      </c>
      <c r="I413" s="916">
        <f t="shared" si="25"/>
        <v>0.92631414001762002</v>
      </c>
      <c r="J413" s="909">
        <f>C412-J412</f>
        <v>0</v>
      </c>
      <c r="K413" s="909">
        <f t="shared" ref="K413:O413" si="28">D412-K412</f>
        <v>-10564</v>
      </c>
      <c r="L413" s="909">
        <f t="shared" si="28"/>
        <v>-10564</v>
      </c>
      <c r="M413" s="909">
        <f t="shared" si="28"/>
        <v>0</v>
      </c>
      <c r="N413" s="909">
        <f t="shared" si="28"/>
        <v>0</v>
      </c>
      <c r="O413" s="909">
        <f t="shared" si="28"/>
        <v>-10564</v>
      </c>
    </row>
    <row r="414" spans="1:21" s="11" customFormat="1" ht="17.25" customHeight="1" x14ac:dyDescent="0.2">
      <c r="A414" s="924">
        <v>911</v>
      </c>
      <c r="B414" s="901" t="s">
        <v>6382</v>
      </c>
      <c r="C414" s="891">
        <f>C415+C416</f>
        <v>90000000</v>
      </c>
      <c r="D414" s="891">
        <v>-56608003.209999979</v>
      </c>
      <c r="E414" s="891">
        <f t="shared" si="22"/>
        <v>33391996.790000021</v>
      </c>
      <c r="F414" s="891">
        <v>30931478.789999999</v>
      </c>
      <c r="G414" s="891">
        <v>30933478.789999999</v>
      </c>
      <c r="H414" s="891">
        <f t="shared" si="23"/>
        <v>2460518.0000000224</v>
      </c>
      <c r="I414" s="916">
        <f t="shared" si="25"/>
        <v>0.92631414001762002</v>
      </c>
      <c r="J414" s="909"/>
      <c r="K414" s="909"/>
      <c r="L414" s="909"/>
      <c r="M414" s="909"/>
      <c r="N414" s="909"/>
      <c r="O414" s="909"/>
    </row>
    <row r="415" spans="1:21" s="11" customFormat="1" ht="17.25" customHeight="1" x14ac:dyDescent="0.2">
      <c r="A415" s="925">
        <v>91101</v>
      </c>
      <c r="B415" s="899" t="s">
        <v>6383</v>
      </c>
      <c r="C415" s="893"/>
      <c r="D415" s="893">
        <v>0</v>
      </c>
      <c r="E415" s="891">
        <f t="shared" si="22"/>
        <v>0</v>
      </c>
      <c r="F415" s="893">
        <v>0</v>
      </c>
      <c r="G415" s="893">
        <v>0</v>
      </c>
      <c r="H415" s="891">
        <f t="shared" si="23"/>
        <v>0</v>
      </c>
      <c r="I415" s="916"/>
      <c r="J415" s="909"/>
      <c r="K415" s="909"/>
      <c r="L415" s="909"/>
      <c r="M415" s="909"/>
      <c r="N415" s="909"/>
      <c r="O415" s="909"/>
    </row>
    <row r="416" spans="1:21" s="11" customFormat="1" ht="17.25" customHeight="1" x14ac:dyDescent="0.2">
      <c r="A416" s="925">
        <v>91102</v>
      </c>
      <c r="B416" s="899" t="s">
        <v>6384</v>
      </c>
      <c r="C416" s="893">
        <f>'[4]Por organismos DIC'!C420</f>
        <v>90000000</v>
      </c>
      <c r="D416" s="893">
        <v>-56608003.209999979</v>
      </c>
      <c r="E416" s="891">
        <f t="shared" si="22"/>
        <v>33391996.790000021</v>
      </c>
      <c r="F416" s="893">
        <v>30931478.789999999</v>
      </c>
      <c r="G416" s="893">
        <v>30933478.789999999</v>
      </c>
      <c r="H416" s="891">
        <f t="shared" si="23"/>
        <v>2460518.0000000224</v>
      </c>
      <c r="I416" s="916">
        <f t="shared" si="25"/>
        <v>0.92631414001762002</v>
      </c>
      <c r="J416" s="909"/>
      <c r="K416" s="909"/>
      <c r="L416" s="909"/>
      <c r="M416" s="909"/>
      <c r="N416" s="909"/>
      <c r="O416" s="909"/>
    </row>
    <row r="417" spans="1:15" s="11" customFormat="1" ht="17.25" customHeight="1" x14ac:dyDescent="0.2">
      <c r="A417" s="923">
        <v>9200</v>
      </c>
      <c r="B417" s="901" t="s">
        <v>6385</v>
      </c>
      <c r="C417" s="891">
        <f>C418</f>
        <v>0</v>
      </c>
      <c r="D417" s="891">
        <v>28432546.320000004</v>
      </c>
      <c r="E417" s="891">
        <f t="shared" si="22"/>
        <v>28432546.320000004</v>
      </c>
      <c r="F417" s="891">
        <v>28432546.32</v>
      </c>
      <c r="G417" s="891">
        <v>28432546.32</v>
      </c>
      <c r="H417" s="891">
        <f t="shared" si="23"/>
        <v>0</v>
      </c>
      <c r="I417" s="916"/>
      <c r="J417" s="909"/>
      <c r="K417" s="909"/>
      <c r="L417" s="909"/>
      <c r="M417" s="909"/>
      <c r="N417" s="909"/>
      <c r="O417" s="909"/>
    </row>
    <row r="418" spans="1:15" s="11" customFormat="1" ht="17.25" customHeight="1" x14ac:dyDescent="0.2">
      <c r="A418" s="924">
        <v>921</v>
      </c>
      <c r="B418" s="901" t="s">
        <v>6386</v>
      </c>
      <c r="C418" s="891">
        <f>C419+C420</f>
        <v>0</v>
      </c>
      <c r="D418" s="891">
        <v>28432546.320000004</v>
      </c>
      <c r="E418" s="891">
        <f t="shared" si="22"/>
        <v>28432546.320000004</v>
      </c>
      <c r="F418" s="891">
        <v>28432546.32</v>
      </c>
      <c r="G418" s="891">
        <v>28432546.32</v>
      </c>
      <c r="H418" s="891">
        <f t="shared" si="23"/>
        <v>0</v>
      </c>
      <c r="I418" s="916"/>
      <c r="J418" s="909"/>
      <c r="K418" s="909"/>
      <c r="L418" s="909"/>
      <c r="M418" s="909"/>
      <c r="N418" s="909"/>
      <c r="O418" s="909"/>
    </row>
    <row r="419" spans="1:15" s="11" customFormat="1" ht="17.25" customHeight="1" x14ac:dyDescent="0.2">
      <c r="A419" s="925">
        <v>92101</v>
      </c>
      <c r="B419" s="899" t="s">
        <v>6387</v>
      </c>
      <c r="C419" s="893"/>
      <c r="D419" s="904">
        <v>0</v>
      </c>
      <c r="E419" s="891">
        <f t="shared" si="22"/>
        <v>0</v>
      </c>
      <c r="F419" s="893">
        <v>0</v>
      </c>
      <c r="G419" s="893">
        <v>0</v>
      </c>
      <c r="H419" s="891">
        <f t="shared" si="23"/>
        <v>0</v>
      </c>
      <c r="I419" s="916"/>
      <c r="J419" s="909"/>
      <c r="K419" s="909"/>
      <c r="L419" s="909"/>
      <c r="M419" s="909"/>
      <c r="N419" s="909"/>
      <c r="O419" s="909"/>
    </row>
    <row r="420" spans="1:15" s="11" customFormat="1" ht="17.25" customHeight="1" x14ac:dyDescent="0.2">
      <c r="A420" s="925">
        <v>92102</v>
      </c>
      <c r="B420" s="899" t="s">
        <v>6388</v>
      </c>
      <c r="C420" s="893"/>
      <c r="D420" s="893">
        <v>28432546.320000004</v>
      </c>
      <c r="E420" s="891">
        <f t="shared" si="22"/>
        <v>28432546.320000004</v>
      </c>
      <c r="F420" s="893">
        <v>28432546.32</v>
      </c>
      <c r="G420" s="893">
        <v>28432546.32</v>
      </c>
      <c r="H420" s="891">
        <f t="shared" si="23"/>
        <v>0</v>
      </c>
      <c r="I420" s="916"/>
      <c r="J420" s="909"/>
      <c r="K420" s="909"/>
      <c r="L420" s="909"/>
      <c r="M420" s="909"/>
      <c r="N420" s="909"/>
      <c r="O420" s="909"/>
    </row>
    <row r="421" spans="1:15" s="11" customFormat="1" ht="17.25" customHeight="1" x14ac:dyDescent="0.2">
      <c r="A421" s="923">
        <v>9900</v>
      </c>
      <c r="B421" s="901" t="s">
        <v>6389</v>
      </c>
      <c r="C421" s="891">
        <f>C422</f>
        <v>0</v>
      </c>
      <c r="D421" s="891">
        <v>27844789.950000003</v>
      </c>
      <c r="E421" s="891">
        <f t="shared" si="22"/>
        <v>27844789.950000003</v>
      </c>
      <c r="F421" s="891">
        <v>10613877.289999999</v>
      </c>
      <c r="G421" s="891">
        <v>9332925.6999999993</v>
      </c>
      <c r="H421" s="891">
        <f t="shared" si="23"/>
        <v>17230912.660000004</v>
      </c>
      <c r="I421" s="916">
        <f t="shared" si="25"/>
        <v>0.38118000922466999</v>
      </c>
      <c r="J421" s="909"/>
      <c r="K421" s="909"/>
      <c r="L421" s="909"/>
      <c r="M421" s="909"/>
      <c r="N421" s="909"/>
      <c r="O421" s="909"/>
    </row>
    <row r="422" spans="1:15" s="11" customFormat="1" ht="17.25" customHeight="1" x14ac:dyDescent="0.2">
      <c r="A422" s="932">
        <v>991</v>
      </c>
      <c r="B422" s="901" t="s">
        <v>6390</v>
      </c>
      <c r="C422" s="891">
        <f>C423+C424+C425</f>
        <v>0</v>
      </c>
      <c r="D422" s="891">
        <v>27844789.950000003</v>
      </c>
      <c r="E422" s="891">
        <f t="shared" si="22"/>
        <v>27844789.950000003</v>
      </c>
      <c r="F422" s="891">
        <v>10613877.289999999</v>
      </c>
      <c r="G422" s="891">
        <v>9332925.6999999993</v>
      </c>
      <c r="H422" s="891">
        <f t="shared" si="23"/>
        <v>17230912.660000004</v>
      </c>
      <c r="I422" s="916">
        <f t="shared" si="25"/>
        <v>0.38118000922466999</v>
      </c>
      <c r="J422" s="909"/>
      <c r="K422" s="909"/>
      <c r="L422" s="909"/>
      <c r="M422" s="909"/>
      <c r="N422" s="909"/>
      <c r="O422" s="909"/>
    </row>
    <row r="423" spans="1:15" s="11" customFormat="1" ht="17.25" customHeight="1" x14ac:dyDescent="0.2">
      <c r="A423" s="926">
        <v>99101</v>
      </c>
      <c r="B423" s="899" t="s">
        <v>6391</v>
      </c>
      <c r="C423" s="893"/>
      <c r="D423" s="893">
        <v>27844789.950000003</v>
      </c>
      <c r="E423" s="891">
        <f t="shared" si="22"/>
        <v>27844789.950000003</v>
      </c>
      <c r="F423" s="893">
        <v>10613877.289999999</v>
      </c>
      <c r="G423" s="893">
        <v>9332925.6999999993</v>
      </c>
      <c r="H423" s="891">
        <f t="shared" si="23"/>
        <v>17230912.660000004</v>
      </c>
      <c r="I423" s="916">
        <f t="shared" si="25"/>
        <v>0.38118000922466999</v>
      </c>
      <c r="J423" s="909"/>
      <c r="K423" s="909"/>
      <c r="L423" s="909"/>
      <c r="M423" s="909"/>
      <c r="N423" s="909"/>
      <c r="O423" s="909"/>
    </row>
    <row r="424" spans="1:15" s="11" customFormat="1" ht="17.25" customHeight="1" x14ac:dyDescent="0.2">
      <c r="A424" s="926">
        <v>99101</v>
      </c>
      <c r="B424" s="899" t="s">
        <v>6392</v>
      </c>
      <c r="C424" s="893"/>
      <c r="D424" s="893">
        <f>'[4]Por organismos DIC'!P428</f>
        <v>0</v>
      </c>
      <c r="E424" s="891">
        <f t="shared" si="22"/>
        <v>0</v>
      </c>
      <c r="F424" s="893">
        <f>'[4]Por organismos DIC'!X428</f>
        <v>0</v>
      </c>
      <c r="G424" s="893">
        <f>'[4]Por organismos DIC'!AE428</f>
        <v>0</v>
      </c>
      <c r="H424" s="891">
        <f t="shared" si="23"/>
        <v>0</v>
      </c>
      <c r="I424" s="916"/>
      <c r="J424" s="909"/>
      <c r="K424" s="909"/>
      <c r="L424" s="909"/>
      <c r="M424" s="909"/>
      <c r="N424" s="909"/>
      <c r="O424" s="909"/>
    </row>
    <row r="425" spans="1:15" s="11" customFormat="1" ht="17.25" customHeight="1" x14ac:dyDescent="0.2">
      <c r="A425" s="926">
        <v>99101</v>
      </c>
      <c r="B425" s="899" t="s">
        <v>6393</v>
      </c>
      <c r="C425" s="893">
        <v>0</v>
      </c>
      <c r="D425" s="893">
        <f>'[4]Por organismos DIC'!P429</f>
        <v>0</v>
      </c>
      <c r="E425" s="891">
        <f t="shared" si="22"/>
        <v>0</v>
      </c>
      <c r="F425" s="893">
        <f>'[4]Por organismos DIC'!X429</f>
        <v>0</v>
      </c>
      <c r="G425" s="893">
        <f>'[4]Por organismos DIC'!AE429</f>
        <v>0</v>
      </c>
      <c r="H425" s="891">
        <f t="shared" si="23"/>
        <v>0</v>
      </c>
      <c r="I425" s="916"/>
      <c r="J425" s="909"/>
      <c r="K425" s="909"/>
      <c r="L425" s="909"/>
      <c r="M425" s="909"/>
      <c r="N425" s="909"/>
      <c r="O425" s="909"/>
    </row>
    <row r="426" spans="1:15" s="11" customFormat="1" ht="17.25" customHeight="1" thickBot="1" x14ac:dyDescent="0.25">
      <c r="A426" s="933"/>
      <c r="B426" s="937" t="s">
        <v>529</v>
      </c>
      <c r="C426" s="934">
        <f t="shared" ref="C426:H426" si="29">+C412+C359+C303+C285+C162+C81+C9+C407</f>
        <v>782667131.32148921</v>
      </c>
      <c r="D426" s="934">
        <f t="shared" si="29"/>
        <v>3347248838.5700006</v>
      </c>
      <c r="E426" s="934">
        <f t="shared" si="29"/>
        <v>4129915969.891489</v>
      </c>
      <c r="F426" s="935">
        <f t="shared" si="29"/>
        <v>2541414341.0099998</v>
      </c>
      <c r="G426" s="934">
        <f t="shared" si="29"/>
        <v>2472329010.5</v>
      </c>
      <c r="H426" s="934">
        <f t="shared" si="29"/>
        <v>1588501628.8814895</v>
      </c>
      <c r="I426" s="936">
        <f>+F426/E426</f>
        <v>0.61536708241469951</v>
      </c>
      <c r="J426" s="909"/>
      <c r="K426" s="909"/>
      <c r="L426" s="909"/>
      <c r="M426" s="909"/>
      <c r="N426" s="909"/>
      <c r="O426" s="909"/>
    </row>
    <row r="427" spans="1:15" x14ac:dyDescent="0.3">
      <c r="H427" s="938"/>
      <c r="I427" s="938"/>
    </row>
    <row r="428" spans="1:15" x14ac:dyDescent="0.3">
      <c r="C428" s="910"/>
      <c r="D428" s="910"/>
      <c r="E428" s="910"/>
      <c r="F428" s="910"/>
      <c r="G428" s="910"/>
      <c r="H428" s="910"/>
    </row>
    <row r="432" spans="1:15" x14ac:dyDescent="0.3">
      <c r="F432" s="870"/>
      <c r="G432" s="870"/>
    </row>
  </sheetData>
  <mergeCells count="7">
    <mergeCell ref="A6:B7"/>
    <mergeCell ref="A1:I1"/>
    <mergeCell ref="A2:I2"/>
    <mergeCell ref="A3:I3"/>
    <mergeCell ref="A4:I4"/>
    <mergeCell ref="C5:E5"/>
    <mergeCell ref="H5:I5"/>
  </mergeCells>
  <printOptions horizontalCentered="1"/>
  <pageMargins left="0.39370078740157483" right="0.39370078740157483" top="0.51181102362204722" bottom="0.19685039370078741" header="0.31496062992125984" footer="0.15748031496062992"/>
  <pageSetup scale="67"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tint="-4.9989318521683403E-2"/>
  </sheetPr>
  <dimension ref="A1:I88"/>
  <sheetViews>
    <sheetView view="pageBreakPreview" topLeftCell="A58" zoomScale="90" zoomScaleSheetLayoutView="90" workbookViewId="0">
      <selection activeCell="C56" sqref="C56"/>
    </sheetView>
  </sheetViews>
  <sheetFormatPr baseColWidth="10" defaultColWidth="11.42578125" defaultRowHeight="15" x14ac:dyDescent="0.25"/>
  <cols>
    <col min="1" max="1" width="4.42578125" customWidth="1"/>
    <col min="2" max="2" width="44.5703125" customWidth="1"/>
    <col min="3" max="3" width="14" bestFit="1" customWidth="1"/>
    <col min="4" max="4" width="15.7109375" bestFit="1" customWidth="1"/>
    <col min="5" max="6" width="15.42578125" bestFit="1" customWidth="1"/>
    <col min="7" max="7" width="16.28515625" customWidth="1"/>
    <col min="8" max="8" width="15.42578125" bestFit="1" customWidth="1"/>
  </cols>
  <sheetData>
    <row r="1" spans="1:8" ht="15.75" x14ac:dyDescent="0.25">
      <c r="A1" s="1231" t="str">
        <f>'CPCA-I-01'!A1:G1</f>
        <v xml:space="preserve">Comision Estatal del Agua </v>
      </c>
      <c r="B1" s="1232"/>
      <c r="C1" s="1232"/>
      <c r="D1" s="1232"/>
      <c r="E1" s="1232"/>
      <c r="F1" s="1232"/>
      <c r="G1" s="1232"/>
      <c r="H1" s="1233"/>
    </row>
    <row r="2" spans="1:8" x14ac:dyDescent="0.25">
      <c r="A2" s="1309" t="s">
        <v>530</v>
      </c>
      <c r="B2" s="1310"/>
      <c r="C2" s="1310"/>
      <c r="D2" s="1310"/>
      <c r="E2" s="1310"/>
      <c r="F2" s="1310"/>
      <c r="G2" s="1310"/>
      <c r="H2" s="1311"/>
    </row>
    <row r="3" spans="1:8" ht="11.25" customHeight="1" x14ac:dyDescent="0.25">
      <c r="A3" s="1309" t="s">
        <v>648</v>
      </c>
      <c r="B3" s="1310"/>
      <c r="C3" s="1310"/>
      <c r="D3" s="1310"/>
      <c r="E3" s="1310"/>
      <c r="F3" s="1310"/>
      <c r="G3" s="1310"/>
      <c r="H3" s="1311"/>
    </row>
    <row r="4" spans="1:8" ht="11.25" customHeight="1" x14ac:dyDescent="0.25">
      <c r="A4" s="1309" t="str">
        <f>'CPCA-I-03'!A3:D3</f>
        <v xml:space="preserve">Del  01 de Enero de 2023 al 31 de Diciembre de 2023 </v>
      </c>
      <c r="B4" s="1310"/>
      <c r="C4" s="1310"/>
      <c r="D4" s="1310"/>
      <c r="E4" s="1310"/>
      <c r="F4" s="1310"/>
      <c r="G4" s="1310"/>
      <c r="H4" s="1311"/>
    </row>
    <row r="5" spans="1:8" ht="12.75" customHeight="1" thickBot="1" x14ac:dyDescent="0.3">
      <c r="A5" s="1307" t="s">
        <v>82</v>
      </c>
      <c r="B5" s="1312"/>
      <c r="C5" s="1312"/>
      <c r="D5" s="1312"/>
      <c r="E5" s="1312"/>
      <c r="F5" s="1312"/>
      <c r="G5" s="1312"/>
      <c r="H5" s="1313"/>
    </row>
    <row r="6" spans="1:8" ht="15.75" thickBot="1" x14ac:dyDescent="0.3">
      <c r="A6" s="1305" t="s">
        <v>83</v>
      </c>
      <c r="B6" s="1306"/>
      <c r="C6" s="1265" t="s">
        <v>532</v>
      </c>
      <c r="D6" s="1266"/>
      <c r="E6" s="1266"/>
      <c r="F6" s="1266"/>
      <c r="G6" s="1267"/>
      <c r="H6" s="1263" t="s">
        <v>533</v>
      </c>
    </row>
    <row r="7" spans="1:8" ht="37.5" customHeight="1" thickBot="1" x14ac:dyDescent="0.3">
      <c r="A7" s="1307"/>
      <c r="B7" s="1308"/>
      <c r="C7" s="630" t="s">
        <v>534</v>
      </c>
      <c r="D7" s="630" t="s">
        <v>535</v>
      </c>
      <c r="E7" s="630" t="s">
        <v>536</v>
      </c>
      <c r="F7" s="630" t="s">
        <v>406</v>
      </c>
      <c r="G7" s="630" t="s">
        <v>632</v>
      </c>
      <c r="H7" s="1264"/>
    </row>
    <row r="8" spans="1:8" x14ac:dyDescent="0.25">
      <c r="A8" s="1314"/>
      <c r="B8" s="1315"/>
      <c r="C8" s="615"/>
      <c r="D8" s="615"/>
      <c r="E8" s="615"/>
      <c r="F8" s="615"/>
      <c r="G8" s="615"/>
      <c r="H8" s="615"/>
    </row>
    <row r="9" spans="1:8" ht="16.5" customHeight="1" x14ac:dyDescent="0.25">
      <c r="A9" s="1316" t="s">
        <v>680</v>
      </c>
      <c r="B9" s="1317"/>
      <c r="C9" s="551">
        <f>+C10+C20+C29+C40</f>
        <v>667667131.32648921</v>
      </c>
      <c r="D9" s="551">
        <f t="shared" ref="D9:H9" si="0">+D10+D20+D29+D40</f>
        <v>309673060.06000042</v>
      </c>
      <c r="E9" s="551">
        <f t="shared" si="0"/>
        <v>977340191.38648963</v>
      </c>
      <c r="F9" s="551">
        <f t="shared" si="0"/>
        <v>806764021.71999979</v>
      </c>
      <c r="G9" s="551">
        <f t="shared" si="0"/>
        <v>760362523.86000013</v>
      </c>
      <c r="H9" s="551">
        <f t="shared" si="0"/>
        <v>170576169.66648984</v>
      </c>
    </row>
    <row r="10" spans="1:8" x14ac:dyDescent="0.25">
      <c r="A10" s="1318" t="s">
        <v>681</v>
      </c>
      <c r="B10" s="1319"/>
      <c r="C10" s="576">
        <f>SUM(C11:C18)</f>
        <v>0</v>
      </c>
      <c r="D10" s="576">
        <f t="shared" ref="D10:H10" si="1">SUM(D11:D18)</f>
        <v>0</v>
      </c>
      <c r="E10" s="576">
        <f t="shared" si="1"/>
        <v>0</v>
      </c>
      <c r="F10" s="576">
        <f t="shared" si="1"/>
        <v>0</v>
      </c>
      <c r="G10" s="576">
        <f t="shared" si="1"/>
        <v>0</v>
      </c>
      <c r="H10" s="576">
        <f t="shared" si="1"/>
        <v>0</v>
      </c>
    </row>
    <row r="11" spans="1:8" x14ac:dyDescent="0.25">
      <c r="A11" s="577"/>
      <c r="B11" s="578" t="s">
        <v>682</v>
      </c>
      <c r="C11" s="579"/>
      <c r="D11" s="579"/>
      <c r="E11" s="576">
        <f>C11+D11</f>
        <v>0</v>
      </c>
      <c r="F11" s="579"/>
      <c r="G11" s="579"/>
      <c r="H11" s="576">
        <f>+E11-F11</f>
        <v>0</v>
      </c>
    </row>
    <row r="12" spans="1:8" x14ac:dyDescent="0.25">
      <c r="A12" s="577"/>
      <c r="B12" s="578" t="s">
        <v>683</v>
      </c>
      <c r="C12" s="579"/>
      <c r="D12" s="579"/>
      <c r="E12" s="576">
        <f t="shared" ref="E12:E18" si="2">C12+D12</f>
        <v>0</v>
      </c>
      <c r="F12" s="579"/>
      <c r="G12" s="579"/>
      <c r="H12" s="576">
        <f t="shared" ref="H12:H27" si="3">+E12-F12</f>
        <v>0</v>
      </c>
    </row>
    <row r="13" spans="1:8" x14ac:dyDescent="0.25">
      <c r="A13" s="577"/>
      <c r="B13" s="578" t="s">
        <v>684</v>
      </c>
      <c r="C13" s="579"/>
      <c r="D13" s="579"/>
      <c r="E13" s="576">
        <f t="shared" si="2"/>
        <v>0</v>
      </c>
      <c r="F13" s="579"/>
      <c r="G13" s="579"/>
      <c r="H13" s="576">
        <f t="shared" si="3"/>
        <v>0</v>
      </c>
    </row>
    <row r="14" spans="1:8" x14ac:dyDescent="0.25">
      <c r="A14" s="577"/>
      <c r="B14" s="578" t="s">
        <v>685</v>
      </c>
      <c r="C14" s="579"/>
      <c r="D14" s="579"/>
      <c r="E14" s="576">
        <f t="shared" si="2"/>
        <v>0</v>
      </c>
      <c r="F14" s="579"/>
      <c r="G14" s="579"/>
      <c r="H14" s="576">
        <f t="shared" si="3"/>
        <v>0</v>
      </c>
    </row>
    <row r="15" spans="1:8" x14ac:dyDescent="0.25">
      <c r="A15" s="577"/>
      <c r="B15" s="578" t="s">
        <v>686</v>
      </c>
      <c r="C15" s="579"/>
      <c r="D15" s="579"/>
      <c r="E15" s="576">
        <f t="shared" si="2"/>
        <v>0</v>
      </c>
      <c r="F15" s="579"/>
      <c r="G15" s="579"/>
      <c r="H15" s="576">
        <f t="shared" si="3"/>
        <v>0</v>
      </c>
    </row>
    <row r="16" spans="1:8" x14ac:dyDescent="0.25">
      <c r="A16" s="577"/>
      <c r="B16" s="578" t="s">
        <v>687</v>
      </c>
      <c r="C16" s="579"/>
      <c r="D16" s="579"/>
      <c r="E16" s="576">
        <f t="shared" si="2"/>
        <v>0</v>
      </c>
      <c r="F16" s="579"/>
      <c r="G16" s="579"/>
      <c r="H16" s="576">
        <f t="shared" si="3"/>
        <v>0</v>
      </c>
    </row>
    <row r="17" spans="1:8" x14ac:dyDescent="0.25">
      <c r="A17" s="577"/>
      <c r="B17" s="578" t="s">
        <v>688</v>
      </c>
      <c r="C17" s="579"/>
      <c r="D17" s="579"/>
      <c r="E17" s="576">
        <f t="shared" si="2"/>
        <v>0</v>
      </c>
      <c r="F17" s="579"/>
      <c r="G17" s="579"/>
      <c r="H17" s="576">
        <f t="shared" si="3"/>
        <v>0</v>
      </c>
    </row>
    <row r="18" spans="1:8" x14ac:dyDescent="0.25">
      <c r="A18" s="577"/>
      <c r="B18" s="578" t="s">
        <v>689</v>
      </c>
      <c r="C18" s="579"/>
      <c r="D18" s="579"/>
      <c r="E18" s="576">
        <f t="shared" si="2"/>
        <v>0</v>
      </c>
      <c r="F18" s="579"/>
      <c r="G18" s="579"/>
      <c r="H18" s="576">
        <f t="shared" si="3"/>
        <v>0</v>
      </c>
    </row>
    <row r="19" spans="1:8" x14ac:dyDescent="0.25">
      <c r="A19" s="580"/>
      <c r="B19" s="581"/>
      <c r="C19" s="582"/>
      <c r="D19" s="582"/>
      <c r="E19" s="582"/>
      <c r="F19" s="582"/>
      <c r="G19" s="582"/>
      <c r="H19" s="576" t="s">
        <v>241</v>
      </c>
    </row>
    <row r="20" spans="1:8" x14ac:dyDescent="0.25">
      <c r="A20" s="1318" t="s">
        <v>690</v>
      </c>
      <c r="B20" s="1319"/>
      <c r="C20" s="576">
        <f>SUM(C21:C27)</f>
        <v>667667131.32648921</v>
      </c>
      <c r="D20" s="576">
        <f t="shared" ref="D20:H20" si="4">SUM(D21:D27)</f>
        <v>309673060.06000042</v>
      </c>
      <c r="E20" s="576">
        <f t="shared" si="4"/>
        <v>977340191.38648963</v>
      </c>
      <c r="F20" s="576">
        <f t="shared" si="4"/>
        <v>806764021.71999979</v>
      </c>
      <c r="G20" s="576">
        <f t="shared" si="4"/>
        <v>760362523.86000013</v>
      </c>
      <c r="H20" s="576">
        <f t="shared" si="4"/>
        <v>170576169.66648984</v>
      </c>
    </row>
    <row r="21" spans="1:8" x14ac:dyDescent="0.25">
      <c r="A21" s="577"/>
      <c r="B21" s="578" t="s">
        <v>691</v>
      </c>
      <c r="C21" s="579"/>
      <c r="D21" s="579"/>
      <c r="E21" s="576">
        <f t="shared" ref="E21:E27" si="5">C21+D21</f>
        <v>0</v>
      </c>
      <c r="F21" s="579"/>
      <c r="G21" s="579"/>
      <c r="H21" s="576">
        <f t="shared" si="3"/>
        <v>0</v>
      </c>
    </row>
    <row r="22" spans="1:8" x14ac:dyDescent="0.25">
      <c r="A22" s="577"/>
      <c r="B22" s="578" t="s">
        <v>692</v>
      </c>
      <c r="C22" s="579">
        <v>667667131.32648921</v>
      </c>
      <c r="D22" s="579">
        <v>309673060.06000042</v>
      </c>
      <c r="E22" s="576">
        <f t="shared" si="5"/>
        <v>977340191.38648963</v>
      </c>
      <c r="F22" s="579">
        <v>806764021.71999979</v>
      </c>
      <c r="G22" s="579">
        <v>760362523.86000013</v>
      </c>
      <c r="H22" s="576">
        <f t="shared" si="3"/>
        <v>170576169.66648984</v>
      </c>
    </row>
    <row r="23" spans="1:8" x14ac:dyDescent="0.25">
      <c r="A23" s="577"/>
      <c r="B23" s="578" t="s">
        <v>693</v>
      </c>
      <c r="C23" s="579"/>
      <c r="D23" s="579"/>
      <c r="E23" s="576">
        <f t="shared" si="5"/>
        <v>0</v>
      </c>
      <c r="F23" s="579"/>
      <c r="G23" s="579"/>
      <c r="H23" s="576">
        <f t="shared" si="3"/>
        <v>0</v>
      </c>
    </row>
    <row r="24" spans="1:8" x14ac:dyDescent="0.25">
      <c r="A24" s="577"/>
      <c r="B24" s="578" t="s">
        <v>694</v>
      </c>
      <c r="C24" s="579"/>
      <c r="D24" s="579"/>
      <c r="E24" s="576">
        <f t="shared" si="5"/>
        <v>0</v>
      </c>
      <c r="F24" s="579"/>
      <c r="G24" s="579"/>
      <c r="H24" s="576">
        <f t="shared" si="3"/>
        <v>0</v>
      </c>
    </row>
    <row r="25" spans="1:8" x14ac:dyDescent="0.25">
      <c r="A25" s="577"/>
      <c r="B25" s="578" t="s">
        <v>695</v>
      </c>
      <c r="C25" s="579"/>
      <c r="D25" s="579"/>
      <c r="E25" s="576">
        <f t="shared" si="5"/>
        <v>0</v>
      </c>
      <c r="F25" s="579"/>
      <c r="G25" s="579"/>
      <c r="H25" s="576">
        <f t="shared" si="3"/>
        <v>0</v>
      </c>
    </row>
    <row r="26" spans="1:8" x14ac:dyDescent="0.25">
      <c r="A26" s="577"/>
      <c r="B26" s="578" t="s">
        <v>696</v>
      </c>
      <c r="C26" s="579"/>
      <c r="D26" s="579"/>
      <c r="E26" s="576">
        <f t="shared" si="5"/>
        <v>0</v>
      </c>
      <c r="F26" s="579"/>
      <c r="G26" s="579"/>
      <c r="H26" s="576">
        <f t="shared" si="3"/>
        <v>0</v>
      </c>
    </row>
    <row r="27" spans="1:8" x14ac:dyDescent="0.25">
      <c r="A27" s="577"/>
      <c r="B27" s="578" t="s">
        <v>697</v>
      </c>
      <c r="C27" s="579"/>
      <c r="D27" s="579"/>
      <c r="E27" s="576">
        <f t="shared" si="5"/>
        <v>0</v>
      </c>
      <c r="F27" s="579"/>
      <c r="G27" s="579"/>
      <c r="H27" s="576">
        <f t="shared" si="3"/>
        <v>0</v>
      </c>
    </row>
    <row r="28" spans="1:8" x14ac:dyDescent="0.25">
      <c r="A28" s="580"/>
      <c r="B28" s="581"/>
      <c r="C28" s="583"/>
      <c r="D28" s="583"/>
      <c r="E28" s="583"/>
      <c r="F28" s="583"/>
      <c r="G28" s="583"/>
      <c r="H28" s="583"/>
    </row>
    <row r="29" spans="1:8" x14ac:dyDescent="0.25">
      <c r="A29" s="1318" t="s">
        <v>698</v>
      </c>
      <c r="B29" s="1319"/>
      <c r="C29" s="576">
        <f>SUM(C30:C38)</f>
        <v>0</v>
      </c>
      <c r="D29" s="576">
        <f t="shared" ref="D29:H29" si="6">SUM(D30:D38)</f>
        <v>0</v>
      </c>
      <c r="E29" s="576">
        <f t="shared" si="6"/>
        <v>0</v>
      </c>
      <c r="F29" s="576">
        <f t="shared" si="6"/>
        <v>0</v>
      </c>
      <c r="G29" s="576">
        <f t="shared" si="6"/>
        <v>0</v>
      </c>
      <c r="H29" s="576">
        <f t="shared" si="6"/>
        <v>0</v>
      </c>
    </row>
    <row r="30" spans="1:8" x14ac:dyDescent="0.25">
      <c r="A30" s="577"/>
      <c r="B30" s="578" t="s">
        <v>699</v>
      </c>
      <c r="C30" s="579"/>
      <c r="D30" s="579"/>
      <c r="E30" s="576">
        <f t="shared" ref="E30:E38" si="7">C30+D30</f>
        <v>0</v>
      </c>
      <c r="F30" s="579"/>
      <c r="G30" s="579"/>
      <c r="H30" s="576">
        <f t="shared" ref="H30:H38" si="8">+E30-F30</f>
        <v>0</v>
      </c>
    </row>
    <row r="31" spans="1:8" x14ac:dyDescent="0.25">
      <c r="A31" s="577"/>
      <c r="B31" s="578" t="s">
        <v>700</v>
      </c>
      <c r="C31" s="579"/>
      <c r="D31" s="579"/>
      <c r="E31" s="576">
        <f t="shared" si="7"/>
        <v>0</v>
      </c>
      <c r="F31" s="579"/>
      <c r="G31" s="579"/>
      <c r="H31" s="576">
        <f t="shared" si="8"/>
        <v>0</v>
      </c>
    </row>
    <row r="32" spans="1:8" x14ac:dyDescent="0.25">
      <c r="A32" s="577"/>
      <c r="B32" s="578" t="s">
        <v>701</v>
      </c>
      <c r="C32" s="579"/>
      <c r="D32" s="579"/>
      <c r="E32" s="576">
        <f t="shared" si="7"/>
        <v>0</v>
      </c>
      <c r="F32" s="579"/>
      <c r="G32" s="579"/>
      <c r="H32" s="576">
        <f t="shared" si="8"/>
        <v>0</v>
      </c>
    </row>
    <row r="33" spans="1:8" ht="15.75" thickBot="1" x14ac:dyDescent="0.3">
      <c r="A33" s="584"/>
      <c r="B33" s="585" t="s">
        <v>702</v>
      </c>
      <c r="C33" s="586"/>
      <c r="D33" s="586"/>
      <c r="E33" s="587">
        <f t="shared" si="7"/>
        <v>0</v>
      </c>
      <c r="F33" s="586"/>
      <c r="G33" s="586"/>
      <c r="H33" s="587">
        <f t="shared" si="8"/>
        <v>0</v>
      </c>
    </row>
    <row r="34" spans="1:8" x14ac:dyDescent="0.25">
      <c r="A34" s="577"/>
      <c r="B34" s="578" t="s">
        <v>703</v>
      </c>
      <c r="C34" s="579"/>
      <c r="D34" s="579"/>
      <c r="E34" s="576">
        <f t="shared" si="7"/>
        <v>0</v>
      </c>
      <c r="F34" s="579"/>
      <c r="G34" s="579"/>
      <c r="H34" s="576">
        <f t="shared" si="8"/>
        <v>0</v>
      </c>
    </row>
    <row r="35" spans="1:8" x14ac:dyDescent="0.25">
      <c r="A35" s="577"/>
      <c r="B35" s="578" t="s">
        <v>704</v>
      </c>
      <c r="C35" s="579"/>
      <c r="D35" s="579"/>
      <c r="E35" s="576">
        <f t="shared" si="7"/>
        <v>0</v>
      </c>
      <c r="F35" s="579"/>
      <c r="G35" s="579"/>
      <c r="H35" s="576">
        <f t="shared" si="8"/>
        <v>0</v>
      </c>
    </row>
    <row r="36" spans="1:8" x14ac:dyDescent="0.25">
      <c r="A36" s="577"/>
      <c r="B36" s="578" t="s">
        <v>705</v>
      </c>
      <c r="C36" s="579"/>
      <c r="D36" s="579"/>
      <c r="E36" s="576">
        <f t="shared" si="7"/>
        <v>0</v>
      </c>
      <c r="F36" s="579"/>
      <c r="G36" s="579"/>
      <c r="H36" s="576">
        <f t="shared" si="8"/>
        <v>0</v>
      </c>
    </row>
    <row r="37" spans="1:8" x14ac:dyDescent="0.25">
      <c r="A37" s="577"/>
      <c r="B37" s="578" t="s">
        <v>706</v>
      </c>
      <c r="C37" s="579"/>
      <c r="D37" s="579"/>
      <c r="E37" s="576">
        <f t="shared" si="7"/>
        <v>0</v>
      </c>
      <c r="F37" s="579"/>
      <c r="G37" s="579"/>
      <c r="H37" s="576">
        <f t="shared" si="8"/>
        <v>0</v>
      </c>
    </row>
    <row r="38" spans="1:8" x14ac:dyDescent="0.25">
      <c r="A38" s="577"/>
      <c r="B38" s="578" t="s">
        <v>707</v>
      </c>
      <c r="C38" s="579"/>
      <c r="D38" s="579"/>
      <c r="E38" s="576">
        <f t="shared" si="7"/>
        <v>0</v>
      </c>
      <c r="F38" s="579"/>
      <c r="G38" s="579"/>
      <c r="H38" s="576">
        <f t="shared" si="8"/>
        <v>0</v>
      </c>
    </row>
    <row r="39" spans="1:8" x14ac:dyDescent="0.25">
      <c r="A39" s="577"/>
      <c r="B39" s="578"/>
      <c r="C39" s="579"/>
      <c r="D39" s="579"/>
      <c r="E39" s="576"/>
      <c r="F39" s="579"/>
      <c r="G39" s="579"/>
      <c r="H39" s="576"/>
    </row>
    <row r="40" spans="1:8" x14ac:dyDescent="0.25">
      <c r="A40" s="757" t="s">
        <v>708</v>
      </c>
      <c r="B40" s="578"/>
      <c r="C40" s="576">
        <f>SUM(C41:C44)</f>
        <v>0</v>
      </c>
      <c r="D40" s="576">
        <f t="shared" ref="D40:H40" si="9">SUM(D41:D44)</f>
        <v>0</v>
      </c>
      <c r="E40" s="576">
        <f t="shared" si="9"/>
        <v>0</v>
      </c>
      <c r="F40" s="576">
        <f t="shared" si="9"/>
        <v>0</v>
      </c>
      <c r="G40" s="576">
        <f t="shared" si="9"/>
        <v>0</v>
      </c>
      <c r="H40" s="576">
        <f t="shared" si="9"/>
        <v>0</v>
      </c>
    </row>
    <row r="41" spans="1:8" x14ac:dyDescent="0.25">
      <c r="A41" s="577"/>
      <c r="B41" s="578" t="s">
        <v>709</v>
      </c>
      <c r="C41" s="579"/>
      <c r="D41" s="579"/>
      <c r="E41" s="576">
        <f t="shared" ref="E41:E44" si="10">C41+D41</f>
        <v>0</v>
      </c>
      <c r="F41" s="579"/>
      <c r="G41" s="579"/>
      <c r="H41" s="576">
        <f t="shared" ref="H41:H44" si="11">+E41-F41</f>
        <v>0</v>
      </c>
    </row>
    <row r="42" spans="1:8" x14ac:dyDescent="0.25">
      <c r="A42" s="577"/>
      <c r="B42" s="578" t="s">
        <v>710</v>
      </c>
      <c r="C42" s="579"/>
      <c r="D42" s="579"/>
      <c r="E42" s="576">
        <f t="shared" si="10"/>
        <v>0</v>
      </c>
      <c r="F42" s="579"/>
      <c r="G42" s="579"/>
      <c r="H42" s="576">
        <f t="shared" si="11"/>
        <v>0</v>
      </c>
    </row>
    <row r="43" spans="1:8" x14ac:dyDescent="0.25">
      <c r="A43" s="577"/>
      <c r="B43" s="578" t="s">
        <v>711</v>
      </c>
      <c r="C43" s="579"/>
      <c r="D43" s="579"/>
      <c r="E43" s="576">
        <f t="shared" si="10"/>
        <v>0</v>
      </c>
      <c r="F43" s="579"/>
      <c r="G43" s="579"/>
      <c r="H43" s="576">
        <f t="shared" si="11"/>
        <v>0</v>
      </c>
    </row>
    <row r="44" spans="1:8" x14ac:dyDescent="0.25">
      <c r="A44" s="577"/>
      <c r="B44" s="578" t="s">
        <v>712</v>
      </c>
      <c r="C44" s="579"/>
      <c r="D44" s="579"/>
      <c r="E44" s="576">
        <f t="shared" si="10"/>
        <v>0</v>
      </c>
      <c r="F44" s="579"/>
      <c r="G44" s="579"/>
      <c r="H44" s="576">
        <f t="shared" si="11"/>
        <v>0</v>
      </c>
    </row>
    <row r="45" spans="1:8" x14ac:dyDescent="0.25">
      <c r="A45" s="577"/>
      <c r="B45" s="578"/>
      <c r="C45" s="579"/>
      <c r="D45" s="579"/>
      <c r="E45" s="576"/>
      <c r="F45" s="579"/>
      <c r="G45" s="579"/>
      <c r="H45" s="576"/>
    </row>
    <row r="46" spans="1:8" x14ac:dyDescent="0.25">
      <c r="A46" s="757" t="s">
        <v>713</v>
      </c>
      <c r="B46" s="578"/>
      <c r="C46" s="576">
        <f t="shared" ref="C46:H46" si="12">+C47+C57+C65+C76</f>
        <v>114999999.995</v>
      </c>
      <c r="D46" s="576">
        <f t="shared" si="12"/>
        <v>3037575778.5100002</v>
      </c>
      <c r="E46" s="576">
        <f t="shared" si="12"/>
        <v>3152575778.5050001</v>
      </c>
      <c r="F46" s="576">
        <f t="shared" si="12"/>
        <v>1734650319.29</v>
      </c>
      <c r="G46" s="576">
        <f t="shared" si="12"/>
        <v>1711966486.6399999</v>
      </c>
      <c r="H46" s="576">
        <f t="shared" si="12"/>
        <v>1417925459.2150002</v>
      </c>
    </row>
    <row r="47" spans="1:8" x14ac:dyDescent="0.25">
      <c r="A47" s="757" t="s">
        <v>681</v>
      </c>
      <c r="B47" s="578"/>
      <c r="C47" s="576">
        <f>SUM(C48:C55)</f>
        <v>0</v>
      </c>
      <c r="D47" s="576">
        <f t="shared" ref="D47:H47" si="13">SUM(D48:D55)</f>
        <v>0</v>
      </c>
      <c r="E47" s="576">
        <f t="shared" si="13"/>
        <v>0</v>
      </c>
      <c r="F47" s="576">
        <f t="shared" si="13"/>
        <v>0</v>
      </c>
      <c r="G47" s="576">
        <f t="shared" si="13"/>
        <v>0</v>
      </c>
      <c r="H47" s="576">
        <f t="shared" si="13"/>
        <v>0</v>
      </c>
    </row>
    <row r="48" spans="1:8" x14ac:dyDescent="0.25">
      <c r="A48" s="577"/>
      <c r="B48" s="578" t="s">
        <v>682</v>
      </c>
      <c r="C48" s="579"/>
      <c r="D48" s="579"/>
      <c r="E48" s="576">
        <f t="shared" ref="E48:E55" si="14">C48+D48</f>
        <v>0</v>
      </c>
      <c r="F48" s="579"/>
      <c r="G48" s="579"/>
      <c r="H48" s="576">
        <f t="shared" ref="H48:H55" si="15">+E48-F48</f>
        <v>0</v>
      </c>
    </row>
    <row r="49" spans="1:8" x14ac:dyDescent="0.25">
      <c r="A49" s="577"/>
      <c r="B49" s="578" t="s">
        <v>683</v>
      </c>
      <c r="C49" s="579"/>
      <c r="D49" s="579"/>
      <c r="E49" s="576">
        <f t="shared" si="14"/>
        <v>0</v>
      </c>
      <c r="F49" s="579"/>
      <c r="G49" s="579"/>
      <c r="H49" s="576">
        <f t="shared" si="15"/>
        <v>0</v>
      </c>
    </row>
    <row r="50" spans="1:8" x14ac:dyDescent="0.25">
      <c r="A50" s="577"/>
      <c r="B50" s="578" t="s">
        <v>684</v>
      </c>
      <c r="C50" s="579"/>
      <c r="D50" s="579"/>
      <c r="E50" s="576">
        <f t="shared" si="14"/>
        <v>0</v>
      </c>
      <c r="F50" s="579"/>
      <c r="G50" s="579"/>
      <c r="H50" s="576">
        <f t="shared" si="15"/>
        <v>0</v>
      </c>
    </row>
    <row r="51" spans="1:8" x14ac:dyDescent="0.25">
      <c r="A51" s="577"/>
      <c r="B51" s="578" t="s">
        <v>685</v>
      </c>
      <c r="C51" s="579"/>
      <c r="D51" s="579"/>
      <c r="E51" s="576">
        <f t="shared" si="14"/>
        <v>0</v>
      </c>
      <c r="F51" s="579"/>
      <c r="G51" s="579"/>
      <c r="H51" s="576">
        <f t="shared" si="15"/>
        <v>0</v>
      </c>
    </row>
    <row r="52" spans="1:8" x14ac:dyDescent="0.25">
      <c r="A52" s="577"/>
      <c r="B52" s="578" t="s">
        <v>686</v>
      </c>
      <c r="C52" s="579"/>
      <c r="D52" s="579"/>
      <c r="E52" s="576">
        <f t="shared" si="14"/>
        <v>0</v>
      </c>
      <c r="F52" s="579"/>
      <c r="G52" s="579"/>
      <c r="H52" s="576">
        <f t="shared" si="15"/>
        <v>0</v>
      </c>
    </row>
    <row r="53" spans="1:8" x14ac:dyDescent="0.25">
      <c r="A53" s="577"/>
      <c r="B53" s="578" t="s">
        <v>687</v>
      </c>
      <c r="C53" s="579"/>
      <c r="D53" s="579"/>
      <c r="E53" s="576">
        <f t="shared" si="14"/>
        <v>0</v>
      </c>
      <c r="F53" s="579"/>
      <c r="G53" s="579"/>
      <c r="H53" s="576">
        <f t="shared" si="15"/>
        <v>0</v>
      </c>
    </row>
    <row r="54" spans="1:8" x14ac:dyDescent="0.25">
      <c r="A54" s="577"/>
      <c r="B54" s="578" t="s">
        <v>688</v>
      </c>
      <c r="C54" s="579"/>
      <c r="D54" s="579"/>
      <c r="E54" s="576">
        <f t="shared" si="14"/>
        <v>0</v>
      </c>
      <c r="F54" s="579"/>
      <c r="G54" s="579"/>
      <c r="H54" s="576">
        <f t="shared" si="15"/>
        <v>0</v>
      </c>
    </row>
    <row r="55" spans="1:8" x14ac:dyDescent="0.25">
      <c r="A55" s="577"/>
      <c r="B55" s="578" t="s">
        <v>689</v>
      </c>
      <c r="C55" s="579"/>
      <c r="D55" s="579"/>
      <c r="E55" s="576">
        <f t="shared" si="14"/>
        <v>0</v>
      </c>
      <c r="F55" s="579"/>
      <c r="G55" s="579"/>
      <c r="H55" s="576">
        <f t="shared" si="15"/>
        <v>0</v>
      </c>
    </row>
    <row r="56" spans="1:8" x14ac:dyDescent="0.25">
      <c r="A56" s="577"/>
      <c r="B56" s="578"/>
      <c r="C56" s="579"/>
      <c r="D56" s="579"/>
      <c r="E56" s="576"/>
      <c r="F56" s="579"/>
      <c r="G56" s="579"/>
      <c r="H56" s="576"/>
    </row>
    <row r="57" spans="1:8" x14ac:dyDescent="0.25">
      <c r="A57" s="757" t="s">
        <v>690</v>
      </c>
      <c r="B57" s="578"/>
      <c r="C57" s="576">
        <f>SUM(C58:C64)</f>
        <v>114999999.995</v>
      </c>
      <c r="D57" s="576">
        <f t="shared" ref="D57:H57" si="16">SUM(D58:D64)</f>
        <v>3037575778.5100002</v>
      </c>
      <c r="E57" s="576">
        <f t="shared" si="16"/>
        <v>3152575778.5050001</v>
      </c>
      <c r="F57" s="576">
        <f t="shared" si="16"/>
        <v>1734650319.29</v>
      </c>
      <c r="G57" s="576">
        <f t="shared" si="16"/>
        <v>1711966486.6399999</v>
      </c>
      <c r="H57" s="576">
        <f t="shared" si="16"/>
        <v>1417925459.2150002</v>
      </c>
    </row>
    <row r="58" spans="1:8" x14ac:dyDescent="0.25">
      <c r="A58" s="577"/>
      <c r="B58" s="578" t="s">
        <v>691</v>
      </c>
      <c r="C58" s="579"/>
      <c r="D58" s="579"/>
      <c r="E58" s="576">
        <f t="shared" ref="E58:E64" si="17">C58+D58</f>
        <v>0</v>
      </c>
      <c r="F58" s="579"/>
      <c r="G58" s="579"/>
      <c r="H58" s="576">
        <f t="shared" ref="H58:H64" si="18">+E58-F58</f>
        <v>0</v>
      </c>
    </row>
    <row r="59" spans="1:8" x14ac:dyDescent="0.25">
      <c r="A59" s="577"/>
      <c r="B59" s="578" t="s">
        <v>692</v>
      </c>
      <c r="C59" s="579">
        <v>114999999.995</v>
      </c>
      <c r="D59" s="579">
        <v>3037575778.5100002</v>
      </c>
      <c r="E59" s="576">
        <f t="shared" si="17"/>
        <v>3152575778.5050001</v>
      </c>
      <c r="F59" s="579">
        <v>1734650319.29</v>
      </c>
      <c r="G59" s="579">
        <v>1711966486.6399999</v>
      </c>
      <c r="H59" s="576">
        <f t="shared" si="18"/>
        <v>1417925459.2150002</v>
      </c>
    </row>
    <row r="60" spans="1:8" x14ac:dyDescent="0.25">
      <c r="A60" s="577"/>
      <c r="B60" s="578" t="s">
        <v>693</v>
      </c>
      <c r="C60" s="579"/>
      <c r="D60" s="579"/>
      <c r="E60" s="576">
        <f t="shared" si="17"/>
        <v>0</v>
      </c>
      <c r="F60" s="579"/>
      <c r="G60" s="579"/>
      <c r="H60" s="576">
        <f t="shared" si="18"/>
        <v>0</v>
      </c>
    </row>
    <row r="61" spans="1:8" x14ac:dyDescent="0.25">
      <c r="A61" s="577"/>
      <c r="B61" s="578" t="s">
        <v>694</v>
      </c>
      <c r="C61" s="579"/>
      <c r="D61" s="579"/>
      <c r="E61" s="576">
        <f t="shared" si="17"/>
        <v>0</v>
      </c>
      <c r="F61" s="579"/>
      <c r="G61" s="579"/>
      <c r="H61" s="576">
        <f t="shared" si="18"/>
        <v>0</v>
      </c>
    </row>
    <row r="62" spans="1:8" x14ac:dyDescent="0.25">
      <c r="A62" s="577"/>
      <c r="B62" s="578" t="s">
        <v>695</v>
      </c>
      <c r="C62" s="579"/>
      <c r="D62" s="579"/>
      <c r="E62" s="576">
        <f t="shared" si="17"/>
        <v>0</v>
      </c>
      <c r="F62" s="579"/>
      <c r="G62" s="579"/>
      <c r="H62" s="576">
        <f t="shared" si="18"/>
        <v>0</v>
      </c>
    </row>
    <row r="63" spans="1:8" x14ac:dyDescent="0.25">
      <c r="A63" s="577"/>
      <c r="B63" s="578" t="s">
        <v>696</v>
      </c>
      <c r="C63" s="579"/>
      <c r="D63" s="579"/>
      <c r="E63" s="576">
        <f t="shared" si="17"/>
        <v>0</v>
      </c>
      <c r="F63" s="579"/>
      <c r="G63" s="579"/>
      <c r="H63" s="576">
        <f t="shared" si="18"/>
        <v>0</v>
      </c>
    </row>
    <row r="64" spans="1:8" ht="15.75" thickBot="1" x14ac:dyDescent="0.3">
      <c r="A64" s="584"/>
      <c r="B64" s="585" t="s">
        <v>697</v>
      </c>
      <c r="C64" s="586"/>
      <c r="D64" s="586"/>
      <c r="E64" s="587">
        <f t="shared" si="17"/>
        <v>0</v>
      </c>
      <c r="F64" s="586"/>
      <c r="G64" s="586"/>
      <c r="H64" s="587">
        <f t="shared" si="18"/>
        <v>0</v>
      </c>
    </row>
    <row r="65" spans="1:8" x14ac:dyDescent="0.25">
      <c r="A65" s="757" t="s">
        <v>698</v>
      </c>
      <c r="B65" s="578"/>
      <c r="C65" s="576">
        <f>SUM(C66:C74)</f>
        <v>0</v>
      </c>
      <c r="D65" s="576">
        <f t="shared" ref="D65:H65" si="19">SUM(D66:D74)</f>
        <v>0</v>
      </c>
      <c r="E65" s="576">
        <f t="shared" si="19"/>
        <v>0</v>
      </c>
      <c r="F65" s="576">
        <f t="shared" si="19"/>
        <v>0</v>
      </c>
      <c r="G65" s="576">
        <f t="shared" si="19"/>
        <v>0</v>
      </c>
      <c r="H65" s="576">
        <f t="shared" si="19"/>
        <v>0</v>
      </c>
    </row>
    <row r="66" spans="1:8" x14ac:dyDescent="0.25">
      <c r="A66" s="577"/>
      <c r="B66" s="578" t="s">
        <v>699</v>
      </c>
      <c r="C66" s="579"/>
      <c r="D66" s="579"/>
      <c r="E66" s="576">
        <f t="shared" ref="E66:E74" si="20">C66+D66</f>
        <v>0</v>
      </c>
      <c r="F66" s="579"/>
      <c r="G66" s="579"/>
      <c r="H66" s="576">
        <f t="shared" ref="H66:H74" si="21">+E66-F66</f>
        <v>0</v>
      </c>
    </row>
    <row r="67" spans="1:8" x14ac:dyDescent="0.25">
      <c r="A67" s="577"/>
      <c r="B67" s="578" t="s">
        <v>700</v>
      </c>
      <c r="C67" s="579"/>
      <c r="D67" s="579"/>
      <c r="E67" s="576"/>
      <c r="F67" s="579"/>
      <c r="G67" s="579"/>
      <c r="H67" s="576">
        <f t="shared" si="21"/>
        <v>0</v>
      </c>
    </row>
    <row r="68" spans="1:8" x14ac:dyDescent="0.25">
      <c r="A68" s="577"/>
      <c r="B68" s="578" t="s">
        <v>701</v>
      </c>
      <c r="C68" s="579"/>
      <c r="D68" s="579"/>
      <c r="E68" s="576">
        <f t="shared" si="20"/>
        <v>0</v>
      </c>
      <c r="F68" s="579"/>
      <c r="G68" s="579"/>
      <c r="H68" s="576">
        <f t="shared" si="21"/>
        <v>0</v>
      </c>
    </row>
    <row r="69" spans="1:8" x14ac:dyDescent="0.25">
      <c r="A69" s="577"/>
      <c r="B69" s="578" t="s">
        <v>702</v>
      </c>
      <c r="C69" s="579"/>
      <c r="D69" s="579"/>
      <c r="E69" s="576">
        <f t="shared" si="20"/>
        <v>0</v>
      </c>
      <c r="F69" s="579"/>
      <c r="G69" s="579"/>
      <c r="H69" s="576">
        <f t="shared" si="21"/>
        <v>0</v>
      </c>
    </row>
    <row r="70" spans="1:8" x14ac:dyDescent="0.25">
      <c r="A70" s="577"/>
      <c r="B70" s="578" t="s">
        <v>703</v>
      </c>
      <c r="C70" s="579"/>
      <c r="D70" s="579"/>
      <c r="E70" s="576">
        <f t="shared" si="20"/>
        <v>0</v>
      </c>
      <c r="F70" s="579"/>
      <c r="G70" s="579"/>
      <c r="H70" s="576">
        <f t="shared" si="21"/>
        <v>0</v>
      </c>
    </row>
    <row r="71" spans="1:8" x14ac:dyDescent="0.25">
      <c r="A71" s="577"/>
      <c r="B71" s="578" t="s">
        <v>704</v>
      </c>
      <c r="C71" s="579"/>
      <c r="D71" s="579"/>
      <c r="E71" s="576">
        <f t="shared" si="20"/>
        <v>0</v>
      </c>
      <c r="F71" s="579"/>
      <c r="G71" s="579"/>
      <c r="H71" s="576">
        <f t="shared" si="21"/>
        <v>0</v>
      </c>
    </row>
    <row r="72" spans="1:8" x14ac:dyDescent="0.25">
      <c r="A72" s="577"/>
      <c r="B72" s="578" t="s">
        <v>705</v>
      </c>
      <c r="C72" s="579"/>
      <c r="D72" s="579"/>
      <c r="E72" s="576">
        <f t="shared" si="20"/>
        <v>0</v>
      </c>
      <c r="F72" s="579"/>
      <c r="G72" s="579"/>
      <c r="H72" s="576">
        <f t="shared" si="21"/>
        <v>0</v>
      </c>
    </row>
    <row r="73" spans="1:8" x14ac:dyDescent="0.25">
      <c r="A73" s="577"/>
      <c r="B73" s="578" t="s">
        <v>706</v>
      </c>
      <c r="C73" s="579"/>
      <c r="D73" s="579"/>
      <c r="E73" s="576">
        <f t="shared" si="20"/>
        <v>0</v>
      </c>
      <c r="F73" s="579"/>
      <c r="G73" s="579"/>
      <c r="H73" s="576">
        <f t="shared" si="21"/>
        <v>0</v>
      </c>
    </row>
    <row r="74" spans="1:8" x14ac:dyDescent="0.25">
      <c r="A74" s="577"/>
      <c r="B74" s="578" t="s">
        <v>707</v>
      </c>
      <c r="C74" s="579"/>
      <c r="D74" s="579"/>
      <c r="E74" s="576">
        <f t="shared" si="20"/>
        <v>0</v>
      </c>
      <c r="F74" s="579"/>
      <c r="G74" s="579"/>
      <c r="H74" s="576">
        <f t="shared" si="21"/>
        <v>0</v>
      </c>
    </row>
    <row r="75" spans="1:8" x14ac:dyDescent="0.25">
      <c r="A75" s="577"/>
      <c r="B75" s="578"/>
      <c r="C75" s="579"/>
      <c r="D75" s="579"/>
      <c r="E75" s="576"/>
      <c r="F75" s="579"/>
      <c r="G75" s="579"/>
      <c r="H75" s="576"/>
    </row>
    <row r="76" spans="1:8" x14ac:dyDescent="0.25">
      <c r="A76" s="757" t="s">
        <v>708</v>
      </c>
      <c r="B76" s="578"/>
      <c r="C76" s="576">
        <f>SUM(C77:C80)</f>
        <v>0</v>
      </c>
      <c r="D76" s="576">
        <f t="shared" ref="D76:H76" si="22">SUM(D77:D80)</f>
        <v>0</v>
      </c>
      <c r="E76" s="576">
        <f t="shared" si="22"/>
        <v>0</v>
      </c>
      <c r="F76" s="576">
        <f t="shared" si="22"/>
        <v>0</v>
      </c>
      <c r="G76" s="576">
        <f t="shared" si="22"/>
        <v>0</v>
      </c>
      <c r="H76" s="576">
        <f t="shared" si="22"/>
        <v>0</v>
      </c>
    </row>
    <row r="77" spans="1:8" x14ac:dyDescent="0.25">
      <c r="A77" s="577"/>
      <c r="B77" s="578" t="s">
        <v>709</v>
      </c>
      <c r="C77" s="579">
        <v>0</v>
      </c>
      <c r="D77" s="579"/>
      <c r="E77" s="576">
        <f t="shared" ref="E77:E80" si="23">C77+D77</f>
        <v>0</v>
      </c>
      <c r="F77" s="579"/>
      <c r="G77" s="579"/>
      <c r="H77" s="576">
        <f t="shared" ref="H77:H80" si="24">+E77-F77</f>
        <v>0</v>
      </c>
    </row>
    <row r="78" spans="1:8" x14ac:dyDescent="0.25">
      <c r="A78" s="577"/>
      <c r="B78" s="578" t="s">
        <v>710</v>
      </c>
      <c r="C78" s="579">
        <v>0</v>
      </c>
      <c r="D78" s="579"/>
      <c r="E78" s="576">
        <f t="shared" si="23"/>
        <v>0</v>
      </c>
      <c r="F78" s="579"/>
      <c r="G78" s="579"/>
      <c r="H78" s="576">
        <f t="shared" si="24"/>
        <v>0</v>
      </c>
    </row>
    <row r="79" spans="1:8" x14ac:dyDescent="0.25">
      <c r="A79" s="577"/>
      <c r="B79" s="578" t="s">
        <v>711</v>
      </c>
      <c r="C79" s="579">
        <v>0</v>
      </c>
      <c r="D79" s="579"/>
      <c r="E79" s="576">
        <f t="shared" si="23"/>
        <v>0</v>
      </c>
      <c r="F79" s="579"/>
      <c r="G79" s="579"/>
      <c r="H79" s="576">
        <f t="shared" si="24"/>
        <v>0</v>
      </c>
    </row>
    <row r="80" spans="1:8" x14ac:dyDescent="0.25">
      <c r="A80" s="577"/>
      <c r="B80" s="578" t="s">
        <v>712</v>
      </c>
      <c r="C80" s="579"/>
      <c r="D80" s="579"/>
      <c r="E80" s="576">
        <f t="shared" si="23"/>
        <v>0</v>
      </c>
      <c r="F80" s="579"/>
      <c r="G80" s="579"/>
      <c r="H80" s="576">
        <f t="shared" si="24"/>
        <v>0</v>
      </c>
    </row>
    <row r="81" spans="1:9" x14ac:dyDescent="0.25">
      <c r="A81" s="577"/>
      <c r="B81" s="578"/>
      <c r="C81" s="579"/>
      <c r="D81" s="579"/>
      <c r="E81" s="576"/>
      <c r="F81" s="579"/>
      <c r="G81" s="579"/>
      <c r="H81" s="576"/>
    </row>
    <row r="82" spans="1:9" ht="15.75" thickBot="1" x14ac:dyDescent="0.3">
      <c r="A82" s="778" t="s">
        <v>613</v>
      </c>
      <c r="B82" s="585"/>
      <c r="C82" s="587">
        <f t="shared" ref="C82:H82" si="25">+C9+C46</f>
        <v>782667131.32148921</v>
      </c>
      <c r="D82" s="587">
        <f t="shared" si="25"/>
        <v>3347248838.5700006</v>
      </c>
      <c r="E82" s="587">
        <f t="shared" si="25"/>
        <v>4129915969.89149</v>
      </c>
      <c r="F82" s="587">
        <f t="shared" si="25"/>
        <v>2541414341.0099998</v>
      </c>
      <c r="G82" s="587">
        <f t="shared" si="25"/>
        <v>2472329010.5</v>
      </c>
      <c r="H82" s="587">
        <f t="shared" si="25"/>
        <v>1588501628.88149</v>
      </c>
      <c r="I82" s="387" t="str">
        <f>IF((C82-'CPCA-II-11'!B45)&gt;0.9,"ERROR!!!!! EL MONTO NO COINCIDE CON LO REPORTADO EN EL FORMATO ETCA-II-11 EN EL TOTAL DEL GASTO","")</f>
        <v/>
      </c>
    </row>
    <row r="83" spans="1:9" x14ac:dyDescent="0.25">
      <c r="A83" s="588"/>
      <c r="B83" s="588"/>
      <c r="C83" s="589"/>
      <c r="D83" s="589"/>
      <c r="E83" s="590"/>
      <c r="F83" s="589"/>
      <c r="G83" s="589"/>
      <c r="H83" s="590"/>
      <c r="I83" s="387" t="str">
        <f>IF((D82-'CPCA-II-11'!C45)&gt;0.9,"ERROR!!!!! EL MONTO NO COINCIDE CON LO REPORTADO EN EL FORMATO ETCA-II-11 EN EL TOTAL DEL GASTO","")</f>
        <v/>
      </c>
    </row>
    <row r="84" spans="1:9" x14ac:dyDescent="0.25">
      <c r="A84" s="588"/>
      <c r="B84" s="588"/>
      <c r="C84" s="589"/>
      <c r="D84" s="589"/>
      <c r="E84" s="590"/>
      <c r="F84" s="589"/>
      <c r="G84" s="589"/>
      <c r="H84" s="590"/>
      <c r="I84" t="str">
        <f>IF((E82-'CPCA-II-11'!D45),"ERROR!!!!! EL MONTO NO COINCIDE CON LO REPORTADO EN EL FORMATO ETCA-II-11 EN EL TOTAL DEL GASTO","")</f>
        <v/>
      </c>
    </row>
    <row r="85" spans="1:9" x14ac:dyDescent="0.25">
      <c r="A85" s="588"/>
      <c r="B85" s="588"/>
      <c r="C85" s="589"/>
      <c r="D85" s="589"/>
      <c r="E85" s="590"/>
      <c r="F85" s="589"/>
      <c r="G85" s="589"/>
      <c r="H85" s="590"/>
      <c r="I85" t="str">
        <f>IF((F82-'CPCA-II-11'!E45)&gt;0.9,"ERROR!!!!! EL MONTO NO COINCIDE CON LO REPORTADO EN EL FORMATO ETCA-II-11 EN EL TOTAL DEL GASTO","")</f>
        <v/>
      </c>
    </row>
    <row r="86" spans="1:9" x14ac:dyDescent="0.25">
      <c r="A86" s="588"/>
      <c r="B86" s="588"/>
      <c r="C86" s="589"/>
      <c r="D86" s="589"/>
      <c r="E86" s="590"/>
      <c r="F86" s="589"/>
      <c r="G86" s="589"/>
      <c r="H86" s="590"/>
      <c r="I86" t="str">
        <f>IF((G82-'CPCA-II-11'!F45)&gt;0.9,"ERROR!!!!! EL MONTO NO COINCIDE CON LO REPORTADO EN EL FORMATO ETCA-II-11 EN EL TOTAL DEL GASTO","")</f>
        <v/>
      </c>
    </row>
    <row r="87" spans="1:9" x14ac:dyDescent="0.25">
      <c r="A87" s="588"/>
      <c r="B87" s="588"/>
      <c r="C87" s="589"/>
      <c r="D87" s="589"/>
      <c r="E87" s="590"/>
      <c r="F87" s="589"/>
      <c r="G87" s="589"/>
      <c r="H87" s="590"/>
      <c r="I87" t="str">
        <f>IF((H82-'CPCA-II-11'!G45)&gt;0.9,"ERROR!!!!! EL MONTO NO COINCIDE CON LO REPORTADO EN EL FORMATO ETCA-II-11 EN EL TOTAL DEL GASTO","")</f>
        <v/>
      </c>
    </row>
    <row r="88" spans="1:9" x14ac:dyDescent="0.25">
      <c r="A88" s="588"/>
      <c r="B88" s="588"/>
      <c r="C88" s="589"/>
      <c r="D88" s="589"/>
      <c r="E88" s="590"/>
      <c r="F88" s="589"/>
      <c r="G88" s="589"/>
      <c r="H88" s="590"/>
    </row>
  </sheetData>
  <sheetProtection formatColumns="0" formatRows="0" insertHyperlinks="0"/>
  <mergeCells count="13">
    <mergeCell ref="A8:B8"/>
    <mergeCell ref="A9:B9"/>
    <mergeCell ref="A10:B10"/>
    <mergeCell ref="A20:B20"/>
    <mergeCell ref="A29:B29"/>
    <mergeCell ref="A6:B7"/>
    <mergeCell ref="C6:G6"/>
    <mergeCell ref="H6:H7"/>
    <mergeCell ref="A1:H1"/>
    <mergeCell ref="A2:H2"/>
    <mergeCell ref="A3:H3"/>
    <mergeCell ref="A4:H4"/>
    <mergeCell ref="A5:H5"/>
  </mergeCells>
  <pageMargins left="0.19685039370078741" right="0.31496062992125984" top="0.74803149606299213" bottom="0.74803149606299213" header="0.31496062992125984" footer="0.31496062992125984"/>
  <pageSetup scale="93" orientation="landscape" r:id="rId1"/>
  <rowBreaks count="1" manualBreakCount="1">
    <brk id="33" max="7"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tint="-4.9989318521683403E-2"/>
  </sheetPr>
  <dimension ref="A1:I32"/>
  <sheetViews>
    <sheetView view="pageBreakPreview" topLeftCell="A14" zoomScale="110" zoomScaleSheetLayoutView="110" workbookViewId="0">
      <selection activeCell="C56" sqref="C56"/>
    </sheetView>
  </sheetViews>
  <sheetFormatPr baseColWidth="10" defaultColWidth="11.42578125" defaultRowHeight="15" x14ac:dyDescent="0.25"/>
  <cols>
    <col min="1" max="1" width="32.140625" customWidth="1"/>
    <col min="3" max="3" width="13" customWidth="1"/>
  </cols>
  <sheetData>
    <row r="1" spans="1:9" ht="15.75" x14ac:dyDescent="0.25">
      <c r="A1" s="1060" t="str">
        <f>'CPCA-I-01'!A1:G1</f>
        <v xml:space="preserve">Comision Estatal del Agua </v>
      </c>
      <c r="B1" s="1060"/>
      <c r="C1" s="1060"/>
      <c r="D1" s="1060"/>
      <c r="E1" s="1060"/>
      <c r="F1" s="1060"/>
      <c r="G1" s="1060"/>
      <c r="H1" s="511"/>
      <c r="I1" s="511"/>
    </row>
    <row r="2" spans="1:9" ht="15.75" customHeight="1" x14ac:dyDescent="0.25">
      <c r="A2" s="1057" t="s">
        <v>718</v>
      </c>
      <c r="B2" s="1057"/>
      <c r="C2" s="1057"/>
      <c r="D2" s="1057"/>
      <c r="E2" s="1057"/>
      <c r="F2" s="1057"/>
      <c r="G2" s="1057"/>
      <c r="H2" s="189"/>
      <c r="I2" s="189"/>
    </row>
    <row r="3" spans="1:9" ht="15.75" customHeight="1" x14ac:dyDescent="0.25">
      <c r="A3" s="1057" t="s">
        <v>719</v>
      </c>
      <c r="B3" s="1057"/>
      <c r="C3" s="1057"/>
      <c r="D3" s="1057"/>
      <c r="E3" s="1057"/>
      <c r="F3" s="1057"/>
      <c r="G3" s="1057"/>
      <c r="H3" s="189"/>
      <c r="I3" s="189"/>
    </row>
    <row r="4" spans="1:9" ht="15.75" customHeight="1" x14ac:dyDescent="0.25">
      <c r="A4" s="1327" t="str">
        <f>'CPCA-I-03'!A3:D3</f>
        <v xml:space="preserve">Del  01 de Enero de 2023 al 31 de Diciembre de 2023 </v>
      </c>
      <c r="B4" s="1327"/>
      <c r="C4" s="1327"/>
      <c r="D4" s="1327"/>
      <c r="E4" s="1327"/>
      <c r="F4" s="1327"/>
      <c r="G4" s="1327"/>
      <c r="H4" s="512"/>
      <c r="I4" s="512"/>
    </row>
    <row r="5" spans="1:9" ht="15.75" customHeight="1" thickBot="1" x14ac:dyDescent="0.3">
      <c r="A5" s="1116" t="s">
        <v>82</v>
      </c>
      <c r="B5" s="1116"/>
      <c r="C5" s="1116"/>
      <c r="D5" s="1116"/>
      <c r="E5" s="1116"/>
      <c r="F5" s="1116"/>
      <c r="G5" s="1116"/>
      <c r="H5" s="513"/>
      <c r="I5" s="513"/>
    </row>
    <row r="6" spans="1:9" ht="15.75" thickBot="1" x14ac:dyDescent="0.3">
      <c r="A6" s="1320" t="s">
        <v>83</v>
      </c>
      <c r="B6" s="1322" t="s">
        <v>532</v>
      </c>
      <c r="C6" s="1323"/>
      <c r="D6" s="1323"/>
      <c r="E6" s="1323"/>
      <c r="F6" s="1324"/>
      <c r="G6" s="1325" t="s">
        <v>533</v>
      </c>
    </row>
    <row r="7" spans="1:9" ht="20.25" thickBot="1" x14ac:dyDescent="0.3">
      <c r="A7" s="1321"/>
      <c r="B7" s="488" t="s">
        <v>534</v>
      </c>
      <c r="C7" s="488" t="s">
        <v>535</v>
      </c>
      <c r="D7" s="488" t="s">
        <v>536</v>
      </c>
      <c r="E7" s="488" t="s">
        <v>720</v>
      </c>
      <c r="F7" s="488" t="s">
        <v>632</v>
      </c>
      <c r="G7" s="1326"/>
    </row>
    <row r="8" spans="1:9" ht="19.5" x14ac:dyDescent="0.25">
      <c r="A8" s="505" t="s">
        <v>721</v>
      </c>
      <c r="B8" s="561">
        <f>B9+B10+B11+B12+B13+B14+B15+B18</f>
        <v>227702200.89527455</v>
      </c>
      <c r="C8" s="561">
        <f t="shared" ref="C8:G8" si="0">C9+C10+C11+C12+C13+C14+C15+C18</f>
        <v>21177279.109999999</v>
      </c>
      <c r="D8" s="561">
        <f t="shared" si="0"/>
        <v>248879480.00527453</v>
      </c>
      <c r="E8" s="561">
        <f t="shared" si="0"/>
        <v>247313580.75999996</v>
      </c>
      <c r="F8" s="561">
        <f t="shared" si="0"/>
        <v>236451307.04999998</v>
      </c>
      <c r="G8" s="561">
        <f t="shared" si="0"/>
        <v>1565899.2452745736</v>
      </c>
    </row>
    <row r="9" spans="1:9" ht="19.5" x14ac:dyDescent="0.25">
      <c r="A9" s="506" t="s">
        <v>722</v>
      </c>
      <c r="B9" s="563">
        <v>227702200.89527455</v>
      </c>
      <c r="C9" s="564">
        <v>21177279.109999999</v>
      </c>
      <c r="D9" s="562">
        <f>B9+C9</f>
        <v>248879480.00527453</v>
      </c>
      <c r="E9" s="564">
        <v>247313580.75999996</v>
      </c>
      <c r="F9" s="564">
        <v>236451307.04999998</v>
      </c>
      <c r="G9" s="562">
        <f>D9-E9</f>
        <v>1565899.2452745736</v>
      </c>
    </row>
    <row r="10" spans="1:9" x14ac:dyDescent="0.25">
      <c r="A10" s="506" t="s">
        <v>723</v>
      </c>
      <c r="B10" s="563"/>
      <c r="C10" s="564"/>
      <c r="D10" s="562">
        <f t="shared" ref="D10:D18" si="1">B10+C10</f>
        <v>0</v>
      </c>
      <c r="E10" s="564"/>
      <c r="F10" s="564"/>
      <c r="G10" s="562">
        <f t="shared" ref="G10:G14" si="2">D10-E10</f>
        <v>0</v>
      </c>
    </row>
    <row r="11" spans="1:9" x14ac:dyDescent="0.25">
      <c r="A11" s="506" t="s">
        <v>724</v>
      </c>
      <c r="B11" s="563"/>
      <c r="C11" s="564"/>
      <c r="D11" s="562">
        <f t="shared" si="1"/>
        <v>0</v>
      </c>
      <c r="E11" s="564"/>
      <c r="F11" s="564"/>
      <c r="G11" s="562">
        <f t="shared" si="2"/>
        <v>0</v>
      </c>
    </row>
    <row r="12" spans="1:9" x14ac:dyDescent="0.25">
      <c r="A12" s="506" t="s">
        <v>725</v>
      </c>
      <c r="B12" s="563"/>
      <c r="C12" s="564"/>
      <c r="D12" s="562">
        <f t="shared" si="1"/>
        <v>0</v>
      </c>
      <c r="E12" s="564"/>
      <c r="F12" s="564"/>
      <c r="G12" s="562">
        <f t="shared" si="2"/>
        <v>0</v>
      </c>
    </row>
    <row r="13" spans="1:9" x14ac:dyDescent="0.25">
      <c r="A13" s="506" t="s">
        <v>726</v>
      </c>
      <c r="B13" s="563"/>
      <c r="C13" s="564"/>
      <c r="D13" s="562">
        <f t="shared" si="1"/>
        <v>0</v>
      </c>
      <c r="E13" s="564"/>
      <c r="F13" s="564"/>
      <c r="G13" s="562">
        <f t="shared" si="2"/>
        <v>0</v>
      </c>
    </row>
    <row r="14" spans="1:9" x14ac:dyDescent="0.25">
      <c r="A14" s="506" t="s">
        <v>727</v>
      </c>
      <c r="B14" s="563"/>
      <c r="C14" s="564"/>
      <c r="D14" s="562">
        <f t="shared" si="1"/>
        <v>0</v>
      </c>
      <c r="E14" s="564"/>
      <c r="F14" s="564"/>
      <c r="G14" s="562">
        <f t="shared" si="2"/>
        <v>0</v>
      </c>
    </row>
    <row r="15" spans="1:9" ht="29.25" x14ac:dyDescent="0.25">
      <c r="A15" s="506" t="s">
        <v>728</v>
      </c>
      <c r="B15" s="561">
        <f>B16+B17</f>
        <v>0</v>
      </c>
      <c r="C15" s="561">
        <f t="shared" ref="C15:G15" si="3">C16+C17</f>
        <v>0</v>
      </c>
      <c r="D15" s="561">
        <f t="shared" si="3"/>
        <v>0</v>
      </c>
      <c r="E15" s="561">
        <f t="shared" si="3"/>
        <v>0</v>
      </c>
      <c r="F15" s="561">
        <f t="shared" si="3"/>
        <v>0</v>
      </c>
      <c r="G15" s="561">
        <f t="shared" si="3"/>
        <v>0</v>
      </c>
    </row>
    <row r="16" spans="1:9" x14ac:dyDescent="0.25">
      <c r="A16" s="507" t="s">
        <v>729</v>
      </c>
      <c r="B16" s="563"/>
      <c r="C16" s="564"/>
      <c r="D16" s="562">
        <f t="shared" si="1"/>
        <v>0</v>
      </c>
      <c r="E16" s="564"/>
      <c r="F16" s="564"/>
      <c r="G16" s="562">
        <f t="shared" ref="G16:G18" si="4">D16-E16</f>
        <v>0</v>
      </c>
    </row>
    <row r="17" spans="1:7" x14ac:dyDescent="0.25">
      <c r="A17" s="507" t="s">
        <v>730</v>
      </c>
      <c r="B17" s="563"/>
      <c r="C17" s="564"/>
      <c r="D17" s="562">
        <f t="shared" si="1"/>
        <v>0</v>
      </c>
      <c r="E17" s="564"/>
      <c r="F17" s="564"/>
      <c r="G17" s="562">
        <f t="shared" si="4"/>
        <v>0</v>
      </c>
    </row>
    <row r="18" spans="1:7" x14ac:dyDescent="0.25">
      <c r="A18" s="506" t="s">
        <v>731</v>
      </c>
      <c r="B18" s="563"/>
      <c r="C18" s="564"/>
      <c r="D18" s="562">
        <f t="shared" si="1"/>
        <v>0</v>
      </c>
      <c r="E18" s="564"/>
      <c r="F18" s="564"/>
      <c r="G18" s="562">
        <f t="shared" si="4"/>
        <v>0</v>
      </c>
    </row>
    <row r="19" spans="1:7" x14ac:dyDescent="0.25">
      <c r="A19" s="506"/>
      <c r="B19" s="561"/>
      <c r="C19" s="562"/>
      <c r="D19" s="562"/>
      <c r="E19" s="562"/>
      <c r="F19" s="562"/>
      <c r="G19" s="562"/>
    </row>
    <row r="20" spans="1:7" ht="19.5" x14ac:dyDescent="0.25">
      <c r="A20" s="505" t="s">
        <v>732</v>
      </c>
      <c r="B20" s="561">
        <f>B21+B22+B23+B24+B25+B26+B27+B30</f>
        <v>0</v>
      </c>
      <c r="C20" s="561">
        <f t="shared" ref="C20:G20" si="5">C21+C22+C23+C24+C25+C26+C27+C30</f>
        <v>0</v>
      </c>
      <c r="D20" s="561">
        <f t="shared" si="5"/>
        <v>0</v>
      </c>
      <c r="E20" s="561">
        <f t="shared" si="5"/>
        <v>0</v>
      </c>
      <c r="F20" s="561">
        <f t="shared" si="5"/>
        <v>0</v>
      </c>
      <c r="G20" s="561">
        <f t="shared" si="5"/>
        <v>0</v>
      </c>
    </row>
    <row r="21" spans="1:7" ht="19.5" x14ac:dyDescent="0.25">
      <c r="A21" s="506" t="s">
        <v>722</v>
      </c>
      <c r="B21" s="563"/>
      <c r="C21" s="564"/>
      <c r="D21" s="562">
        <f>B21+C21</f>
        <v>0</v>
      </c>
      <c r="E21" s="564"/>
      <c r="F21" s="564"/>
      <c r="G21" s="562">
        <f t="shared" ref="G21:G26" si="6">D21-E21</f>
        <v>0</v>
      </c>
    </row>
    <row r="22" spans="1:7" x14ac:dyDescent="0.25">
      <c r="A22" s="506" t="s">
        <v>723</v>
      </c>
      <c r="B22" s="563"/>
      <c r="C22" s="564"/>
      <c r="D22" s="562">
        <f t="shared" ref="D22:D26" si="7">B22+C22</f>
        <v>0</v>
      </c>
      <c r="E22" s="564"/>
      <c r="F22" s="564"/>
      <c r="G22" s="562">
        <f t="shared" si="6"/>
        <v>0</v>
      </c>
    </row>
    <row r="23" spans="1:7" x14ac:dyDescent="0.25">
      <c r="A23" s="506" t="s">
        <v>724</v>
      </c>
      <c r="B23" s="563"/>
      <c r="C23" s="564"/>
      <c r="D23" s="562">
        <f t="shared" si="7"/>
        <v>0</v>
      </c>
      <c r="E23" s="564"/>
      <c r="F23" s="564"/>
      <c r="G23" s="562">
        <f t="shared" si="6"/>
        <v>0</v>
      </c>
    </row>
    <row r="24" spans="1:7" x14ac:dyDescent="0.25">
      <c r="A24" s="506" t="s">
        <v>725</v>
      </c>
      <c r="B24" s="563"/>
      <c r="C24" s="564"/>
      <c r="D24" s="562">
        <f t="shared" si="7"/>
        <v>0</v>
      </c>
      <c r="E24" s="564"/>
      <c r="F24" s="564"/>
      <c r="G24" s="562">
        <f t="shared" si="6"/>
        <v>0</v>
      </c>
    </row>
    <row r="25" spans="1:7" x14ac:dyDescent="0.25">
      <c r="A25" s="506" t="s">
        <v>726</v>
      </c>
      <c r="B25" s="563"/>
      <c r="C25" s="564"/>
      <c r="D25" s="562">
        <f t="shared" si="7"/>
        <v>0</v>
      </c>
      <c r="E25" s="564"/>
      <c r="F25" s="564"/>
      <c r="G25" s="562">
        <f t="shared" si="6"/>
        <v>0</v>
      </c>
    </row>
    <row r="26" spans="1:7" x14ac:dyDescent="0.25">
      <c r="A26" s="506" t="s">
        <v>727</v>
      </c>
      <c r="B26" s="563"/>
      <c r="C26" s="564"/>
      <c r="D26" s="562">
        <f t="shared" si="7"/>
        <v>0</v>
      </c>
      <c r="E26" s="564"/>
      <c r="F26" s="564"/>
      <c r="G26" s="562">
        <f t="shared" si="6"/>
        <v>0</v>
      </c>
    </row>
    <row r="27" spans="1:7" ht="29.25" x14ac:dyDescent="0.25">
      <c r="A27" s="506" t="s">
        <v>728</v>
      </c>
      <c r="B27" s="561">
        <f>B28+B29</f>
        <v>0</v>
      </c>
      <c r="C27" s="561">
        <f t="shared" ref="C27:G27" si="8">C28+C29</f>
        <v>0</v>
      </c>
      <c r="D27" s="561">
        <f t="shared" si="8"/>
        <v>0</v>
      </c>
      <c r="E27" s="561">
        <f t="shared" si="8"/>
        <v>0</v>
      </c>
      <c r="F27" s="561">
        <f t="shared" si="8"/>
        <v>0</v>
      </c>
      <c r="G27" s="561">
        <f t="shared" si="8"/>
        <v>0</v>
      </c>
    </row>
    <row r="28" spans="1:7" x14ac:dyDescent="0.25">
      <c r="A28" s="507" t="s">
        <v>729</v>
      </c>
      <c r="B28" s="563"/>
      <c r="C28" s="564"/>
      <c r="D28" s="562">
        <f>B28+C28</f>
        <v>0</v>
      </c>
      <c r="E28" s="564"/>
      <c r="F28" s="564"/>
      <c r="G28" s="562">
        <f t="shared" ref="G28:G30" si="9">D28-E28</f>
        <v>0</v>
      </c>
    </row>
    <row r="29" spans="1:7" x14ac:dyDescent="0.25">
      <c r="A29" s="507" t="s">
        <v>730</v>
      </c>
      <c r="B29" s="563"/>
      <c r="C29" s="564"/>
      <c r="D29" s="562">
        <f>B29+C29</f>
        <v>0</v>
      </c>
      <c r="E29" s="564"/>
      <c r="F29" s="564"/>
      <c r="G29" s="562">
        <f t="shared" si="9"/>
        <v>0</v>
      </c>
    </row>
    <row r="30" spans="1:7" x14ac:dyDescent="0.25">
      <c r="A30" s="506" t="s">
        <v>731</v>
      </c>
      <c r="B30" s="563"/>
      <c r="C30" s="564"/>
      <c r="D30" s="562">
        <f>B30+C30</f>
        <v>0</v>
      </c>
      <c r="E30" s="564"/>
      <c r="F30" s="564"/>
      <c r="G30" s="562">
        <f t="shared" si="9"/>
        <v>0</v>
      </c>
    </row>
    <row r="31" spans="1:7" ht="19.5" x14ac:dyDescent="0.25">
      <c r="A31" s="505" t="s">
        <v>733</v>
      </c>
      <c r="B31" s="561">
        <f>B8+B20</f>
        <v>227702200.89527455</v>
      </c>
      <c r="C31" s="561">
        <f t="shared" ref="C31:G31" si="10">C8+C20</f>
        <v>21177279.109999999</v>
      </c>
      <c r="D31" s="561">
        <f t="shared" si="10"/>
        <v>248879480.00527453</v>
      </c>
      <c r="E31" s="561">
        <f t="shared" si="10"/>
        <v>247313580.75999996</v>
      </c>
      <c r="F31" s="561">
        <f t="shared" si="10"/>
        <v>236451307.04999998</v>
      </c>
      <c r="G31" s="561">
        <f t="shared" si="10"/>
        <v>1565899.2452745736</v>
      </c>
    </row>
    <row r="32" spans="1:7" ht="15.75" thickBot="1" x14ac:dyDescent="0.3">
      <c r="A32" s="508"/>
      <c r="B32" s="509"/>
      <c r="C32" s="510"/>
      <c r="D32" s="510"/>
      <c r="E32" s="510"/>
      <c r="F32" s="510"/>
      <c r="G32" s="510"/>
    </row>
  </sheetData>
  <sheetProtection password="C195" sheet="1" scenarios="1" insertHyperlinks="0"/>
  <mergeCells count="8">
    <mergeCell ref="A6:A7"/>
    <mergeCell ref="B6:F6"/>
    <mergeCell ref="G6:G7"/>
    <mergeCell ref="A1:G1"/>
    <mergeCell ref="A2:G2"/>
    <mergeCell ref="A3:G3"/>
    <mergeCell ref="A4:G4"/>
    <mergeCell ref="A5:G5"/>
  </mergeCells>
  <printOptions horizontalCentered="1"/>
  <pageMargins left="0.23622047244094491" right="0.23622047244094491" top="0.74803149606299213" bottom="0.74803149606299213" header="0.31496062992125984" footer="0.31496062992125984"/>
  <pageSetup scale="95" orientation="portrait" r:id="rId1"/>
  <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16">
    <tabColor theme="0" tint="-4.9989318521683403E-2"/>
    <pageSetUpPr fitToPage="1"/>
  </sheetPr>
  <dimension ref="A1:D49"/>
  <sheetViews>
    <sheetView view="pageBreakPreview" zoomScale="110" zoomScaleSheetLayoutView="110" workbookViewId="0">
      <selection activeCell="C56" sqref="C56"/>
    </sheetView>
  </sheetViews>
  <sheetFormatPr baseColWidth="10" defaultColWidth="11.28515625" defaultRowHeight="16.5" x14ac:dyDescent="0.25"/>
  <cols>
    <col min="1" max="1" width="64.5703125" style="88" customWidth="1"/>
    <col min="2" max="2" width="5" style="88" customWidth="1"/>
    <col min="3" max="3" width="25.7109375" style="304" customWidth="1"/>
    <col min="4" max="4" width="89.140625" style="88" customWidth="1"/>
    <col min="5" max="16384" width="11.28515625" style="88"/>
  </cols>
  <sheetData>
    <row r="1" spans="1:4" x14ac:dyDescent="0.25">
      <c r="A1" s="1087" t="str">
        <f>'CPCA-I-01'!A1:G1</f>
        <v xml:space="preserve">Comision Estatal del Agua </v>
      </c>
      <c r="B1" s="1087"/>
      <c r="C1" s="1087"/>
      <c r="D1" s="322"/>
    </row>
    <row r="2" spans="1:4" s="125" customFormat="1" ht="15.75" x14ac:dyDescent="0.25">
      <c r="A2" s="1087" t="s">
        <v>13</v>
      </c>
      <c r="B2" s="1087"/>
      <c r="C2" s="1087"/>
    </row>
    <row r="3" spans="1:4" s="125" customFormat="1" x14ac:dyDescent="0.25">
      <c r="A3" s="1088" t="str">
        <f>'CPCA-I-01'!A3:G3</f>
        <v>Al 31 de Diciembre del 2023</v>
      </c>
      <c r="B3" s="1088"/>
      <c r="C3" s="1088"/>
    </row>
    <row r="4" spans="1:4" s="127" customFormat="1" ht="17.25" thickBot="1" x14ac:dyDescent="0.3">
      <c r="A4" s="298"/>
      <c r="B4" s="402"/>
      <c r="C4" s="299"/>
    </row>
    <row r="5" spans="1:4" s="127" customFormat="1" ht="17.25" thickBot="1" x14ac:dyDescent="0.3">
      <c r="A5" s="1156" t="s">
        <v>243</v>
      </c>
      <c r="B5" s="1157"/>
      <c r="C5" s="299"/>
    </row>
    <row r="6" spans="1:4" s="128" customFormat="1" ht="27" customHeight="1" thickBot="1" x14ac:dyDescent="0.3">
      <c r="A6" s="1334" t="s">
        <v>734</v>
      </c>
      <c r="B6" s="1335"/>
      <c r="C6" s="202">
        <f>'CPCA-II-04'!E81</f>
        <v>2541414341.0099998</v>
      </c>
      <c r="D6" s="305"/>
    </row>
    <row r="7" spans="1:4" s="128" customFormat="1" ht="9.75" customHeight="1" x14ac:dyDescent="0.25">
      <c r="A7" s="300"/>
      <c r="B7" s="209"/>
      <c r="C7" s="306"/>
      <c r="D7" s="305"/>
    </row>
    <row r="8" spans="1:4" s="128" customFormat="1" ht="17.25" customHeight="1" thickBot="1" x14ac:dyDescent="0.3">
      <c r="A8" s="301"/>
      <c r="B8" s="211"/>
      <c r="C8" s="307"/>
      <c r="D8" s="305"/>
    </row>
    <row r="9" spans="1:4" ht="20.100000000000001" customHeight="1" x14ac:dyDescent="0.25">
      <c r="A9" s="1332" t="s">
        <v>873</v>
      </c>
      <c r="B9" s="1333"/>
      <c r="C9" s="308">
        <f>SUM(C10:C30)</f>
        <v>1938428321.0299997</v>
      </c>
      <c r="D9" s="6"/>
    </row>
    <row r="10" spans="1:4" ht="20.100000000000001" customHeight="1" x14ac:dyDescent="0.25">
      <c r="A10" s="1328" t="s">
        <v>874</v>
      </c>
      <c r="B10" s="1329"/>
      <c r="C10" s="309"/>
      <c r="D10" s="6"/>
    </row>
    <row r="11" spans="1:4" ht="20.100000000000001" customHeight="1" x14ac:dyDescent="0.25">
      <c r="A11" s="1328" t="s">
        <v>875</v>
      </c>
      <c r="B11" s="1329"/>
      <c r="C11" s="309"/>
      <c r="D11" s="6"/>
    </row>
    <row r="12" spans="1:4" ht="20.100000000000001" customHeight="1" x14ac:dyDescent="0.25">
      <c r="A12" s="1328" t="s">
        <v>507</v>
      </c>
      <c r="B12" s="1329"/>
      <c r="C12" s="309">
        <v>1299360.48</v>
      </c>
      <c r="D12" s="6"/>
    </row>
    <row r="13" spans="1:4" x14ac:dyDescent="0.25">
      <c r="A13" s="1328" t="s">
        <v>508</v>
      </c>
      <c r="B13" s="1329"/>
      <c r="C13" s="309"/>
      <c r="D13" s="6"/>
    </row>
    <row r="14" spans="1:4" ht="20.100000000000001" customHeight="1" x14ac:dyDescent="0.25">
      <c r="A14" s="1328" t="s">
        <v>509</v>
      </c>
      <c r="B14" s="1329"/>
      <c r="C14" s="309">
        <v>121800</v>
      </c>
      <c r="D14" s="6"/>
    </row>
    <row r="15" spans="1:4" ht="20.100000000000001" customHeight="1" x14ac:dyDescent="0.25">
      <c r="A15" s="1328" t="s">
        <v>510</v>
      </c>
      <c r="B15" s="1329"/>
      <c r="C15" s="309">
        <v>14738790</v>
      </c>
      <c r="D15" s="6"/>
    </row>
    <row r="16" spans="1:4" ht="20.100000000000001" customHeight="1" x14ac:dyDescent="0.25">
      <c r="A16" s="1328" t="s">
        <v>511</v>
      </c>
      <c r="B16" s="1329"/>
      <c r="C16" s="309"/>
      <c r="D16" s="6"/>
    </row>
    <row r="17" spans="1:4" ht="20.100000000000001" customHeight="1" x14ac:dyDescent="0.25">
      <c r="A17" s="1328" t="s">
        <v>512</v>
      </c>
      <c r="B17" s="1329"/>
      <c r="C17" s="309">
        <v>8068526.3499999996</v>
      </c>
      <c r="D17" s="6"/>
    </row>
    <row r="18" spans="1:4" ht="20.100000000000001" customHeight="1" x14ac:dyDescent="0.25">
      <c r="A18" s="1328" t="s">
        <v>901</v>
      </c>
      <c r="B18" s="1329"/>
      <c r="C18" s="309"/>
      <c r="D18" s="6"/>
    </row>
    <row r="19" spans="1:4" ht="20.100000000000001" customHeight="1" x14ac:dyDescent="0.25">
      <c r="A19" s="1328" t="s">
        <v>514</v>
      </c>
      <c r="B19" s="1329"/>
      <c r="C19" s="309"/>
      <c r="D19" s="6"/>
    </row>
    <row r="20" spans="1:4" ht="20.100000000000001" customHeight="1" x14ac:dyDescent="0.25">
      <c r="A20" s="1328" t="s">
        <v>54</v>
      </c>
      <c r="B20" s="1329"/>
      <c r="C20" s="309">
        <v>106348.92000000001</v>
      </c>
      <c r="D20" s="6"/>
    </row>
    <row r="21" spans="1:4" ht="20.100000000000001" customHeight="1" x14ac:dyDescent="0.25">
      <c r="A21" s="1328" t="s">
        <v>515</v>
      </c>
      <c r="B21" s="1329"/>
      <c r="C21" s="309">
        <v>1839964161.99</v>
      </c>
      <c r="D21" s="6"/>
    </row>
    <row r="22" spans="1:4" ht="20.100000000000001" customHeight="1" x14ac:dyDescent="0.25">
      <c r="A22" s="1328" t="s">
        <v>516</v>
      </c>
      <c r="B22" s="1329"/>
      <c r="C22" s="309">
        <v>2284000.7999999998</v>
      </c>
      <c r="D22" s="6"/>
    </row>
    <row r="23" spans="1:4" ht="20.100000000000001" customHeight="1" x14ac:dyDescent="0.25">
      <c r="A23" s="1328" t="s">
        <v>520</v>
      </c>
      <c r="B23" s="1329"/>
      <c r="C23" s="309"/>
      <c r="D23" s="6"/>
    </row>
    <row r="24" spans="1:4" ht="20.100000000000001" customHeight="1" x14ac:dyDescent="0.25">
      <c r="A24" s="1328" t="s">
        <v>521</v>
      </c>
      <c r="B24" s="1329"/>
      <c r="C24" s="309"/>
      <c r="D24" s="6"/>
    </row>
    <row r="25" spans="1:4" ht="20.100000000000001" customHeight="1" x14ac:dyDescent="0.25">
      <c r="A25" s="1328" t="s">
        <v>522</v>
      </c>
      <c r="B25" s="1329"/>
      <c r="C25" s="309"/>
      <c r="D25" s="6"/>
    </row>
    <row r="26" spans="1:4" ht="20.100000000000001" customHeight="1" x14ac:dyDescent="0.25">
      <c r="A26" s="1328" t="s">
        <v>523</v>
      </c>
      <c r="B26" s="1329"/>
      <c r="C26" s="309"/>
      <c r="D26" s="6"/>
    </row>
    <row r="27" spans="1:4" ht="20.100000000000001" customHeight="1" x14ac:dyDescent="0.25">
      <c r="A27" s="1328" t="s">
        <v>525</v>
      </c>
      <c r="B27" s="1329"/>
      <c r="C27" s="309"/>
      <c r="D27" s="6"/>
    </row>
    <row r="28" spans="1:4" ht="20.100000000000001" customHeight="1" x14ac:dyDescent="0.25">
      <c r="A28" s="1328" t="s">
        <v>902</v>
      </c>
      <c r="B28" s="1329"/>
      <c r="C28" s="309">
        <v>30931478.789999999</v>
      </c>
      <c r="D28" s="6"/>
    </row>
    <row r="29" spans="1:4" ht="20.100000000000001" customHeight="1" x14ac:dyDescent="0.25">
      <c r="A29" s="1328" t="s">
        <v>903</v>
      </c>
      <c r="B29" s="1329"/>
      <c r="C29" s="309">
        <v>10613877.289999999</v>
      </c>
      <c r="D29" s="6"/>
    </row>
    <row r="30" spans="1:4" ht="20.100000000000001" customHeight="1" thickBot="1" x14ac:dyDescent="0.3">
      <c r="A30" s="1328" t="s">
        <v>735</v>
      </c>
      <c r="B30" s="1329"/>
      <c r="C30" s="310">
        <v>30299976.409999903</v>
      </c>
      <c r="D30" s="6"/>
    </row>
    <row r="31" spans="1:4" ht="7.5" customHeight="1" x14ac:dyDescent="0.25">
      <c r="A31" s="302"/>
      <c r="B31" s="209"/>
      <c r="C31" s="311"/>
      <c r="D31" s="6"/>
    </row>
    <row r="32" spans="1:4" ht="20.100000000000001" customHeight="1" thickBot="1" x14ac:dyDescent="0.3">
      <c r="A32" s="303"/>
      <c r="B32" s="211"/>
      <c r="C32" s="312"/>
      <c r="D32" s="6"/>
    </row>
    <row r="33" spans="1:4" ht="20.100000000000001" customHeight="1" x14ac:dyDescent="0.25">
      <c r="A33" s="1332" t="s">
        <v>876</v>
      </c>
      <c r="B33" s="1333"/>
      <c r="C33" s="308">
        <f>SUM(C34:C40)</f>
        <v>86224631.700000003</v>
      </c>
      <c r="D33" s="6"/>
    </row>
    <row r="34" spans="1:4" x14ac:dyDescent="0.25">
      <c r="A34" s="1328" t="s">
        <v>232</v>
      </c>
      <c r="B34" s="1329"/>
      <c r="C34" s="309">
        <v>10393151.369999999</v>
      </c>
      <c r="D34" s="6"/>
    </row>
    <row r="35" spans="1:4" ht="20.100000000000001" customHeight="1" x14ac:dyDescent="0.25">
      <c r="A35" s="1328" t="s">
        <v>233</v>
      </c>
      <c r="B35" s="1329"/>
      <c r="C35" s="309">
        <v>75831480.329999998</v>
      </c>
      <c r="D35" s="315"/>
    </row>
    <row r="36" spans="1:4" ht="20.100000000000001" customHeight="1" x14ac:dyDescent="0.25">
      <c r="A36" s="1328" t="s">
        <v>234</v>
      </c>
      <c r="B36" s="1329"/>
      <c r="C36" s="309"/>
      <c r="D36" s="6"/>
    </row>
    <row r="37" spans="1:4" ht="25.5" customHeight="1" x14ac:dyDescent="0.25">
      <c r="A37" s="1328" t="s">
        <v>235</v>
      </c>
      <c r="B37" s="1329"/>
      <c r="C37" s="309"/>
      <c r="D37" s="6"/>
    </row>
    <row r="38" spans="1:4" ht="20.100000000000001" customHeight="1" x14ac:dyDescent="0.25">
      <c r="A38" s="1328" t="s">
        <v>1659</v>
      </c>
      <c r="B38" s="1329"/>
      <c r="C38" s="309"/>
      <c r="D38" s="6"/>
    </row>
    <row r="39" spans="1:4" ht="20.100000000000001" customHeight="1" x14ac:dyDescent="0.25">
      <c r="A39" s="1328" t="s">
        <v>875</v>
      </c>
      <c r="B39" s="1329"/>
      <c r="C39" s="309"/>
      <c r="D39" s="6"/>
    </row>
    <row r="40" spans="1:4" ht="20.100000000000001" customHeight="1" x14ac:dyDescent="0.25">
      <c r="A40" s="1328" t="s">
        <v>736</v>
      </c>
      <c r="B40" s="1329"/>
      <c r="C40" s="309"/>
      <c r="D40" s="6"/>
    </row>
    <row r="41" spans="1:4" ht="20.100000000000001" customHeight="1" thickBot="1" x14ac:dyDescent="0.3">
      <c r="A41" s="1328"/>
      <c r="B41" s="1329"/>
      <c r="C41" s="310"/>
      <c r="D41" s="6"/>
    </row>
    <row r="42" spans="1:4" ht="20.100000000000001" customHeight="1" thickBot="1" x14ac:dyDescent="0.3">
      <c r="A42" s="1330" t="s">
        <v>737</v>
      </c>
      <c r="B42" s="1331"/>
      <c r="C42" s="202">
        <f>C6-C9+C33</f>
        <v>689210651.68000007</v>
      </c>
      <c r="D42" s="6"/>
    </row>
    <row r="43" spans="1:4" ht="20.100000000000001" customHeight="1" x14ac:dyDescent="0.25">
      <c r="A43" s="382"/>
      <c r="B43" s="380"/>
      <c r="C43" s="381"/>
      <c r="D43" s="6" t="str">
        <f>IF((C42-'CPCA-I-03'!C59)&gt;0.9,"ERROR!!!!! EL MONTO NO COINCIDE CON LO REPORTADO EN EL FORMATO ETCA-I-03, EN EL MISMO RUBRO","")</f>
        <v/>
      </c>
    </row>
    <row r="44" spans="1:4" ht="20.100000000000001" customHeight="1" x14ac:dyDescent="0.25">
      <c r="A44" s="379"/>
      <c r="B44" s="380"/>
      <c r="C44" s="381"/>
      <c r="D44" s="6"/>
    </row>
    <row r="45" spans="1:4" ht="20.100000000000001" customHeight="1" x14ac:dyDescent="0.25">
      <c r="A45" s="379"/>
      <c r="B45" s="380"/>
      <c r="C45" s="381"/>
      <c r="D45" s="6"/>
    </row>
    <row r="46" spans="1:4" ht="20.100000000000001" customHeight="1" x14ac:dyDescent="0.25">
      <c r="A46" s="379"/>
      <c r="B46" s="380"/>
      <c r="C46" s="381"/>
      <c r="D46" s="6"/>
    </row>
    <row r="47" spans="1:4" ht="20.100000000000001" customHeight="1" x14ac:dyDescent="0.25">
      <c r="A47" s="379"/>
      <c r="B47" s="380"/>
      <c r="C47" s="381"/>
      <c r="D47" s="6"/>
    </row>
    <row r="48" spans="1:4" ht="26.25" customHeight="1" x14ac:dyDescent="0.25">
      <c r="A48" s="382"/>
      <c r="B48" s="380"/>
      <c r="C48" s="381"/>
      <c r="D48" s="6"/>
    </row>
    <row r="49" spans="4:4" x14ac:dyDescent="0.25">
      <c r="D49" s="6"/>
    </row>
  </sheetData>
  <sheetProtection formatColumns="0" formatRows="0" insertHyperlinks="0"/>
  <mergeCells count="37">
    <mergeCell ref="A1:C1"/>
    <mergeCell ref="A2:C2"/>
    <mergeCell ref="A3:C3"/>
    <mergeCell ref="A5:B5"/>
    <mergeCell ref="A6:B6"/>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3:B33"/>
    <mergeCell ref="A34:B34"/>
    <mergeCell ref="A35:B35"/>
    <mergeCell ref="A41:B41"/>
    <mergeCell ref="A42:B42"/>
    <mergeCell ref="A36:B36"/>
    <mergeCell ref="A37:B37"/>
    <mergeCell ref="A38:B38"/>
    <mergeCell ref="A39:B39"/>
    <mergeCell ref="A40:B40"/>
  </mergeCells>
  <printOptions horizontalCentered="1"/>
  <pageMargins left="0.39370078740157483" right="0.39370078740157483" top="0.74803149606299213" bottom="0.74803149606299213" header="0.31496062992125984" footer="0.31496062992125984"/>
  <pageSetup scale="78" orientation="portrait" r:id="rId1"/>
  <drawing r:id="rId2"/>
  <legacy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17">
    <tabColor theme="0" tint="-4.9989318521683403E-2"/>
  </sheetPr>
  <dimension ref="A1:J37"/>
  <sheetViews>
    <sheetView view="pageBreakPreview" zoomScaleSheetLayoutView="100" workbookViewId="0">
      <selection activeCell="C56" sqref="C56"/>
    </sheetView>
  </sheetViews>
  <sheetFormatPr baseColWidth="10" defaultColWidth="11.28515625" defaultRowHeight="16.5" x14ac:dyDescent="0.3"/>
  <cols>
    <col min="1" max="1" width="4.28515625" style="37" customWidth="1"/>
    <col min="2" max="2" width="41.7109375" style="37" customWidth="1"/>
    <col min="3" max="5" width="16.7109375" style="37" customWidth="1"/>
    <col min="6" max="16384" width="11.28515625" style="37"/>
  </cols>
  <sheetData>
    <row r="1" spans="1:5" x14ac:dyDescent="0.3">
      <c r="A1" s="1060" t="str">
        <f>'CPCA-I-01'!A1:G1</f>
        <v xml:space="preserve">Comision Estatal del Agua </v>
      </c>
      <c r="B1" s="1060"/>
      <c r="C1" s="1060"/>
      <c r="D1" s="1060"/>
      <c r="E1" s="1060"/>
    </row>
    <row r="2" spans="1:5" x14ac:dyDescent="0.3">
      <c r="A2" s="1339" t="s">
        <v>263</v>
      </c>
      <c r="B2" s="1339"/>
      <c r="C2" s="1339"/>
      <c r="D2" s="1339"/>
      <c r="E2" s="1339"/>
    </row>
    <row r="3" spans="1:5" x14ac:dyDescent="0.3">
      <c r="A3" s="1077" t="str">
        <f>'CPCA-I-03'!A3:D3</f>
        <v xml:space="preserve">Del  01 de Enero de 2023 al 31 de Diciembre de 2023 </v>
      </c>
      <c r="B3" s="1077"/>
      <c r="C3" s="1077"/>
      <c r="D3" s="1077"/>
      <c r="E3" s="1077"/>
    </row>
    <row r="4" spans="1:5" ht="17.25" thickBot="1" x14ac:dyDescent="0.35">
      <c r="A4" s="246"/>
      <c r="B4" s="1339" t="s">
        <v>1725</v>
      </c>
      <c r="C4" s="1339"/>
      <c r="D4" s="38"/>
      <c r="E4" s="246"/>
    </row>
    <row r="5" spans="1:5" s="164" customFormat="1" ht="30" customHeight="1" x14ac:dyDescent="0.25">
      <c r="A5" s="1340" t="s">
        <v>738</v>
      </c>
      <c r="B5" s="1341"/>
      <c r="C5" s="247" t="s">
        <v>739</v>
      </c>
      <c r="D5" s="248" t="s">
        <v>740</v>
      </c>
      <c r="E5" s="249" t="s">
        <v>263</v>
      </c>
    </row>
    <row r="6" spans="1:5" s="164" customFormat="1" ht="30" customHeight="1" thickBot="1" x14ac:dyDescent="0.3">
      <c r="A6" s="1342"/>
      <c r="B6" s="1343"/>
      <c r="C6" s="250" t="s">
        <v>741</v>
      </c>
      <c r="D6" s="250" t="s">
        <v>742</v>
      </c>
      <c r="E6" s="251" t="s">
        <v>743</v>
      </c>
    </row>
    <row r="7" spans="1:5" s="164" customFormat="1" ht="21" customHeight="1" x14ac:dyDescent="0.25">
      <c r="A7" s="1344" t="s">
        <v>744</v>
      </c>
      <c r="B7" s="1345"/>
      <c r="C7" s="1345"/>
      <c r="D7" s="1345"/>
      <c r="E7" s="1346"/>
    </row>
    <row r="8" spans="1:5" s="164" customFormat="1" ht="20.25" customHeight="1" x14ac:dyDescent="0.25">
      <c r="A8" s="252"/>
      <c r="B8" s="253" t="s">
        <v>1909</v>
      </c>
      <c r="C8" s="254">
        <v>446913961</v>
      </c>
      <c r="D8" s="255">
        <v>233108027.84000003</v>
      </c>
      <c r="E8" s="264">
        <f>IF(B8="","",C8-D8)</f>
        <v>213805933.15999997</v>
      </c>
    </row>
    <row r="9" spans="1:5" s="164" customFormat="1" ht="20.25" customHeight="1" x14ac:dyDescent="0.25">
      <c r="A9" s="252"/>
      <c r="B9" s="253"/>
      <c r="C9" s="254"/>
      <c r="D9" s="255"/>
      <c r="E9" s="264" t="str">
        <f t="shared" ref="E9:E17" si="0">IF(B9="","",C9-D9)</f>
        <v/>
      </c>
    </row>
    <row r="10" spans="1:5" s="164" customFormat="1" ht="20.25" customHeight="1" x14ac:dyDescent="0.25">
      <c r="A10" s="252"/>
      <c r="B10" s="253"/>
      <c r="C10" s="254"/>
      <c r="D10" s="255"/>
      <c r="E10" s="264" t="str">
        <f t="shared" si="0"/>
        <v/>
      </c>
    </row>
    <row r="11" spans="1:5" s="164" customFormat="1" ht="20.25" customHeight="1" x14ac:dyDescent="0.25">
      <c r="A11" s="252"/>
      <c r="B11" s="253"/>
      <c r="C11" s="254"/>
      <c r="D11" s="255"/>
      <c r="E11" s="264" t="str">
        <f t="shared" si="0"/>
        <v/>
      </c>
    </row>
    <row r="12" spans="1:5" s="164" customFormat="1" ht="20.25" customHeight="1" x14ac:dyDescent="0.25">
      <c r="A12" s="252"/>
      <c r="B12" s="253"/>
      <c r="C12" s="254"/>
      <c r="D12" s="255"/>
      <c r="E12" s="264" t="str">
        <f t="shared" si="0"/>
        <v/>
      </c>
    </row>
    <row r="13" spans="1:5" s="164" customFormat="1" ht="20.25" customHeight="1" x14ac:dyDescent="0.25">
      <c r="A13" s="252"/>
      <c r="B13" s="253"/>
      <c r="C13" s="254"/>
      <c r="D13" s="255"/>
      <c r="E13" s="264" t="str">
        <f t="shared" si="0"/>
        <v/>
      </c>
    </row>
    <row r="14" spans="1:5" s="164" customFormat="1" ht="20.25" customHeight="1" x14ac:dyDescent="0.25">
      <c r="A14" s="252"/>
      <c r="B14" s="253"/>
      <c r="C14" s="254"/>
      <c r="D14" s="255"/>
      <c r="E14" s="264" t="str">
        <f t="shared" si="0"/>
        <v/>
      </c>
    </row>
    <row r="15" spans="1:5" s="164" customFormat="1" ht="20.25" customHeight="1" x14ac:dyDescent="0.25">
      <c r="A15" s="252"/>
      <c r="B15" s="253"/>
      <c r="C15" s="254"/>
      <c r="D15" s="255"/>
      <c r="E15" s="264" t="str">
        <f t="shared" si="0"/>
        <v/>
      </c>
    </row>
    <row r="16" spans="1:5" s="164" customFormat="1" ht="20.25" customHeight="1" x14ac:dyDescent="0.25">
      <c r="A16" s="252"/>
      <c r="B16" s="253"/>
      <c r="C16" s="254"/>
      <c r="D16" s="255"/>
      <c r="E16" s="264" t="str">
        <f t="shared" si="0"/>
        <v/>
      </c>
    </row>
    <row r="17" spans="1:5" s="164" customFormat="1" ht="20.25" customHeight="1" x14ac:dyDescent="0.25">
      <c r="A17" s="252"/>
      <c r="B17" s="253"/>
      <c r="C17" s="254"/>
      <c r="D17" s="255"/>
      <c r="E17" s="264" t="str">
        <f t="shared" si="0"/>
        <v/>
      </c>
    </row>
    <row r="18" spans="1:5" s="164" customFormat="1" ht="20.25" customHeight="1" x14ac:dyDescent="0.25">
      <c r="A18" s="252"/>
      <c r="B18" s="253" t="s">
        <v>745</v>
      </c>
      <c r="C18" s="262">
        <f>SUM(C8:C17)</f>
        <v>446913961</v>
      </c>
      <c r="D18" s="263">
        <f>SUM(D8:D17)</f>
        <v>233108027.84000003</v>
      </c>
      <c r="E18" s="264">
        <f>SUM(E8:E17)</f>
        <v>213805933.15999997</v>
      </c>
    </row>
    <row r="19" spans="1:5" s="164" customFormat="1" ht="21" customHeight="1" x14ac:dyDescent="0.25">
      <c r="A19" s="1336" t="s">
        <v>746</v>
      </c>
      <c r="B19" s="1337"/>
      <c r="C19" s="1337"/>
      <c r="D19" s="1337"/>
      <c r="E19" s="1338"/>
    </row>
    <row r="20" spans="1:5" s="164" customFormat="1" ht="20.25" customHeight="1" x14ac:dyDescent="0.25">
      <c r="A20" s="252"/>
      <c r="B20" s="253"/>
      <c r="C20" s="254"/>
      <c r="D20" s="255"/>
      <c r="E20" s="264" t="str">
        <f>IF(B20="","",C20-D20)</f>
        <v/>
      </c>
    </row>
    <row r="21" spans="1:5" s="164" customFormat="1" ht="20.25" customHeight="1" x14ac:dyDescent="0.25">
      <c r="A21" s="252"/>
      <c r="B21" s="253"/>
      <c r="C21" s="254"/>
      <c r="D21" s="255"/>
      <c r="E21" s="264" t="str">
        <f t="shared" ref="E21:E29" si="1">IF(B21="","",C21-D21)</f>
        <v/>
      </c>
    </row>
    <row r="22" spans="1:5" s="164" customFormat="1" ht="20.25" customHeight="1" x14ac:dyDescent="0.25">
      <c r="A22" s="252"/>
      <c r="B22" s="253"/>
      <c r="C22" s="254"/>
      <c r="D22" s="255"/>
      <c r="E22" s="264" t="str">
        <f t="shared" si="1"/>
        <v/>
      </c>
    </row>
    <row r="23" spans="1:5" s="164" customFormat="1" ht="20.25" customHeight="1" x14ac:dyDescent="0.25">
      <c r="A23" s="252"/>
      <c r="B23" s="253"/>
      <c r="C23" s="254"/>
      <c r="D23" s="255"/>
      <c r="E23" s="264" t="str">
        <f t="shared" si="1"/>
        <v/>
      </c>
    </row>
    <row r="24" spans="1:5" s="164" customFormat="1" ht="20.25" customHeight="1" x14ac:dyDescent="0.25">
      <c r="A24" s="252"/>
      <c r="B24" s="253"/>
      <c r="C24" s="254"/>
      <c r="D24" s="255"/>
      <c r="E24" s="264" t="str">
        <f t="shared" si="1"/>
        <v/>
      </c>
    </row>
    <row r="25" spans="1:5" s="164" customFormat="1" ht="20.25" customHeight="1" x14ac:dyDescent="0.25">
      <c r="A25" s="252"/>
      <c r="B25" s="253"/>
      <c r="C25" s="254"/>
      <c r="D25" s="255"/>
      <c r="E25" s="264" t="str">
        <f t="shared" si="1"/>
        <v/>
      </c>
    </row>
    <row r="26" spans="1:5" s="164" customFormat="1" ht="20.25" customHeight="1" x14ac:dyDescent="0.25">
      <c r="A26" s="252"/>
      <c r="B26" s="253"/>
      <c r="C26" s="254"/>
      <c r="D26" s="255"/>
      <c r="E26" s="264" t="str">
        <f t="shared" si="1"/>
        <v/>
      </c>
    </row>
    <row r="27" spans="1:5" s="164" customFormat="1" ht="20.25" customHeight="1" x14ac:dyDescent="0.25">
      <c r="A27" s="252"/>
      <c r="B27" s="253"/>
      <c r="C27" s="254"/>
      <c r="D27" s="255"/>
      <c r="E27" s="264" t="str">
        <f>IF(B27="","",C27-D28)</f>
        <v/>
      </c>
    </row>
    <row r="28" spans="1:5" s="164" customFormat="1" ht="20.25" customHeight="1" x14ac:dyDescent="0.25">
      <c r="A28" s="252"/>
      <c r="B28" s="253"/>
      <c r="C28" s="254"/>
      <c r="D28" s="255"/>
      <c r="E28" s="264" t="str">
        <f>IF(B28="","",C28-#REF!)</f>
        <v/>
      </c>
    </row>
    <row r="29" spans="1:5" s="164" customFormat="1" ht="20.25" customHeight="1" x14ac:dyDescent="0.25">
      <c r="A29" s="252"/>
      <c r="B29" s="253"/>
      <c r="C29" s="254"/>
      <c r="D29" s="255"/>
      <c r="E29" s="264" t="str">
        <f t="shared" si="1"/>
        <v/>
      </c>
    </row>
    <row r="30" spans="1:5" s="48" customFormat="1" ht="39.950000000000003" customHeight="1" thickBot="1" x14ac:dyDescent="0.35">
      <c r="A30" s="252"/>
      <c r="B30" s="258" t="s">
        <v>747</v>
      </c>
      <c r="C30" s="262">
        <f>SUM(C20:C29)</f>
        <v>0</v>
      </c>
      <c r="D30" s="263">
        <f>SUM(D20:D29)</f>
        <v>0</v>
      </c>
      <c r="E30" s="264">
        <f>SUM(E20:E29)</f>
        <v>0</v>
      </c>
    </row>
    <row r="31" spans="1:5" ht="30" customHeight="1" thickBot="1" x14ac:dyDescent="0.35">
      <c r="A31" s="259"/>
      <c r="B31" s="772" t="s">
        <v>748</v>
      </c>
      <c r="C31" s="265">
        <f>SUM(C18,C30)</f>
        <v>446913961</v>
      </c>
      <c r="D31" s="265">
        <f>SUM(D18,D30)</f>
        <v>233108027.84000003</v>
      </c>
      <c r="E31" s="266">
        <f>SUM(E18,E30)</f>
        <v>213805933.15999997</v>
      </c>
    </row>
    <row r="32" spans="1:5" ht="17.100000000000001" customHeight="1" x14ac:dyDescent="0.3">
      <c r="A32" s="87"/>
    </row>
    <row r="33" spans="1:10" ht="17.100000000000001" customHeight="1" x14ac:dyDescent="0.3">
      <c r="A33" s="383"/>
      <c r="B33" s="384"/>
      <c r="C33" s="385"/>
      <c r="D33" s="385"/>
      <c r="E33" s="385"/>
    </row>
    <row r="34" spans="1:10" ht="17.100000000000001" customHeight="1" x14ac:dyDescent="0.3">
      <c r="A34" s="383"/>
      <c r="B34" s="384"/>
      <c r="C34" s="385"/>
      <c r="D34" s="385"/>
      <c r="E34" s="385"/>
    </row>
    <row r="35" spans="1:10" ht="17.100000000000001" customHeight="1" x14ac:dyDescent="0.3">
      <c r="A35" s="383"/>
      <c r="B35" s="384"/>
      <c r="C35" s="385"/>
      <c r="D35" s="385"/>
      <c r="E35" s="385"/>
    </row>
    <row r="36" spans="1:10" ht="17.100000000000001" customHeight="1" x14ac:dyDescent="0.3">
      <c r="A36" s="383"/>
      <c r="B36" s="384"/>
      <c r="C36" s="385"/>
      <c r="D36" s="385"/>
      <c r="E36" s="385"/>
    </row>
    <row r="37" spans="1:10" ht="17.100000000000001" customHeight="1" x14ac:dyDescent="0.3">
      <c r="A37" s="37" t="s">
        <v>241</v>
      </c>
      <c r="J37" s="261"/>
    </row>
  </sheetData>
  <sheetProtection insertHyperlinks="0"/>
  <mergeCells count="7">
    <mergeCell ref="A1:E1"/>
    <mergeCell ref="A3:E3"/>
    <mergeCell ref="A19:E19"/>
    <mergeCell ref="A2:E2"/>
    <mergeCell ref="A5:B6"/>
    <mergeCell ref="A7:E7"/>
    <mergeCell ref="B4:C4"/>
  </mergeCells>
  <printOptions horizontalCentered="1"/>
  <pageMargins left="0.39370078740157483" right="0.39370078740157483" top="0.74803149606299213" bottom="0.74803149606299213" header="0.31496062992125984" footer="0.31496062992125984"/>
  <pageSetup scale="92"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18">
    <tabColor theme="0" tint="-4.9989318521683403E-2"/>
  </sheetPr>
  <dimension ref="A1:I37"/>
  <sheetViews>
    <sheetView view="pageBreakPreview" zoomScale="90" zoomScaleSheetLayoutView="90" workbookViewId="0">
      <selection activeCell="C56" sqref="C56"/>
    </sheetView>
  </sheetViews>
  <sheetFormatPr baseColWidth="10" defaultColWidth="11.28515625" defaultRowHeight="16.5" x14ac:dyDescent="0.3"/>
  <cols>
    <col min="1" max="1" width="4.85546875" style="37" customWidth="1"/>
    <col min="2" max="2" width="41" style="37" customWidth="1"/>
    <col min="3" max="4" width="25.7109375" style="37" customWidth="1"/>
    <col min="5" max="16384" width="11.28515625" style="37"/>
  </cols>
  <sheetData>
    <row r="1" spans="1:6" x14ac:dyDescent="0.3">
      <c r="A1" s="267"/>
      <c r="B1" s="1060" t="str">
        <f>'CPCA-I-01'!A1</f>
        <v xml:space="preserve">Comision Estatal del Agua </v>
      </c>
      <c r="C1" s="1060"/>
      <c r="D1" s="1060"/>
    </row>
    <row r="2" spans="1:6" x14ac:dyDescent="0.3">
      <c r="B2" s="1339" t="s">
        <v>749</v>
      </c>
      <c r="C2" s="1339"/>
      <c r="D2" s="1339"/>
      <c r="F2" s="245"/>
    </row>
    <row r="3" spans="1:6" x14ac:dyDescent="0.3">
      <c r="B3" s="1077" t="str">
        <f>'CPCA-I-03'!A3</f>
        <v xml:space="preserve">Del  01 de Enero de 2023 al 31 de Diciembre de 2023 </v>
      </c>
      <c r="C3" s="1077"/>
      <c r="D3" s="1077"/>
    </row>
    <row r="4" spans="1:6" x14ac:dyDescent="0.3">
      <c r="A4" s="634"/>
      <c r="B4" s="1351" t="s">
        <v>923</v>
      </c>
      <c r="C4" s="1351"/>
      <c r="D4" s="79"/>
    </row>
    <row r="5" spans="1:6" ht="6.75" customHeight="1" thickBot="1" x14ac:dyDescent="0.35"/>
    <row r="6" spans="1:6" s="164" customFormat="1" ht="27.95" customHeight="1" x14ac:dyDescent="0.25">
      <c r="A6" s="1340" t="s">
        <v>738</v>
      </c>
      <c r="B6" s="1341"/>
      <c r="C6" s="1347" t="s">
        <v>406</v>
      </c>
      <c r="D6" s="1349" t="s">
        <v>632</v>
      </c>
    </row>
    <row r="7" spans="1:6" s="164" customFormat="1" ht="4.5" customHeight="1" thickBot="1" x14ac:dyDescent="0.3">
      <c r="A7" s="1342"/>
      <c r="B7" s="1343"/>
      <c r="C7" s="1348"/>
      <c r="D7" s="1350"/>
    </row>
    <row r="8" spans="1:6" s="164" customFormat="1" ht="21" customHeight="1" x14ac:dyDescent="0.25">
      <c r="A8" s="1344" t="s">
        <v>744</v>
      </c>
      <c r="B8" s="1345"/>
      <c r="C8" s="1345"/>
      <c r="D8" s="1346"/>
    </row>
    <row r="9" spans="1:6" s="164" customFormat="1" ht="18" customHeight="1" x14ac:dyDescent="0.25">
      <c r="A9" s="252"/>
      <c r="B9" s="253" t="s">
        <v>1909</v>
      </c>
      <c r="C9" s="268">
        <v>28432546.32</v>
      </c>
      <c r="D9" s="269">
        <v>28432546.32</v>
      </c>
    </row>
    <row r="10" spans="1:6" s="164" customFormat="1" ht="18" customHeight="1" x14ac:dyDescent="0.25">
      <c r="A10" s="252"/>
      <c r="B10" s="253"/>
      <c r="C10" s="268"/>
      <c r="D10" s="269"/>
    </row>
    <row r="11" spans="1:6" s="164" customFormat="1" ht="18" customHeight="1" x14ac:dyDescent="0.25">
      <c r="A11" s="252"/>
      <c r="B11" s="253"/>
      <c r="C11" s="268"/>
      <c r="D11" s="269"/>
    </row>
    <row r="12" spans="1:6" s="164" customFormat="1" ht="18" customHeight="1" x14ac:dyDescent="0.25">
      <c r="A12" s="252"/>
      <c r="B12" s="253"/>
      <c r="C12" s="268"/>
      <c r="D12" s="269"/>
    </row>
    <row r="13" spans="1:6" s="164" customFormat="1" ht="18" customHeight="1" x14ac:dyDescent="0.25">
      <c r="A13" s="252"/>
      <c r="B13" s="253"/>
      <c r="C13" s="268"/>
      <c r="D13" s="269"/>
    </row>
    <row r="14" spans="1:6" s="164" customFormat="1" ht="18" customHeight="1" x14ac:dyDescent="0.25">
      <c r="A14" s="252"/>
      <c r="B14" s="253"/>
      <c r="C14" s="268"/>
      <c r="D14" s="269"/>
    </row>
    <row r="15" spans="1:6" s="164" customFormat="1" ht="18" customHeight="1" x14ac:dyDescent="0.25">
      <c r="A15" s="252"/>
      <c r="B15" s="253"/>
      <c r="C15" s="268"/>
      <c r="D15" s="269"/>
    </row>
    <row r="16" spans="1:6" s="164" customFormat="1" ht="18" customHeight="1" x14ac:dyDescent="0.25">
      <c r="A16" s="252"/>
      <c r="B16" s="253"/>
      <c r="C16" s="268"/>
      <c r="D16" s="269"/>
    </row>
    <row r="17" spans="1:4" s="164" customFormat="1" ht="18" customHeight="1" x14ac:dyDescent="0.25">
      <c r="A17" s="252"/>
      <c r="B17" s="253"/>
      <c r="C17" s="268"/>
      <c r="D17" s="269"/>
    </row>
    <row r="18" spans="1:4" s="164" customFormat="1" ht="18" customHeight="1" x14ac:dyDescent="0.25">
      <c r="A18" s="252"/>
      <c r="B18" s="253"/>
      <c r="C18" s="268"/>
      <c r="D18" s="269"/>
    </row>
    <row r="19" spans="1:4" s="164" customFormat="1" ht="18" customHeight="1" x14ac:dyDescent="0.25">
      <c r="A19" s="252"/>
      <c r="B19" s="257" t="s">
        <v>750</v>
      </c>
      <c r="C19" s="262">
        <f>SUM(C9:C18)</f>
        <v>28432546.32</v>
      </c>
      <c r="D19" s="264">
        <f>SUM(D9:D18)</f>
        <v>28432546.32</v>
      </c>
    </row>
    <row r="20" spans="1:4" s="164" customFormat="1" ht="21" customHeight="1" x14ac:dyDescent="0.25">
      <c r="A20" s="1336" t="s">
        <v>746</v>
      </c>
      <c r="B20" s="1337"/>
      <c r="C20" s="1337"/>
      <c r="D20" s="1338"/>
    </row>
    <row r="21" spans="1:4" s="164" customFormat="1" ht="18" customHeight="1" x14ac:dyDescent="0.25">
      <c r="A21" s="252"/>
      <c r="B21" s="253"/>
      <c r="C21" s="268"/>
      <c r="D21" s="269"/>
    </row>
    <row r="22" spans="1:4" s="164" customFormat="1" ht="18" customHeight="1" x14ac:dyDescent="0.25">
      <c r="A22" s="252"/>
      <c r="B22" s="253"/>
      <c r="C22" s="268"/>
      <c r="D22" s="269"/>
    </row>
    <row r="23" spans="1:4" s="164" customFormat="1" ht="18" customHeight="1" x14ac:dyDescent="0.25">
      <c r="A23" s="252"/>
      <c r="B23" s="253"/>
      <c r="C23" s="268"/>
      <c r="D23" s="269"/>
    </row>
    <row r="24" spans="1:4" s="164" customFormat="1" ht="18" customHeight="1" x14ac:dyDescent="0.25">
      <c r="A24" s="252"/>
      <c r="B24" s="253"/>
      <c r="C24" s="268"/>
      <c r="D24" s="269"/>
    </row>
    <row r="25" spans="1:4" s="164" customFormat="1" ht="18" customHeight="1" x14ac:dyDescent="0.25">
      <c r="A25" s="252"/>
      <c r="B25" s="253"/>
      <c r="C25" s="268"/>
      <c r="D25" s="269"/>
    </row>
    <row r="26" spans="1:4" s="164" customFormat="1" ht="18" customHeight="1" x14ac:dyDescent="0.25">
      <c r="A26" s="252"/>
      <c r="B26" s="253"/>
      <c r="C26" s="268"/>
      <c r="D26" s="269"/>
    </row>
    <row r="27" spans="1:4" s="164" customFormat="1" ht="18" customHeight="1" x14ac:dyDescent="0.25">
      <c r="A27" s="252"/>
      <c r="B27" s="253"/>
      <c r="C27" s="268"/>
      <c r="D27" s="269"/>
    </row>
    <row r="28" spans="1:4" s="164" customFormat="1" ht="18" customHeight="1" x14ac:dyDescent="0.25">
      <c r="A28" s="252"/>
      <c r="B28" s="253"/>
      <c r="C28" s="268"/>
      <c r="D28" s="269"/>
    </row>
    <row r="29" spans="1:4" s="164" customFormat="1" ht="18" customHeight="1" x14ac:dyDescent="0.25">
      <c r="A29" s="252"/>
      <c r="B29" s="253"/>
      <c r="C29" s="268"/>
      <c r="D29" s="269"/>
    </row>
    <row r="30" spans="1:4" s="164" customFormat="1" ht="18" customHeight="1" x14ac:dyDescent="0.25">
      <c r="A30" s="252"/>
      <c r="B30" s="253"/>
      <c r="C30" s="268" t="s">
        <v>241</v>
      </c>
      <c r="D30" s="269"/>
    </row>
    <row r="31" spans="1:4" s="48" customFormat="1" ht="18" customHeight="1" thickBot="1" x14ac:dyDescent="0.35">
      <c r="A31" s="252"/>
      <c r="B31" s="258" t="s">
        <v>751</v>
      </c>
      <c r="C31" s="262">
        <f>SUM(C21:C30)</f>
        <v>0</v>
      </c>
      <c r="D31" s="264">
        <f>SUM(D21:D30)</f>
        <v>0</v>
      </c>
    </row>
    <row r="32" spans="1:4" ht="27.95" customHeight="1" thickBot="1" x14ac:dyDescent="0.35">
      <c r="A32" s="259"/>
      <c r="B32" s="260" t="s">
        <v>748</v>
      </c>
      <c r="C32" s="265">
        <f>SUM(C31,C19)</f>
        <v>28432546.32</v>
      </c>
      <c r="D32" s="270">
        <f>SUM(D31,D19)</f>
        <v>28432546.32</v>
      </c>
    </row>
    <row r="33" spans="1:9" s="48" customFormat="1" ht="18" customHeight="1" x14ac:dyDescent="0.3">
      <c r="A33" s="87"/>
      <c r="B33" s="37"/>
      <c r="C33" s="37"/>
      <c r="D33" s="37"/>
      <c r="E33" s="37"/>
    </row>
    <row r="34" spans="1:9" s="48" customFormat="1" ht="18" customHeight="1" x14ac:dyDescent="0.3">
      <c r="A34" s="37"/>
      <c r="B34" s="37"/>
      <c r="C34" s="37"/>
      <c r="D34" s="37"/>
      <c r="E34" s="37"/>
    </row>
    <row r="35" spans="1:9" s="48" customFormat="1" ht="18" customHeight="1" x14ac:dyDescent="0.3">
      <c r="A35" s="37"/>
      <c r="B35" s="37"/>
      <c r="C35" s="37"/>
      <c r="D35" s="37"/>
      <c r="E35" s="37"/>
    </row>
    <row r="36" spans="1:9" ht="17.100000000000001" customHeight="1" x14ac:dyDescent="0.3">
      <c r="A36" s="383"/>
      <c r="B36" s="384"/>
      <c r="C36" s="385"/>
      <c r="D36" s="385"/>
    </row>
    <row r="37" spans="1:9" ht="17.100000000000001" customHeight="1" x14ac:dyDescent="0.3">
      <c r="I37" s="261"/>
    </row>
  </sheetData>
  <sheetProtection insertHyperlinks="0"/>
  <mergeCells count="9">
    <mergeCell ref="A8:D8"/>
    <mergeCell ref="A20:D20"/>
    <mergeCell ref="C6:C7"/>
    <mergeCell ref="D6:D7"/>
    <mergeCell ref="B1:D1"/>
    <mergeCell ref="B2:D2"/>
    <mergeCell ref="B3:D3"/>
    <mergeCell ref="B4:C4"/>
    <mergeCell ref="A6:B7"/>
  </mergeCells>
  <printOptions horizontalCentered="1"/>
  <pageMargins left="0.39370078740157483" right="0.39370078740157483" top="0.74803149606299213" bottom="0.74803149606299213" header="0.31496062992125984" footer="0.31496062992125984"/>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tint="-4.9989318521683403E-2"/>
    <pageSetUpPr fitToPage="1"/>
  </sheetPr>
  <dimension ref="A1:H44"/>
  <sheetViews>
    <sheetView view="pageBreakPreview" zoomScaleSheetLayoutView="100" workbookViewId="0">
      <selection activeCell="C56" sqref="C56"/>
    </sheetView>
  </sheetViews>
  <sheetFormatPr baseColWidth="10" defaultColWidth="11.28515625" defaultRowHeight="15" x14ac:dyDescent="0.25"/>
  <cols>
    <col min="1" max="1" width="47.7109375" style="279" bestFit="1" customWidth="1"/>
    <col min="2" max="2" width="11.28515625" style="60"/>
    <col min="3" max="3" width="12.28515625" style="60" customWidth="1"/>
    <col min="4" max="16384" width="11.28515625" style="60"/>
  </cols>
  <sheetData>
    <row r="1" spans="1:7" ht="16.5" customHeight="1" x14ac:dyDescent="0.25">
      <c r="A1" s="1352" t="str">
        <f>'CPCA-I-01'!A1:G1</f>
        <v xml:space="preserve">Comision Estatal del Agua </v>
      </c>
      <c r="B1" s="1352"/>
      <c r="C1" s="1352"/>
      <c r="D1" s="1352"/>
      <c r="E1" s="1352"/>
      <c r="F1" s="1352"/>
      <c r="G1" s="1352"/>
    </row>
    <row r="2" spans="1:7" ht="16.5" customHeight="1" x14ac:dyDescent="0.25">
      <c r="A2" s="1352" t="s">
        <v>752</v>
      </c>
      <c r="B2" s="1352"/>
      <c r="C2" s="1352"/>
      <c r="D2" s="1352"/>
      <c r="E2" s="1352"/>
      <c r="F2" s="1352"/>
      <c r="G2" s="1352"/>
    </row>
    <row r="3" spans="1:7" ht="16.5" x14ac:dyDescent="0.25">
      <c r="A3" s="1353" t="str">
        <f>'CPCA-I-03'!A3:D3</f>
        <v xml:space="preserve">Del  01 de Enero de 2023 al 31 de Diciembre de 2023 </v>
      </c>
      <c r="B3" s="1353"/>
      <c r="C3" s="1353"/>
      <c r="D3" s="1353"/>
      <c r="E3" s="1353"/>
      <c r="F3" s="1353"/>
      <c r="G3" s="1353"/>
    </row>
    <row r="4" spans="1:7" ht="17.25" thickBot="1" x14ac:dyDescent="0.3">
      <c r="A4" s="271"/>
      <c r="B4" s="1303" t="s">
        <v>924</v>
      </c>
      <c r="C4" s="1303"/>
      <c r="D4" s="1303"/>
      <c r="E4" s="126"/>
      <c r="F4" s="38"/>
      <c r="G4" s="389"/>
    </row>
    <row r="5" spans="1:7" ht="38.25" x14ac:dyDescent="0.25">
      <c r="A5" s="1257" t="s">
        <v>243</v>
      </c>
      <c r="B5" s="162" t="s">
        <v>473</v>
      </c>
      <c r="C5" s="162" t="s">
        <v>404</v>
      </c>
      <c r="D5" s="162" t="s">
        <v>474</v>
      </c>
      <c r="E5" s="163" t="s">
        <v>753</v>
      </c>
      <c r="F5" s="163" t="s">
        <v>754</v>
      </c>
      <c r="G5" s="162" t="s">
        <v>477</v>
      </c>
    </row>
    <row r="6" spans="1:7" ht="15.75" thickBot="1" x14ac:dyDescent="0.3">
      <c r="A6" s="1259"/>
      <c r="B6" s="224" t="s">
        <v>384</v>
      </c>
      <c r="C6" s="224" t="s">
        <v>385</v>
      </c>
      <c r="D6" s="224" t="s">
        <v>478</v>
      </c>
      <c r="E6" s="272" t="s">
        <v>387</v>
      </c>
      <c r="F6" s="272" t="s">
        <v>388</v>
      </c>
      <c r="G6" s="224" t="s">
        <v>479</v>
      </c>
    </row>
    <row r="7" spans="1:7" ht="16.5" x14ac:dyDescent="0.25">
      <c r="A7" s="240"/>
      <c r="B7" s="273"/>
      <c r="C7" s="273"/>
      <c r="D7" s="273"/>
      <c r="E7" s="273"/>
      <c r="F7" s="273"/>
      <c r="G7" s="273"/>
    </row>
    <row r="8" spans="1:7" s="276" customFormat="1" x14ac:dyDescent="0.25">
      <c r="A8" s="274" t="s">
        <v>755</v>
      </c>
      <c r="B8" s="275"/>
      <c r="C8" s="275"/>
      <c r="D8" s="275"/>
      <c r="E8" s="275"/>
      <c r="F8" s="275"/>
      <c r="G8" s="275"/>
    </row>
    <row r="9" spans="1:7" s="278" customFormat="1" x14ac:dyDescent="0.25">
      <c r="A9" s="277" t="s">
        <v>870</v>
      </c>
      <c r="B9" s="335">
        <f>B11+B12</f>
        <v>0</v>
      </c>
      <c r="C9" s="335">
        <f>C11+C12</f>
        <v>0</v>
      </c>
      <c r="D9" s="335">
        <f>SUM(B9+C9)</f>
        <v>0</v>
      </c>
      <c r="E9" s="335">
        <f>E11+E12</f>
        <v>0</v>
      </c>
      <c r="F9" s="335">
        <f>F11+F12</f>
        <v>0</v>
      </c>
      <c r="G9" s="335">
        <f>SUM(D9-E9)</f>
        <v>0</v>
      </c>
    </row>
    <row r="10" spans="1:7" x14ac:dyDescent="0.25">
      <c r="A10" s="280"/>
      <c r="B10" s="336"/>
      <c r="C10" s="336"/>
      <c r="D10" s="336"/>
      <c r="E10" s="336"/>
      <c r="F10" s="336"/>
      <c r="G10" s="337"/>
    </row>
    <row r="11" spans="1:7" x14ac:dyDescent="0.25">
      <c r="A11" s="280" t="s">
        <v>756</v>
      </c>
      <c r="B11" s="336"/>
      <c r="C11" s="336"/>
      <c r="D11" s="337">
        <f>B11+C11</f>
        <v>0</v>
      </c>
      <c r="E11" s="336"/>
      <c r="F11" s="336"/>
      <c r="G11" s="337">
        <f>D11-E11</f>
        <v>0</v>
      </c>
    </row>
    <row r="12" spans="1:7" x14ac:dyDescent="0.25">
      <c r="A12" s="280" t="s">
        <v>757</v>
      </c>
      <c r="B12" s="336"/>
      <c r="C12" s="336"/>
      <c r="D12" s="337">
        <f>B12+C12</f>
        <v>0</v>
      </c>
      <c r="E12" s="336"/>
      <c r="F12" s="336"/>
      <c r="G12" s="337">
        <f>D12-E12</f>
        <v>0</v>
      </c>
    </row>
    <row r="13" spans="1:7" s="278" customFormat="1" x14ac:dyDescent="0.25">
      <c r="A13" s="277" t="s">
        <v>758</v>
      </c>
      <c r="B13" s="335">
        <f t="shared" ref="B13:G13" si="0">SUM(B14:B21)</f>
        <v>259999999.995</v>
      </c>
      <c r="C13" s="335">
        <f t="shared" si="0"/>
        <v>3111819113.9400001</v>
      </c>
      <c r="D13" s="335">
        <f t="shared" si="0"/>
        <v>3371819113.9349999</v>
      </c>
      <c r="E13" s="335">
        <f t="shared" si="0"/>
        <v>1910427426.0899999</v>
      </c>
      <c r="F13" s="335">
        <f t="shared" si="0"/>
        <v>1882674905.8399999</v>
      </c>
      <c r="G13" s="335">
        <f t="shared" si="0"/>
        <v>1461391687.845</v>
      </c>
    </row>
    <row r="14" spans="1:7" x14ac:dyDescent="0.25">
      <c r="A14" s="280" t="s">
        <v>759</v>
      </c>
      <c r="B14" s="336"/>
      <c r="C14" s="336"/>
      <c r="D14" s="337">
        <f t="shared" ref="D14:D21" si="1">B14+C14</f>
        <v>0</v>
      </c>
      <c r="E14" s="336"/>
      <c r="F14" s="336"/>
      <c r="G14" s="337">
        <f>D14-E14</f>
        <v>0</v>
      </c>
    </row>
    <row r="15" spans="1:7" x14ac:dyDescent="0.25">
      <c r="A15" s="280" t="s">
        <v>760</v>
      </c>
      <c r="B15" s="336"/>
      <c r="C15" s="336"/>
      <c r="D15" s="337">
        <f t="shared" si="1"/>
        <v>0</v>
      </c>
      <c r="E15" s="336"/>
      <c r="F15" s="336"/>
      <c r="G15" s="337">
        <f t="shared" ref="G15:G38" si="2">D15-E15</f>
        <v>0</v>
      </c>
    </row>
    <row r="16" spans="1:7" x14ac:dyDescent="0.25">
      <c r="A16" s="280" t="s">
        <v>761</v>
      </c>
      <c r="B16" s="336"/>
      <c r="C16" s="336"/>
      <c r="D16" s="337">
        <f t="shared" si="1"/>
        <v>0</v>
      </c>
      <c r="E16" s="336"/>
      <c r="F16" s="336"/>
      <c r="G16" s="337">
        <f t="shared" si="2"/>
        <v>0</v>
      </c>
    </row>
    <row r="17" spans="1:7" x14ac:dyDescent="0.25">
      <c r="A17" s="280" t="s">
        <v>762</v>
      </c>
      <c r="B17" s="336"/>
      <c r="C17" s="336"/>
      <c r="D17" s="337">
        <f t="shared" si="1"/>
        <v>0</v>
      </c>
      <c r="E17" s="336"/>
      <c r="F17" s="336"/>
      <c r="G17" s="337">
        <f t="shared" si="2"/>
        <v>0</v>
      </c>
    </row>
    <row r="18" spans="1:7" x14ac:dyDescent="0.25">
      <c r="A18" s="280" t="s">
        <v>763</v>
      </c>
      <c r="B18" s="336"/>
      <c r="C18" s="336"/>
      <c r="D18" s="337">
        <f t="shared" si="1"/>
        <v>0</v>
      </c>
      <c r="E18" s="336"/>
      <c r="F18" s="336"/>
      <c r="G18" s="337">
        <f t="shared" si="2"/>
        <v>0</v>
      </c>
    </row>
    <row r="19" spans="1:7" ht="27" x14ac:dyDescent="0.25">
      <c r="A19" s="280" t="s">
        <v>764</v>
      </c>
      <c r="B19" s="336"/>
      <c r="C19" s="336"/>
      <c r="D19" s="337">
        <f t="shared" si="1"/>
        <v>0</v>
      </c>
      <c r="E19" s="336"/>
      <c r="F19" s="336"/>
      <c r="G19" s="337">
        <f t="shared" si="2"/>
        <v>0</v>
      </c>
    </row>
    <row r="20" spans="1:7" x14ac:dyDescent="0.25">
      <c r="A20" s="280" t="s">
        <v>765</v>
      </c>
      <c r="B20" s="336"/>
      <c r="C20" s="336"/>
      <c r="D20" s="337">
        <f t="shared" si="1"/>
        <v>0</v>
      </c>
      <c r="E20" s="336"/>
      <c r="F20" s="336"/>
      <c r="G20" s="337">
        <f t="shared" si="2"/>
        <v>0</v>
      </c>
    </row>
    <row r="21" spans="1:7" x14ac:dyDescent="0.25">
      <c r="A21" s="280" t="s">
        <v>766</v>
      </c>
      <c r="B21" s="336">
        <v>259999999.995</v>
      </c>
      <c r="C21" s="336">
        <v>3111819113.9400001</v>
      </c>
      <c r="D21" s="337">
        <f t="shared" si="1"/>
        <v>3371819113.9349999</v>
      </c>
      <c r="E21" s="336">
        <v>1910427426.0899999</v>
      </c>
      <c r="F21" s="336">
        <v>1882674905.8399999</v>
      </c>
      <c r="G21" s="337">
        <f t="shared" si="2"/>
        <v>1461391687.845</v>
      </c>
    </row>
    <row r="22" spans="1:7" s="278" customFormat="1" x14ac:dyDescent="0.25">
      <c r="A22" s="277" t="s">
        <v>767</v>
      </c>
      <c r="B22" s="335">
        <f t="shared" ref="B22:G22" si="3">SUM(B23:B25)</f>
        <v>522667131.32648921</v>
      </c>
      <c r="C22" s="335">
        <f t="shared" si="3"/>
        <v>235429724.63000059</v>
      </c>
      <c r="D22" s="335">
        <f t="shared" si="3"/>
        <v>758096855.9564898</v>
      </c>
      <c r="E22" s="335">
        <f t="shared" si="3"/>
        <v>630986914.91999984</v>
      </c>
      <c r="F22" s="335">
        <f t="shared" si="3"/>
        <v>589654104.66000009</v>
      </c>
      <c r="G22" s="335">
        <f t="shared" si="3"/>
        <v>127109941.03648996</v>
      </c>
    </row>
    <row r="23" spans="1:7" ht="27" x14ac:dyDescent="0.25">
      <c r="A23" s="280" t="s">
        <v>768</v>
      </c>
      <c r="B23" s="336">
        <v>522667131.32648921</v>
      </c>
      <c r="C23" s="336">
        <v>235429724.63000059</v>
      </c>
      <c r="D23" s="337">
        <f>B23+C23</f>
        <v>758096855.9564898</v>
      </c>
      <c r="E23" s="336">
        <v>630986914.91999984</v>
      </c>
      <c r="F23" s="336">
        <v>589654104.66000009</v>
      </c>
      <c r="G23" s="337">
        <f t="shared" si="2"/>
        <v>127109941.03648996</v>
      </c>
    </row>
    <row r="24" spans="1:7" x14ac:dyDescent="0.25">
      <c r="A24" s="280" t="s">
        <v>769</v>
      </c>
      <c r="B24" s="336"/>
      <c r="C24" s="336"/>
      <c r="D24" s="337">
        <f>B24+C24</f>
        <v>0</v>
      </c>
      <c r="E24" s="336"/>
      <c r="F24" s="336"/>
      <c r="G24" s="337">
        <f t="shared" si="2"/>
        <v>0</v>
      </c>
    </row>
    <row r="25" spans="1:7" x14ac:dyDescent="0.25">
      <c r="A25" s="280" t="s">
        <v>770</v>
      </c>
      <c r="B25" s="336"/>
      <c r="C25" s="336"/>
      <c r="D25" s="337">
        <f>B25+C25</f>
        <v>0</v>
      </c>
      <c r="E25" s="336"/>
      <c r="F25" s="336"/>
      <c r="G25" s="337">
        <f t="shared" si="2"/>
        <v>0</v>
      </c>
    </row>
    <row r="26" spans="1:7" s="278" customFormat="1" x14ac:dyDescent="0.25">
      <c r="A26" s="277" t="s">
        <v>771</v>
      </c>
      <c r="B26" s="335">
        <f>B27+B28</f>
        <v>0</v>
      </c>
      <c r="C26" s="335">
        <f>C27+C28</f>
        <v>0</v>
      </c>
      <c r="D26" s="335">
        <f>SUM(D27:D28)</f>
        <v>0</v>
      </c>
      <c r="E26" s="335">
        <f>E27+E28</f>
        <v>0</v>
      </c>
      <c r="F26" s="335">
        <f>F27+F28</f>
        <v>0</v>
      </c>
      <c r="G26" s="335">
        <f>SUM(G27:G28)</f>
        <v>0</v>
      </c>
    </row>
    <row r="27" spans="1:7" x14ac:dyDescent="0.25">
      <c r="A27" s="280" t="s">
        <v>772</v>
      </c>
      <c r="B27" s="336"/>
      <c r="C27" s="336"/>
      <c r="D27" s="337">
        <f>B27+C27</f>
        <v>0</v>
      </c>
      <c r="E27" s="336"/>
      <c r="F27" s="336"/>
      <c r="G27" s="337">
        <f t="shared" si="2"/>
        <v>0</v>
      </c>
    </row>
    <row r="28" spans="1:7" x14ac:dyDescent="0.25">
      <c r="A28" s="280" t="s">
        <v>773</v>
      </c>
      <c r="B28" s="336"/>
      <c r="C28" s="336"/>
      <c r="D28" s="337">
        <f>B28+C28</f>
        <v>0</v>
      </c>
      <c r="E28" s="336"/>
      <c r="F28" s="336"/>
      <c r="G28" s="337">
        <f t="shared" si="2"/>
        <v>0</v>
      </c>
    </row>
    <row r="29" spans="1:7" s="278" customFormat="1" x14ac:dyDescent="0.25">
      <c r="A29" s="277" t="s">
        <v>774</v>
      </c>
      <c r="B29" s="335">
        <f>B30+B31+B32+B33</f>
        <v>0</v>
      </c>
      <c r="C29" s="335">
        <f>C30+C31+C32+C33</f>
        <v>0</v>
      </c>
      <c r="D29" s="335">
        <f>SUM(D30:D33)</f>
        <v>0</v>
      </c>
      <c r="E29" s="335">
        <f>E30+E31+E32+E33</f>
        <v>0</v>
      </c>
      <c r="F29" s="335">
        <f>F30+F31+F32+F33</f>
        <v>0</v>
      </c>
      <c r="G29" s="335">
        <f>SUM(G30:G33)</f>
        <v>0</v>
      </c>
    </row>
    <row r="30" spans="1:7" x14ac:dyDescent="0.25">
      <c r="A30" s="280" t="s">
        <v>217</v>
      </c>
      <c r="B30" s="336"/>
      <c r="C30" s="336"/>
      <c r="D30" s="337">
        <f>B30+C30</f>
        <v>0</v>
      </c>
      <c r="E30" s="336"/>
      <c r="F30" s="336"/>
      <c r="G30" s="337">
        <f t="shared" si="2"/>
        <v>0</v>
      </c>
    </row>
    <row r="31" spans="1:7" x14ac:dyDescent="0.25">
      <c r="A31" s="280" t="s">
        <v>775</v>
      </c>
      <c r="B31" s="336"/>
      <c r="C31" s="336"/>
      <c r="D31" s="337">
        <f>B31+C31</f>
        <v>0</v>
      </c>
      <c r="E31" s="336"/>
      <c r="F31" s="336"/>
      <c r="G31" s="337">
        <f t="shared" si="2"/>
        <v>0</v>
      </c>
    </row>
    <row r="32" spans="1:7" x14ac:dyDescent="0.25">
      <c r="A32" s="280" t="s">
        <v>776</v>
      </c>
      <c r="B32" s="336"/>
      <c r="C32" s="336"/>
      <c r="D32" s="337">
        <f>B32+C32</f>
        <v>0</v>
      </c>
      <c r="E32" s="336"/>
      <c r="F32" s="336"/>
      <c r="G32" s="337">
        <f t="shared" si="2"/>
        <v>0</v>
      </c>
    </row>
    <row r="33" spans="1:8" x14ac:dyDescent="0.25">
      <c r="A33" s="280" t="s">
        <v>777</v>
      </c>
      <c r="B33" s="336"/>
      <c r="C33" s="336"/>
      <c r="D33" s="337">
        <f>B33+C33</f>
        <v>0</v>
      </c>
      <c r="E33" s="336"/>
      <c r="F33" s="336"/>
      <c r="G33" s="337">
        <f t="shared" si="2"/>
        <v>0</v>
      </c>
    </row>
    <row r="34" spans="1:8" s="278" customFormat="1" x14ac:dyDescent="0.25">
      <c r="A34" s="277" t="s">
        <v>778</v>
      </c>
      <c r="B34" s="335">
        <f t="shared" ref="B34:G34" si="4">B35</f>
        <v>0</v>
      </c>
      <c r="C34" s="335">
        <f t="shared" si="4"/>
        <v>0</v>
      </c>
      <c r="D34" s="335">
        <f t="shared" si="4"/>
        <v>0</v>
      </c>
      <c r="E34" s="335">
        <f t="shared" si="4"/>
        <v>0</v>
      </c>
      <c r="F34" s="335">
        <f t="shared" si="4"/>
        <v>0</v>
      </c>
      <c r="G34" s="335">
        <f t="shared" si="4"/>
        <v>0</v>
      </c>
    </row>
    <row r="35" spans="1:8" x14ac:dyDescent="0.25">
      <c r="A35" s="280" t="s">
        <v>779</v>
      </c>
      <c r="B35" s="336"/>
      <c r="C35" s="336"/>
      <c r="D35" s="337">
        <f>B35+C35</f>
        <v>0</v>
      </c>
      <c r="E35" s="336"/>
      <c r="F35" s="336"/>
      <c r="G35" s="337">
        <f t="shared" si="2"/>
        <v>0</v>
      </c>
    </row>
    <row r="36" spans="1:8" s="278" customFormat="1" x14ac:dyDescent="0.25">
      <c r="A36" s="277" t="s">
        <v>780</v>
      </c>
      <c r="B36" s="338"/>
      <c r="C36" s="338"/>
      <c r="D36" s="335">
        <f>B36+C36</f>
        <v>0</v>
      </c>
      <c r="E36" s="338"/>
      <c r="F36" s="338"/>
      <c r="G36" s="335">
        <f t="shared" si="2"/>
        <v>0</v>
      </c>
    </row>
    <row r="37" spans="1:8" s="278" customFormat="1" ht="27" x14ac:dyDescent="0.25">
      <c r="A37" s="277" t="s">
        <v>781</v>
      </c>
      <c r="B37" s="338"/>
      <c r="C37" s="338"/>
      <c r="D37" s="335">
        <f>B37+C37</f>
        <v>0</v>
      </c>
      <c r="E37" s="338"/>
      <c r="F37" s="338"/>
      <c r="G37" s="335">
        <f t="shared" si="2"/>
        <v>0</v>
      </c>
    </row>
    <row r="38" spans="1:8" s="278" customFormat="1" ht="15.75" thickBot="1" x14ac:dyDescent="0.3">
      <c r="A38" s="277" t="s">
        <v>782</v>
      </c>
      <c r="B38" s="338"/>
      <c r="C38" s="338"/>
      <c r="D38" s="335">
        <f>B38+C38</f>
        <v>0</v>
      </c>
      <c r="E38" s="338"/>
      <c r="F38" s="338"/>
      <c r="G38" s="335">
        <f t="shared" si="2"/>
        <v>0</v>
      </c>
    </row>
    <row r="39" spans="1:8" ht="32.25" customHeight="1" thickBot="1" x14ac:dyDescent="0.3">
      <c r="A39" s="228" t="s">
        <v>529</v>
      </c>
      <c r="B39" s="339">
        <f t="shared" ref="B39:G39" si="5">SUM(B$9,B$13,B$22,B$26,B$29,B$34,B$36,B$37,B$38)</f>
        <v>782667131.32148921</v>
      </c>
      <c r="C39" s="339">
        <f t="shared" si="5"/>
        <v>3347248838.5700006</v>
      </c>
      <c r="D39" s="339">
        <f t="shared" si="5"/>
        <v>4129915969.89149</v>
      </c>
      <c r="E39" s="339">
        <f t="shared" si="5"/>
        <v>2541414341.0099998</v>
      </c>
      <c r="F39" s="339">
        <f t="shared" si="5"/>
        <v>2472329010.5</v>
      </c>
      <c r="G39" s="339">
        <f t="shared" si="5"/>
        <v>1588501628.88149</v>
      </c>
      <c r="H39" s="387"/>
    </row>
    <row r="40" spans="1:8" ht="18" customHeight="1" x14ac:dyDescent="0.25">
      <c r="A40" s="375"/>
      <c r="B40" s="388"/>
      <c r="C40" s="388"/>
      <c r="D40" s="388"/>
      <c r="E40" s="388"/>
      <c r="F40" s="388"/>
      <c r="G40" s="388"/>
      <c r="H40" s="387"/>
    </row>
    <row r="41" spans="1:8" ht="18" customHeight="1" x14ac:dyDescent="0.25">
      <c r="A41" s="375"/>
      <c r="B41" s="388"/>
      <c r="C41" s="388"/>
      <c r="D41" s="388"/>
      <c r="E41" s="388"/>
      <c r="F41" s="388"/>
      <c r="G41" s="388"/>
      <c r="H41" s="387"/>
    </row>
    <row r="42" spans="1:8" ht="18" customHeight="1" x14ac:dyDescent="0.25">
      <c r="A42" s="375"/>
      <c r="B42" s="388"/>
      <c r="C42" s="388"/>
      <c r="D42" s="388"/>
      <c r="E42" s="388"/>
      <c r="F42" s="388"/>
      <c r="G42" s="388"/>
      <c r="H42" s="387"/>
    </row>
    <row r="43" spans="1:8" ht="18" customHeight="1" x14ac:dyDescent="0.25">
      <c r="A43" s="375"/>
      <c r="B43" s="388"/>
      <c r="C43" s="388"/>
      <c r="D43" s="388"/>
      <c r="E43" s="388"/>
      <c r="F43" s="388"/>
      <c r="G43" s="388"/>
      <c r="H43" s="387"/>
    </row>
    <row r="44" spans="1:8" ht="18" customHeight="1" x14ac:dyDescent="0.25">
      <c r="H44" s="387"/>
    </row>
  </sheetData>
  <sheetProtection formatColumns="0" formatRows="0" insertHyperlinks="0"/>
  <mergeCells count="5">
    <mergeCell ref="A1:G1"/>
    <mergeCell ref="A2:G2"/>
    <mergeCell ref="A3:G3"/>
    <mergeCell ref="A5:A6"/>
    <mergeCell ref="B4:D4"/>
  </mergeCells>
  <printOptions horizontalCentered="1"/>
  <pageMargins left="0.39370078740157483" right="0.39370078740157483" top="0.74803149606299213" bottom="0.74803149606299213" header="0.31496062992125984" footer="0.31496062992125984"/>
  <pageSetup scale="84"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tint="-4.9989318521683403E-2"/>
  </sheetPr>
  <dimension ref="A1:E154"/>
  <sheetViews>
    <sheetView view="pageBreakPreview" topLeftCell="A141" zoomScale="90" zoomScaleSheetLayoutView="90" workbookViewId="0">
      <selection activeCell="C56" sqref="C56"/>
    </sheetView>
  </sheetViews>
  <sheetFormatPr baseColWidth="10" defaultColWidth="11.28515625" defaultRowHeight="16.5" x14ac:dyDescent="0.3"/>
  <cols>
    <col min="1" max="1" width="1.85546875" style="3" customWidth="1"/>
    <col min="2" max="2" width="34.7109375" style="3" customWidth="1"/>
    <col min="3" max="3" width="20.85546875" style="3" customWidth="1"/>
    <col min="4" max="4" width="25.7109375" style="3" customWidth="1"/>
    <col min="5" max="5" width="19.85546875" style="3" customWidth="1"/>
    <col min="6" max="16384" width="11.28515625" style="3"/>
  </cols>
  <sheetData>
    <row r="1" spans="1:5" ht="16.5" customHeight="1" x14ac:dyDescent="0.3">
      <c r="A1" s="1356" t="str">
        <f>'CPCA-I-01'!A1:G1</f>
        <v xml:space="preserve">Comision Estatal del Agua </v>
      </c>
      <c r="B1" s="1356"/>
      <c r="C1" s="1356"/>
      <c r="D1" s="1356"/>
      <c r="E1" s="1356"/>
    </row>
    <row r="2" spans="1:5" x14ac:dyDescent="0.3">
      <c r="A2" s="1357" t="s">
        <v>783</v>
      </c>
      <c r="B2" s="1357"/>
      <c r="C2" s="1357"/>
      <c r="D2" s="1357"/>
      <c r="E2" s="1357"/>
    </row>
    <row r="3" spans="1:5" x14ac:dyDescent="0.3">
      <c r="A3" s="1357" t="str">
        <f>'CPCA-I-03'!A3:D3</f>
        <v xml:space="preserve">Del  01 de Enero de 2023 al 31 de Diciembre de 2023 </v>
      </c>
      <c r="B3" s="1357"/>
      <c r="C3" s="1357"/>
      <c r="D3" s="1357"/>
      <c r="E3" s="1357"/>
    </row>
    <row r="4" spans="1:5" x14ac:dyDescent="0.3">
      <c r="A4" s="281"/>
      <c r="B4" s="281"/>
      <c r="C4" s="281" t="s">
        <v>924</v>
      </c>
      <c r="D4" s="4"/>
      <c r="E4" s="281"/>
    </row>
    <row r="5" spans="1:5" ht="6.75" customHeight="1" thickBot="1" x14ac:dyDescent="0.35"/>
    <row r="6" spans="1:5" s="23" customFormat="1" ht="17.25" customHeight="1" x14ac:dyDescent="0.25">
      <c r="A6" s="1358"/>
      <c r="B6" s="1359"/>
      <c r="C6" s="639"/>
      <c r="D6" s="639"/>
      <c r="E6" s="291"/>
    </row>
    <row r="7" spans="1:5" s="23" customFormat="1" ht="20.25" customHeight="1" x14ac:dyDescent="0.25">
      <c r="A7" s="283"/>
      <c r="B7" s="290" t="s">
        <v>784</v>
      </c>
      <c r="C7" s="282"/>
      <c r="D7" s="282"/>
      <c r="E7" s="27"/>
    </row>
    <row r="8" spans="1:5" s="23" customFormat="1" x14ac:dyDescent="0.25">
      <c r="A8" s="25"/>
      <c r="C8" s="282"/>
      <c r="D8" s="282"/>
      <c r="E8" s="27"/>
    </row>
    <row r="9" spans="1:5" s="23" customFormat="1" ht="27.75" customHeight="1" x14ac:dyDescent="0.25">
      <c r="A9" s="460"/>
      <c r="B9" s="465" t="s">
        <v>785</v>
      </c>
      <c r="C9" s="463"/>
      <c r="D9" s="459" t="s">
        <v>786</v>
      </c>
      <c r="E9" s="461" t="s">
        <v>787</v>
      </c>
    </row>
    <row r="10" spans="1:5" s="23" customFormat="1" ht="66" customHeight="1" x14ac:dyDescent="0.25">
      <c r="A10" s="283"/>
      <c r="B10" s="1354" t="s">
        <v>1910</v>
      </c>
      <c r="C10" s="1355"/>
      <c r="D10" s="863">
        <v>607629.93999999994</v>
      </c>
      <c r="E10" s="864" t="s">
        <v>1911</v>
      </c>
    </row>
    <row r="11" spans="1:5" s="23" customFormat="1" ht="48" customHeight="1" x14ac:dyDescent="0.25">
      <c r="A11" s="25"/>
      <c r="B11" s="1354" t="s">
        <v>1912</v>
      </c>
      <c r="C11" s="1355"/>
      <c r="D11" s="865">
        <v>675385.96</v>
      </c>
      <c r="E11" s="864" t="s">
        <v>1911</v>
      </c>
    </row>
    <row r="12" spans="1:5" ht="55.5" customHeight="1" x14ac:dyDescent="0.3">
      <c r="A12" s="284"/>
      <c r="B12" s="1354" t="s">
        <v>1913</v>
      </c>
      <c r="C12" s="1355"/>
      <c r="D12" s="865">
        <v>176537.31</v>
      </c>
      <c r="E12" s="864" t="s">
        <v>1911</v>
      </c>
    </row>
    <row r="13" spans="1:5" ht="81" customHeight="1" x14ac:dyDescent="0.3">
      <c r="A13" s="284"/>
      <c r="B13" s="1354" t="s">
        <v>1914</v>
      </c>
      <c r="C13" s="1355"/>
      <c r="D13" s="865">
        <v>392993.33</v>
      </c>
      <c r="E13" s="864" t="s">
        <v>1911</v>
      </c>
    </row>
    <row r="14" spans="1:5" ht="56.25" customHeight="1" x14ac:dyDescent="0.3">
      <c r="A14" s="284"/>
      <c r="B14" s="1354" t="s">
        <v>1915</v>
      </c>
      <c r="C14" s="1355"/>
      <c r="D14" s="865">
        <v>1174600.8999999999</v>
      </c>
      <c r="E14" s="864" t="s">
        <v>1911</v>
      </c>
    </row>
    <row r="15" spans="1:5" ht="65.25" customHeight="1" x14ac:dyDescent="0.3">
      <c r="A15" s="284"/>
      <c r="B15" s="1354" t="s">
        <v>1916</v>
      </c>
      <c r="C15" s="1355"/>
      <c r="D15" s="865">
        <v>1999866.53</v>
      </c>
      <c r="E15" s="864" t="s">
        <v>1911</v>
      </c>
    </row>
    <row r="16" spans="1:5" ht="45.75" customHeight="1" x14ac:dyDescent="0.3">
      <c r="A16" s="284"/>
      <c r="B16" s="1354" t="s">
        <v>1917</v>
      </c>
      <c r="C16" s="1355"/>
      <c r="D16" s="865">
        <v>2584676.7200000002</v>
      </c>
      <c r="E16" s="864" t="s">
        <v>1918</v>
      </c>
    </row>
    <row r="17" spans="1:5" ht="60" customHeight="1" x14ac:dyDescent="0.3">
      <c r="A17" s="284"/>
      <c r="B17" s="1354" t="s">
        <v>1919</v>
      </c>
      <c r="C17" s="1355"/>
      <c r="D17" s="865">
        <v>690802.73</v>
      </c>
      <c r="E17" s="864" t="s">
        <v>1918</v>
      </c>
    </row>
    <row r="18" spans="1:5" ht="38.25" customHeight="1" x14ac:dyDescent="0.3">
      <c r="A18" s="284"/>
      <c r="B18" s="1354" t="s">
        <v>1920</v>
      </c>
      <c r="C18" s="1355"/>
      <c r="D18" s="865">
        <v>976181.46</v>
      </c>
      <c r="E18" s="864" t="s">
        <v>1918</v>
      </c>
    </row>
    <row r="19" spans="1:5" ht="39" customHeight="1" x14ac:dyDescent="0.3">
      <c r="A19" s="284"/>
      <c r="B19" s="1354" t="s">
        <v>1921</v>
      </c>
      <c r="C19" s="1355"/>
      <c r="D19" s="865">
        <v>39859809.490000002</v>
      </c>
      <c r="E19" s="864" t="s">
        <v>1918</v>
      </c>
    </row>
    <row r="20" spans="1:5" ht="36.75" customHeight="1" x14ac:dyDescent="0.3">
      <c r="A20" s="284"/>
      <c r="B20" s="1354" t="s">
        <v>1922</v>
      </c>
      <c r="C20" s="1355"/>
      <c r="D20" s="865">
        <v>1474109.79</v>
      </c>
      <c r="E20" s="864" t="s">
        <v>1918</v>
      </c>
    </row>
    <row r="21" spans="1:5" ht="68.25" customHeight="1" x14ac:dyDescent="0.3">
      <c r="A21" s="284"/>
      <c r="B21" s="1354" t="s">
        <v>1923</v>
      </c>
      <c r="C21" s="1355"/>
      <c r="D21" s="865">
        <v>546710.12</v>
      </c>
      <c r="E21" s="864" t="s">
        <v>1918</v>
      </c>
    </row>
    <row r="22" spans="1:5" ht="68.25" customHeight="1" x14ac:dyDescent="0.3">
      <c r="A22" s="284"/>
      <c r="B22" s="1354" t="s">
        <v>1924</v>
      </c>
      <c r="C22" s="1355"/>
      <c r="D22" s="865">
        <v>221510293.18000001</v>
      </c>
      <c r="E22" s="864" t="s">
        <v>1918</v>
      </c>
    </row>
    <row r="23" spans="1:5" ht="30" customHeight="1" x14ac:dyDescent="0.3">
      <c r="A23" s="284"/>
      <c r="B23" s="1354" t="s">
        <v>1925</v>
      </c>
      <c r="C23" s="1355"/>
      <c r="D23" s="865">
        <v>17504334.859999999</v>
      </c>
      <c r="E23" s="864" t="s">
        <v>1918</v>
      </c>
    </row>
    <row r="24" spans="1:5" ht="34.5" customHeight="1" x14ac:dyDescent="0.3">
      <c r="A24" s="284"/>
      <c r="B24" s="1354" t="s">
        <v>1926</v>
      </c>
      <c r="C24" s="1355"/>
      <c r="D24" s="865">
        <v>7851532.6299999999</v>
      </c>
      <c r="E24" s="864" t="s">
        <v>1918</v>
      </c>
    </row>
    <row r="25" spans="1:5" ht="34.5" customHeight="1" x14ac:dyDescent="0.3">
      <c r="A25" s="284"/>
      <c r="B25" s="1354" t="s">
        <v>1927</v>
      </c>
      <c r="C25" s="1355"/>
      <c r="D25" s="865">
        <v>295134.17</v>
      </c>
      <c r="E25" s="864" t="s">
        <v>1918</v>
      </c>
    </row>
    <row r="26" spans="1:5" ht="41.25" customHeight="1" x14ac:dyDescent="0.3">
      <c r="A26" s="284"/>
      <c r="B26" s="1354" t="s">
        <v>1928</v>
      </c>
      <c r="C26" s="1355"/>
      <c r="D26" s="865">
        <v>1392000</v>
      </c>
      <c r="E26" s="864" t="s">
        <v>1918</v>
      </c>
    </row>
    <row r="27" spans="1:5" ht="68.25" customHeight="1" x14ac:dyDescent="0.3">
      <c r="A27" s="284"/>
      <c r="B27" s="1354" t="s">
        <v>1929</v>
      </c>
      <c r="C27" s="1355"/>
      <c r="D27" s="865">
        <v>14183319.02</v>
      </c>
      <c r="E27" s="864" t="s">
        <v>1918</v>
      </c>
    </row>
    <row r="28" spans="1:5" ht="59.25" customHeight="1" x14ac:dyDescent="0.3">
      <c r="A28" s="284"/>
      <c r="B28" s="1354" t="s">
        <v>1930</v>
      </c>
      <c r="C28" s="1355"/>
      <c r="D28" s="865">
        <v>135173292.13</v>
      </c>
      <c r="E28" s="864" t="s">
        <v>1918</v>
      </c>
    </row>
    <row r="29" spans="1:5" ht="54" customHeight="1" x14ac:dyDescent="0.3">
      <c r="A29" s="284"/>
      <c r="B29" s="1354" t="s">
        <v>1931</v>
      </c>
      <c r="C29" s="1355"/>
      <c r="D29" s="865">
        <v>111591366.38</v>
      </c>
      <c r="E29" s="864" t="s">
        <v>1918</v>
      </c>
    </row>
    <row r="30" spans="1:5" ht="58.5" customHeight="1" x14ac:dyDescent="0.3">
      <c r="A30" s="284"/>
      <c r="B30" s="1354" t="s">
        <v>1932</v>
      </c>
      <c r="C30" s="1355"/>
      <c r="D30" s="865">
        <v>131305670.63</v>
      </c>
      <c r="E30" s="864" t="s">
        <v>1918</v>
      </c>
    </row>
    <row r="31" spans="1:5" ht="68.25" customHeight="1" x14ac:dyDescent="0.3">
      <c r="A31" s="284"/>
      <c r="B31" s="1354" t="s">
        <v>1933</v>
      </c>
      <c r="C31" s="1355"/>
      <c r="D31" s="865">
        <v>51114137.439999998</v>
      </c>
      <c r="E31" s="864" t="s">
        <v>1918</v>
      </c>
    </row>
    <row r="32" spans="1:5" ht="68.25" customHeight="1" x14ac:dyDescent="0.3">
      <c r="A32" s="284"/>
      <c r="B32" s="1354" t="s">
        <v>1934</v>
      </c>
      <c r="C32" s="1355"/>
      <c r="D32" s="865">
        <v>49612917.43</v>
      </c>
      <c r="E32" s="864" t="s">
        <v>1918</v>
      </c>
    </row>
    <row r="33" spans="1:5" ht="78.75" customHeight="1" x14ac:dyDescent="0.3">
      <c r="A33" s="284"/>
      <c r="B33" s="1354" t="s">
        <v>1935</v>
      </c>
      <c r="C33" s="1355"/>
      <c r="D33" s="865">
        <v>113137626.58</v>
      </c>
      <c r="E33" s="864" t="s">
        <v>1918</v>
      </c>
    </row>
    <row r="34" spans="1:5" ht="68.25" customHeight="1" x14ac:dyDescent="0.3">
      <c r="A34" s="284"/>
      <c r="B34" s="1354" t="s">
        <v>1936</v>
      </c>
      <c r="C34" s="1355"/>
      <c r="D34" s="865">
        <v>102706867.63</v>
      </c>
      <c r="E34" s="864" t="s">
        <v>1918</v>
      </c>
    </row>
    <row r="35" spans="1:5" ht="68.25" customHeight="1" x14ac:dyDescent="0.3">
      <c r="A35" s="284"/>
      <c r="B35" s="1354" t="s">
        <v>1937</v>
      </c>
      <c r="C35" s="1355"/>
      <c r="D35" s="865">
        <v>6296218.6500000004</v>
      </c>
      <c r="E35" s="864" t="s">
        <v>1918</v>
      </c>
    </row>
    <row r="36" spans="1:5" ht="68.25" customHeight="1" x14ac:dyDescent="0.3">
      <c r="A36" s="284"/>
      <c r="B36" s="1354" t="s">
        <v>1938</v>
      </c>
      <c r="C36" s="1355"/>
      <c r="D36" s="865">
        <v>8250612.3200000003</v>
      </c>
      <c r="E36" s="864" t="s">
        <v>1918</v>
      </c>
    </row>
    <row r="37" spans="1:5" ht="90" customHeight="1" x14ac:dyDescent="0.3">
      <c r="A37" s="284"/>
      <c r="B37" s="1354" t="s">
        <v>1939</v>
      </c>
      <c r="C37" s="1355"/>
      <c r="D37" s="865">
        <v>12313684.09</v>
      </c>
      <c r="E37" s="864" t="s">
        <v>1918</v>
      </c>
    </row>
    <row r="38" spans="1:5" ht="68.25" customHeight="1" x14ac:dyDescent="0.3">
      <c r="A38" s="284"/>
      <c r="B38" s="1354" t="s">
        <v>1940</v>
      </c>
      <c r="C38" s="1355"/>
      <c r="D38" s="865">
        <v>106077924.3</v>
      </c>
      <c r="E38" s="864" t="s">
        <v>1918</v>
      </c>
    </row>
    <row r="39" spans="1:5" ht="68.25" customHeight="1" x14ac:dyDescent="0.3">
      <c r="A39" s="284"/>
      <c r="B39" s="1354" t="s">
        <v>1941</v>
      </c>
      <c r="C39" s="1355"/>
      <c r="D39" s="865">
        <v>101940200.91</v>
      </c>
      <c r="E39" s="864" t="s">
        <v>1918</v>
      </c>
    </row>
    <row r="40" spans="1:5" ht="81" customHeight="1" x14ac:dyDescent="0.3">
      <c r="A40" s="284"/>
      <c r="B40" s="1354" t="s">
        <v>1942</v>
      </c>
      <c r="C40" s="1355"/>
      <c r="D40" s="865">
        <v>79510657.040000007</v>
      </c>
      <c r="E40" s="864" t="s">
        <v>1918</v>
      </c>
    </row>
    <row r="41" spans="1:5" ht="83.25" customHeight="1" x14ac:dyDescent="0.3">
      <c r="A41" s="284"/>
      <c r="B41" s="1354" t="s">
        <v>1943</v>
      </c>
      <c r="C41" s="1355"/>
      <c r="D41" s="865">
        <v>18364689.710000001</v>
      </c>
      <c r="E41" s="864" t="s">
        <v>1918</v>
      </c>
    </row>
    <row r="42" spans="1:5" ht="68.25" customHeight="1" x14ac:dyDescent="0.3">
      <c r="A42" s="284"/>
      <c r="B42" s="1354" t="s">
        <v>1944</v>
      </c>
      <c r="C42" s="1355"/>
      <c r="D42" s="865">
        <v>15765535.119999999</v>
      </c>
      <c r="E42" s="864" t="s">
        <v>1918</v>
      </c>
    </row>
    <row r="43" spans="1:5" ht="68.25" customHeight="1" x14ac:dyDescent="0.3">
      <c r="A43" s="284"/>
      <c r="B43" s="1354" t="s">
        <v>1945</v>
      </c>
      <c r="C43" s="1355"/>
      <c r="D43" s="865">
        <v>6666183.4900000002</v>
      </c>
      <c r="E43" s="864" t="s">
        <v>1918</v>
      </c>
    </row>
    <row r="44" spans="1:5" ht="68.25" customHeight="1" x14ac:dyDescent="0.3">
      <c r="A44" s="284"/>
      <c r="B44" s="1354" t="s">
        <v>1946</v>
      </c>
      <c r="C44" s="1355"/>
      <c r="D44" s="865">
        <v>523564.74</v>
      </c>
      <c r="E44" s="864" t="s">
        <v>1918</v>
      </c>
    </row>
    <row r="45" spans="1:5" ht="68.25" customHeight="1" x14ac:dyDescent="0.3">
      <c r="A45" s="284"/>
      <c r="B45" s="1354" t="s">
        <v>1947</v>
      </c>
      <c r="C45" s="1355"/>
      <c r="D45" s="865">
        <v>89032017.069999993</v>
      </c>
      <c r="E45" s="864" t="s">
        <v>1918</v>
      </c>
    </row>
    <row r="46" spans="1:5" ht="88.5" customHeight="1" x14ac:dyDescent="0.3">
      <c r="A46" s="284"/>
      <c r="B46" s="1354" t="s">
        <v>1948</v>
      </c>
      <c r="C46" s="1355"/>
      <c r="D46" s="865">
        <v>88134244.719999999</v>
      </c>
      <c r="E46" s="864" t="s">
        <v>1918</v>
      </c>
    </row>
    <row r="47" spans="1:5" ht="68.25" customHeight="1" x14ac:dyDescent="0.3">
      <c r="A47" s="284"/>
      <c r="B47" s="1354" t="s">
        <v>1949</v>
      </c>
      <c r="C47" s="1355"/>
      <c r="D47" s="865">
        <v>17945379.690000001</v>
      </c>
      <c r="E47" s="864" t="s">
        <v>1918</v>
      </c>
    </row>
    <row r="48" spans="1:5" ht="68.25" customHeight="1" x14ac:dyDescent="0.3">
      <c r="A48" s="284"/>
      <c r="B48" s="1354" t="s">
        <v>1950</v>
      </c>
      <c r="C48" s="1355"/>
      <c r="D48" s="865">
        <v>86913607.219999999</v>
      </c>
      <c r="E48" s="864" t="s">
        <v>1918</v>
      </c>
    </row>
    <row r="49" spans="1:5" ht="68.25" customHeight="1" x14ac:dyDescent="0.3">
      <c r="A49" s="284"/>
      <c r="B49" s="1354" t="s">
        <v>1951</v>
      </c>
      <c r="C49" s="1355"/>
      <c r="D49" s="865">
        <v>10954579.92</v>
      </c>
      <c r="E49" s="864" t="s">
        <v>1918</v>
      </c>
    </row>
    <row r="50" spans="1:5" ht="90.75" customHeight="1" x14ac:dyDescent="0.3">
      <c r="A50" s="284"/>
      <c r="B50" s="1354" t="s">
        <v>1952</v>
      </c>
      <c r="C50" s="1355"/>
      <c r="D50" s="865">
        <v>63162328.100000001</v>
      </c>
      <c r="E50" s="864" t="s">
        <v>1918</v>
      </c>
    </row>
    <row r="51" spans="1:5" ht="86.25" customHeight="1" x14ac:dyDescent="0.3">
      <c r="A51" s="284"/>
      <c r="B51" s="1354" t="s">
        <v>1953</v>
      </c>
      <c r="C51" s="1355"/>
      <c r="D51" s="865">
        <v>97078159.239999995</v>
      </c>
      <c r="E51" s="864" t="s">
        <v>1918</v>
      </c>
    </row>
    <row r="52" spans="1:5" ht="78.75" customHeight="1" x14ac:dyDescent="0.3">
      <c r="A52" s="284"/>
      <c r="B52" s="1354" t="s">
        <v>1954</v>
      </c>
      <c r="C52" s="1355"/>
      <c r="D52" s="865">
        <v>4518578.96</v>
      </c>
      <c r="E52" s="864" t="s">
        <v>1918</v>
      </c>
    </row>
    <row r="53" spans="1:5" ht="68.25" customHeight="1" x14ac:dyDescent="0.3">
      <c r="A53" s="284"/>
      <c r="B53" s="1354" t="s">
        <v>1955</v>
      </c>
      <c r="C53" s="1355"/>
      <c r="D53" s="865">
        <v>67697146.260000005</v>
      </c>
      <c r="E53" s="864" t="s">
        <v>1918</v>
      </c>
    </row>
    <row r="54" spans="1:5" ht="68.25" customHeight="1" x14ac:dyDescent="0.3">
      <c r="A54" s="284"/>
      <c r="B54" s="1354" t="s">
        <v>1956</v>
      </c>
      <c r="C54" s="1355"/>
      <c r="D54" s="865">
        <v>2711475</v>
      </c>
      <c r="E54" s="864" t="s">
        <v>1918</v>
      </c>
    </row>
    <row r="55" spans="1:5" ht="78.75" customHeight="1" x14ac:dyDescent="0.3">
      <c r="A55" s="284"/>
      <c r="B55" s="1354" t="s">
        <v>1957</v>
      </c>
      <c r="C55" s="1355"/>
      <c r="D55" s="865">
        <v>1599952.48</v>
      </c>
      <c r="E55" s="864" t="s">
        <v>1918</v>
      </c>
    </row>
    <row r="56" spans="1:5" ht="80.25" customHeight="1" x14ac:dyDescent="0.3">
      <c r="A56" s="284"/>
      <c r="B56" s="1354" t="s">
        <v>1958</v>
      </c>
      <c r="C56" s="1355"/>
      <c r="D56" s="865">
        <v>3481140.75</v>
      </c>
      <c r="E56" s="864" t="s">
        <v>1918</v>
      </c>
    </row>
    <row r="57" spans="1:5" ht="80.25" customHeight="1" x14ac:dyDescent="0.3">
      <c r="A57" s="284"/>
      <c r="B57" s="1354" t="s">
        <v>1959</v>
      </c>
      <c r="C57" s="1355"/>
      <c r="D57" s="865">
        <v>17696965.030000001</v>
      </c>
      <c r="E57" s="864" t="s">
        <v>1918</v>
      </c>
    </row>
    <row r="58" spans="1:5" ht="80.25" customHeight="1" x14ac:dyDescent="0.3">
      <c r="A58" s="284"/>
      <c r="B58" s="1354" t="s">
        <v>1960</v>
      </c>
      <c r="C58" s="1355"/>
      <c r="D58" s="865">
        <v>1965720.03</v>
      </c>
      <c r="E58" s="864" t="s">
        <v>1918</v>
      </c>
    </row>
    <row r="59" spans="1:5" ht="80.25" customHeight="1" x14ac:dyDescent="0.3">
      <c r="A59" s="284"/>
      <c r="B59" s="1354" t="s">
        <v>1961</v>
      </c>
      <c r="C59" s="1355"/>
      <c r="D59" s="865">
        <v>1663013.23</v>
      </c>
      <c r="E59" s="864" t="s">
        <v>1918</v>
      </c>
    </row>
    <row r="60" spans="1:5" ht="68.25" customHeight="1" x14ac:dyDescent="0.3">
      <c r="A60" s="284"/>
      <c r="B60" s="1354" t="s">
        <v>1962</v>
      </c>
      <c r="C60" s="1355"/>
      <c r="D60" s="865">
        <v>652947.34</v>
      </c>
      <c r="E60" s="864" t="s">
        <v>1918</v>
      </c>
    </row>
    <row r="61" spans="1:5" ht="67.5" customHeight="1" x14ac:dyDescent="0.3">
      <c r="A61" s="284"/>
      <c r="B61" s="1354" t="s">
        <v>1963</v>
      </c>
      <c r="C61" s="1355"/>
      <c r="D61" s="865">
        <v>439907</v>
      </c>
      <c r="E61" s="864" t="s">
        <v>1918</v>
      </c>
    </row>
    <row r="62" spans="1:5" ht="62.25" customHeight="1" x14ac:dyDescent="0.3">
      <c r="A62" s="284"/>
      <c r="B62" s="1354" t="s">
        <v>1964</v>
      </c>
      <c r="C62" s="1355"/>
      <c r="D62" s="865">
        <v>243959.11</v>
      </c>
      <c r="E62" s="864" t="s">
        <v>1918</v>
      </c>
    </row>
    <row r="63" spans="1:5" ht="36.75" customHeight="1" x14ac:dyDescent="0.3">
      <c r="A63" s="284"/>
      <c r="B63" s="1354" t="s">
        <v>1965</v>
      </c>
      <c r="C63" s="1355"/>
      <c r="D63" s="865">
        <v>289460.43</v>
      </c>
      <c r="E63" s="864" t="s">
        <v>1918</v>
      </c>
    </row>
    <row r="64" spans="1:5" ht="42.75" customHeight="1" x14ac:dyDescent="0.3">
      <c r="A64" s="284"/>
      <c r="B64" s="1354" t="s">
        <v>1966</v>
      </c>
      <c r="C64" s="1355"/>
      <c r="D64" s="865">
        <v>852894.1</v>
      </c>
      <c r="E64" s="864" t="s">
        <v>1918</v>
      </c>
    </row>
    <row r="65" spans="1:5" ht="41.25" customHeight="1" x14ac:dyDescent="0.3">
      <c r="A65" s="284"/>
      <c r="B65" s="1354" t="s">
        <v>1967</v>
      </c>
      <c r="C65" s="1355"/>
      <c r="D65" s="865">
        <v>736720.49</v>
      </c>
      <c r="E65" s="864" t="s">
        <v>1918</v>
      </c>
    </row>
    <row r="66" spans="1:5" ht="33.75" customHeight="1" x14ac:dyDescent="0.3">
      <c r="A66" s="284"/>
      <c r="B66" s="1354" t="s">
        <v>1968</v>
      </c>
      <c r="C66" s="1355"/>
      <c r="D66" s="865">
        <v>1079398.1299999999</v>
      </c>
      <c r="E66" s="864" t="s">
        <v>1918</v>
      </c>
    </row>
    <row r="67" spans="1:5" ht="30" customHeight="1" x14ac:dyDescent="0.3">
      <c r="A67" s="284"/>
      <c r="B67" s="1354" t="s">
        <v>1969</v>
      </c>
      <c r="C67" s="1355"/>
      <c r="D67" s="865">
        <v>1842125.12</v>
      </c>
      <c r="E67" s="864" t="s">
        <v>1918</v>
      </c>
    </row>
    <row r="68" spans="1:5" ht="40.5" customHeight="1" x14ac:dyDescent="0.3">
      <c r="A68" s="284"/>
      <c r="B68" s="1354" t="s">
        <v>1970</v>
      </c>
      <c r="C68" s="1355"/>
      <c r="D68" s="865">
        <v>1023781.64</v>
      </c>
      <c r="E68" s="864" t="s">
        <v>1918</v>
      </c>
    </row>
    <row r="69" spans="1:5" ht="42.75" customHeight="1" x14ac:dyDescent="0.3">
      <c r="A69" s="284"/>
      <c r="B69" s="1354" t="s">
        <v>1971</v>
      </c>
      <c r="C69" s="1355"/>
      <c r="D69" s="865">
        <v>1759096.94</v>
      </c>
      <c r="E69" s="864" t="s">
        <v>1918</v>
      </c>
    </row>
    <row r="70" spans="1:5" ht="35.25" customHeight="1" x14ac:dyDescent="0.3">
      <c r="A70" s="284"/>
      <c r="B70" s="1354" t="s">
        <v>1972</v>
      </c>
      <c r="C70" s="1355"/>
      <c r="D70" s="865">
        <v>1047249.67</v>
      </c>
      <c r="E70" s="864" t="s">
        <v>1918</v>
      </c>
    </row>
    <row r="71" spans="1:5" ht="59.25" customHeight="1" x14ac:dyDescent="0.3">
      <c r="A71" s="284"/>
      <c r="B71" s="1354" t="s">
        <v>1973</v>
      </c>
      <c r="C71" s="1355"/>
      <c r="D71" s="865">
        <v>540945.29</v>
      </c>
      <c r="E71" s="864" t="s">
        <v>1918</v>
      </c>
    </row>
    <row r="72" spans="1:5" ht="35.25" customHeight="1" x14ac:dyDescent="0.3">
      <c r="A72" s="284"/>
      <c r="B72" s="1354" t="s">
        <v>1974</v>
      </c>
      <c r="C72" s="1355"/>
      <c r="D72" s="865">
        <v>1539400.66</v>
      </c>
      <c r="E72" s="864" t="s">
        <v>1918</v>
      </c>
    </row>
    <row r="73" spans="1:5" ht="37.5" customHeight="1" x14ac:dyDescent="0.3">
      <c r="A73" s="284"/>
      <c r="B73" s="1354" t="s">
        <v>1975</v>
      </c>
      <c r="C73" s="1355"/>
      <c r="D73" s="865">
        <v>2018123</v>
      </c>
      <c r="E73" s="864" t="s">
        <v>1918</v>
      </c>
    </row>
    <row r="74" spans="1:5" ht="37.5" customHeight="1" x14ac:dyDescent="0.3">
      <c r="A74" s="284"/>
      <c r="B74" s="1354" t="s">
        <v>1976</v>
      </c>
      <c r="C74" s="1355"/>
      <c r="D74" s="865">
        <v>468134.73</v>
      </c>
      <c r="E74" s="864" t="s">
        <v>1918</v>
      </c>
    </row>
    <row r="75" spans="1:5" ht="41.25" customHeight="1" x14ac:dyDescent="0.3">
      <c r="A75" s="284"/>
      <c r="B75" s="1354" t="s">
        <v>1977</v>
      </c>
      <c r="C75" s="1355"/>
      <c r="D75" s="865">
        <v>746242.73</v>
      </c>
      <c r="E75" s="864" t="s">
        <v>1918</v>
      </c>
    </row>
    <row r="76" spans="1:5" ht="37.5" customHeight="1" x14ac:dyDescent="0.3">
      <c r="A76" s="284"/>
      <c r="B76" s="1354" t="s">
        <v>1978</v>
      </c>
      <c r="C76" s="1355"/>
      <c r="D76" s="865">
        <v>1309504.5900000001</v>
      </c>
      <c r="E76" s="864" t="s">
        <v>1918</v>
      </c>
    </row>
    <row r="77" spans="1:5" ht="39.75" customHeight="1" x14ac:dyDescent="0.3">
      <c r="A77" s="284"/>
      <c r="B77" s="1354" t="s">
        <v>1979</v>
      </c>
      <c r="C77" s="1355"/>
      <c r="D77" s="865">
        <v>603198.57999999996</v>
      </c>
      <c r="E77" s="864" t="s">
        <v>1918</v>
      </c>
    </row>
    <row r="78" spans="1:5" ht="37.5" customHeight="1" x14ac:dyDescent="0.3">
      <c r="A78" s="284"/>
      <c r="B78" s="1354" t="s">
        <v>1980</v>
      </c>
      <c r="C78" s="1355"/>
      <c r="D78" s="865">
        <v>1956254.51</v>
      </c>
      <c r="E78" s="864" t="s">
        <v>1918</v>
      </c>
    </row>
    <row r="79" spans="1:5" ht="21" customHeight="1" x14ac:dyDescent="0.3">
      <c r="A79" s="284"/>
      <c r="B79" s="1354" t="s">
        <v>1981</v>
      </c>
      <c r="C79" s="1355"/>
      <c r="D79" s="865">
        <v>7759333.75</v>
      </c>
      <c r="E79" s="864" t="s">
        <v>1918</v>
      </c>
    </row>
    <row r="80" spans="1:5" ht="40.5" customHeight="1" x14ac:dyDescent="0.3">
      <c r="A80" s="284"/>
      <c r="B80" s="1354" t="s">
        <v>1982</v>
      </c>
      <c r="C80" s="1355"/>
      <c r="D80" s="865">
        <v>12518521.359999999</v>
      </c>
      <c r="E80" s="864" t="s">
        <v>1918</v>
      </c>
    </row>
    <row r="81" spans="1:5" ht="45.75" customHeight="1" x14ac:dyDescent="0.3">
      <c r="A81" s="284"/>
      <c r="B81" s="1354" t="s">
        <v>1983</v>
      </c>
      <c r="C81" s="1355"/>
      <c r="D81" s="865">
        <v>927334.1</v>
      </c>
      <c r="E81" s="864" t="s">
        <v>1918</v>
      </c>
    </row>
    <row r="82" spans="1:5" ht="66.75" customHeight="1" x14ac:dyDescent="0.3">
      <c r="A82" s="284"/>
      <c r="B82" s="1354" t="s">
        <v>1984</v>
      </c>
      <c r="C82" s="1355"/>
      <c r="D82" s="865">
        <v>5833964.0599999996</v>
      </c>
      <c r="E82" s="864" t="s">
        <v>1918</v>
      </c>
    </row>
    <row r="83" spans="1:5" ht="60.75" customHeight="1" x14ac:dyDescent="0.3">
      <c r="A83" s="284"/>
      <c r="B83" s="1354" t="s">
        <v>1985</v>
      </c>
      <c r="C83" s="1355"/>
      <c r="D83" s="865">
        <v>935796.3</v>
      </c>
      <c r="E83" s="864" t="s">
        <v>1918</v>
      </c>
    </row>
    <row r="84" spans="1:5" ht="68.25" customHeight="1" x14ac:dyDescent="0.3">
      <c r="A84" s="284"/>
      <c r="B84" s="1354" t="s">
        <v>1986</v>
      </c>
      <c r="C84" s="1355"/>
      <c r="D84" s="865">
        <v>2165684.02</v>
      </c>
      <c r="E84" s="864" t="s">
        <v>1918</v>
      </c>
    </row>
    <row r="85" spans="1:5" ht="60.75" customHeight="1" x14ac:dyDescent="0.3">
      <c r="A85" s="284"/>
      <c r="B85" s="1354" t="s">
        <v>1987</v>
      </c>
      <c r="C85" s="1355"/>
      <c r="D85" s="865">
        <v>1414734.65</v>
      </c>
      <c r="E85" s="864" t="s">
        <v>1918</v>
      </c>
    </row>
    <row r="86" spans="1:5" ht="60.75" customHeight="1" x14ac:dyDescent="0.3">
      <c r="A86" s="284"/>
      <c r="B86" s="1354" t="s">
        <v>1988</v>
      </c>
      <c r="C86" s="1355"/>
      <c r="D86" s="865">
        <v>13896327.949999999</v>
      </c>
      <c r="E86" s="864" t="s">
        <v>1918</v>
      </c>
    </row>
    <row r="87" spans="1:5" ht="60.75" customHeight="1" x14ac:dyDescent="0.3">
      <c r="A87" s="284"/>
      <c r="B87" s="1354" t="s">
        <v>1989</v>
      </c>
      <c r="C87" s="1355"/>
      <c r="D87" s="865">
        <v>575537.79</v>
      </c>
      <c r="E87" s="864" t="s">
        <v>1918</v>
      </c>
    </row>
    <row r="88" spans="1:5" ht="60.75" customHeight="1" x14ac:dyDescent="0.3">
      <c r="A88" s="284"/>
      <c r="B88" s="1354" t="s">
        <v>1990</v>
      </c>
      <c r="C88" s="1355"/>
      <c r="D88" s="865">
        <v>60623.22</v>
      </c>
      <c r="E88" s="864" t="s">
        <v>1918</v>
      </c>
    </row>
    <row r="89" spans="1:5" ht="68.25" customHeight="1" x14ac:dyDescent="0.3">
      <c r="A89" s="284"/>
      <c r="B89" s="1354" t="s">
        <v>1991</v>
      </c>
      <c r="C89" s="1355"/>
      <c r="D89" s="865">
        <v>1868450.32</v>
      </c>
      <c r="E89" s="864" t="s">
        <v>1918</v>
      </c>
    </row>
    <row r="90" spans="1:5" ht="75.75" customHeight="1" x14ac:dyDescent="0.3">
      <c r="A90" s="284"/>
      <c r="B90" s="1354" t="s">
        <v>1992</v>
      </c>
      <c r="C90" s="1355"/>
      <c r="D90" s="865">
        <v>317695.03000000003</v>
      </c>
      <c r="E90" s="864" t="s">
        <v>1918</v>
      </c>
    </row>
    <row r="91" spans="1:5" ht="76.5" customHeight="1" x14ac:dyDescent="0.3">
      <c r="A91" s="284"/>
      <c r="B91" s="1354" t="s">
        <v>1993</v>
      </c>
      <c r="C91" s="1355"/>
      <c r="D91" s="865">
        <v>787036.93</v>
      </c>
      <c r="E91" s="864" t="s">
        <v>1918</v>
      </c>
    </row>
    <row r="92" spans="1:5" ht="51.75" customHeight="1" x14ac:dyDescent="0.3">
      <c r="A92" s="284"/>
      <c r="B92" s="1354" t="s">
        <v>1994</v>
      </c>
      <c r="C92" s="1355"/>
      <c r="D92" s="865">
        <v>5797550.5700000003</v>
      </c>
      <c r="E92" s="864" t="s">
        <v>1918</v>
      </c>
    </row>
    <row r="93" spans="1:5" ht="68.25" customHeight="1" x14ac:dyDescent="0.3">
      <c r="A93" s="284"/>
      <c r="B93" s="1354" t="s">
        <v>1995</v>
      </c>
      <c r="C93" s="1355"/>
      <c r="D93" s="865">
        <v>7296849.2199999997</v>
      </c>
      <c r="E93" s="864" t="s">
        <v>1918</v>
      </c>
    </row>
    <row r="94" spans="1:5" ht="45" customHeight="1" x14ac:dyDescent="0.3">
      <c r="A94" s="284"/>
      <c r="B94" s="1354" t="s">
        <v>1996</v>
      </c>
      <c r="C94" s="1355"/>
      <c r="D94" s="865">
        <v>11596741.800000001</v>
      </c>
      <c r="E94" s="864" t="s">
        <v>1918</v>
      </c>
    </row>
    <row r="95" spans="1:5" ht="51.75" customHeight="1" x14ac:dyDescent="0.3">
      <c r="A95" s="284"/>
      <c r="B95" s="1354" t="s">
        <v>1997</v>
      </c>
      <c r="C95" s="1355"/>
      <c r="D95" s="865">
        <v>58648.55</v>
      </c>
      <c r="E95" s="864" t="s">
        <v>1918</v>
      </c>
    </row>
    <row r="96" spans="1:5" ht="87.75" customHeight="1" x14ac:dyDescent="0.3">
      <c r="A96" s="284"/>
      <c r="B96" s="1354" t="s">
        <v>1998</v>
      </c>
      <c r="C96" s="1355"/>
      <c r="D96" s="865">
        <v>16708227.4</v>
      </c>
      <c r="E96" s="864" t="s">
        <v>1918</v>
      </c>
    </row>
    <row r="97" spans="1:5" ht="68.25" customHeight="1" x14ac:dyDescent="0.3">
      <c r="A97" s="284"/>
      <c r="B97" s="1354" t="s">
        <v>1999</v>
      </c>
      <c r="C97" s="1355"/>
      <c r="D97" s="865">
        <v>4553935.1399999997</v>
      </c>
      <c r="E97" s="864" t="s">
        <v>1918</v>
      </c>
    </row>
    <row r="98" spans="1:5" ht="81.75" customHeight="1" x14ac:dyDescent="0.3">
      <c r="A98" s="284"/>
      <c r="B98" s="1354" t="s">
        <v>2000</v>
      </c>
      <c r="C98" s="1355"/>
      <c r="D98" s="865">
        <v>6649962.5</v>
      </c>
      <c r="E98" s="864" t="s">
        <v>1918</v>
      </c>
    </row>
    <row r="99" spans="1:5" ht="68.25" customHeight="1" x14ac:dyDescent="0.3">
      <c r="A99" s="284"/>
      <c r="B99" s="1354" t="s">
        <v>2001</v>
      </c>
      <c r="C99" s="1355"/>
      <c r="D99" s="865">
        <v>1978967.77</v>
      </c>
      <c r="E99" s="864" t="s">
        <v>1918</v>
      </c>
    </row>
    <row r="100" spans="1:5" ht="68.25" customHeight="1" x14ac:dyDescent="0.3">
      <c r="A100" s="284"/>
      <c r="B100" s="1354" t="s">
        <v>2002</v>
      </c>
      <c r="C100" s="1355"/>
      <c r="D100" s="865">
        <v>2143527.7400000002</v>
      </c>
      <c r="E100" s="864" t="s">
        <v>1918</v>
      </c>
    </row>
    <row r="101" spans="1:5" ht="51.75" customHeight="1" x14ac:dyDescent="0.3">
      <c r="A101" s="284"/>
      <c r="B101" s="1354" t="s">
        <v>2003</v>
      </c>
      <c r="C101" s="1355"/>
      <c r="D101" s="865">
        <v>2000000</v>
      </c>
      <c r="E101" s="864" t="s">
        <v>1918</v>
      </c>
    </row>
    <row r="102" spans="1:5" ht="51.75" customHeight="1" x14ac:dyDescent="0.3">
      <c r="A102" s="284"/>
      <c r="B102" s="1354" t="s">
        <v>2004</v>
      </c>
      <c r="C102" s="1355"/>
      <c r="D102" s="865">
        <v>48060.89</v>
      </c>
      <c r="E102" s="864" t="s">
        <v>1918</v>
      </c>
    </row>
    <row r="103" spans="1:5" ht="68.25" customHeight="1" x14ac:dyDescent="0.3">
      <c r="A103" s="284"/>
      <c r="B103" s="1354" t="s">
        <v>2005</v>
      </c>
      <c r="C103" s="1355"/>
      <c r="D103" s="865">
        <v>3515235.14</v>
      </c>
      <c r="E103" s="864" t="s">
        <v>1918</v>
      </c>
    </row>
    <row r="104" spans="1:5" ht="68.25" customHeight="1" x14ac:dyDescent="0.3">
      <c r="A104" s="284"/>
      <c r="B104" s="1354" t="s">
        <v>2006</v>
      </c>
      <c r="C104" s="1355"/>
      <c r="D104" s="865">
        <v>2508275.5499999998</v>
      </c>
      <c r="E104" s="864" t="s">
        <v>1918</v>
      </c>
    </row>
    <row r="105" spans="1:5" ht="68.25" customHeight="1" x14ac:dyDescent="0.3">
      <c r="A105" s="284"/>
      <c r="B105" s="1354" t="s">
        <v>2007</v>
      </c>
      <c r="C105" s="1355"/>
      <c r="D105" s="865">
        <v>1855727.43</v>
      </c>
      <c r="E105" s="864" t="s">
        <v>1918</v>
      </c>
    </row>
    <row r="106" spans="1:5" ht="72.75" customHeight="1" x14ac:dyDescent="0.3">
      <c r="A106" s="284"/>
      <c r="B106" s="1354" t="s">
        <v>2008</v>
      </c>
      <c r="C106" s="1355"/>
      <c r="D106" s="865">
        <v>2543000.83</v>
      </c>
      <c r="E106" s="864" t="s">
        <v>1918</v>
      </c>
    </row>
    <row r="107" spans="1:5" ht="70.5" customHeight="1" x14ac:dyDescent="0.3">
      <c r="A107" s="284"/>
      <c r="B107" s="1354" t="s">
        <v>2009</v>
      </c>
      <c r="C107" s="1355"/>
      <c r="D107" s="865">
        <v>1559884.44</v>
      </c>
      <c r="E107" s="864" t="s">
        <v>1918</v>
      </c>
    </row>
    <row r="108" spans="1:5" ht="47.25" customHeight="1" x14ac:dyDescent="0.3">
      <c r="A108" s="284"/>
      <c r="B108" s="1354" t="s">
        <v>2010</v>
      </c>
      <c r="C108" s="1355"/>
      <c r="D108" s="865">
        <v>4562794.5199999996</v>
      </c>
      <c r="E108" s="864" t="s">
        <v>1918</v>
      </c>
    </row>
    <row r="109" spans="1:5" ht="33" customHeight="1" x14ac:dyDescent="0.3">
      <c r="A109" s="284"/>
      <c r="B109" s="1354" t="s">
        <v>2011</v>
      </c>
      <c r="C109" s="1355"/>
      <c r="D109" s="865">
        <v>57524506.859999999</v>
      </c>
      <c r="E109" s="864" t="s">
        <v>1911</v>
      </c>
    </row>
    <row r="110" spans="1:5" ht="28.5" customHeight="1" x14ac:dyDescent="0.3">
      <c r="A110" s="284"/>
      <c r="B110" s="1354" t="s">
        <v>2012</v>
      </c>
      <c r="C110" s="1355"/>
      <c r="D110" s="865">
        <v>2470800</v>
      </c>
      <c r="E110" s="864" t="s">
        <v>1911</v>
      </c>
    </row>
    <row r="111" spans="1:5" ht="51" customHeight="1" x14ac:dyDescent="0.3">
      <c r="A111" s="284"/>
      <c r="B111" s="1354" t="s">
        <v>2013</v>
      </c>
      <c r="C111" s="1355"/>
      <c r="D111" s="865">
        <v>1715929.68</v>
      </c>
      <c r="E111" s="864" t="s">
        <v>1911</v>
      </c>
    </row>
    <row r="112" spans="1:5" ht="44.25" customHeight="1" x14ac:dyDescent="0.3">
      <c r="A112" s="284"/>
      <c r="B112" s="1354" t="s">
        <v>2014</v>
      </c>
      <c r="C112" s="1355"/>
      <c r="D112" s="865">
        <v>320508</v>
      </c>
      <c r="E112" s="864" t="s">
        <v>1911</v>
      </c>
    </row>
    <row r="113" spans="1:5" ht="42.75" customHeight="1" x14ac:dyDescent="0.3">
      <c r="A113" s="284"/>
      <c r="B113" s="1354" t="s">
        <v>2015</v>
      </c>
      <c r="C113" s="1355"/>
      <c r="D113" s="865">
        <v>260537.53</v>
      </c>
      <c r="E113" s="864" t="s">
        <v>1911</v>
      </c>
    </row>
    <row r="114" spans="1:5" ht="68.25" customHeight="1" x14ac:dyDescent="0.3">
      <c r="A114" s="284"/>
      <c r="B114" s="1354" t="s">
        <v>2016</v>
      </c>
      <c r="C114" s="1355"/>
      <c r="D114" s="865">
        <v>2843438.4</v>
      </c>
      <c r="E114" s="864" t="s">
        <v>1911</v>
      </c>
    </row>
    <row r="115" spans="1:5" ht="76.5" customHeight="1" x14ac:dyDescent="0.3">
      <c r="A115" s="284"/>
      <c r="B115" s="1354" t="s">
        <v>2017</v>
      </c>
      <c r="C115" s="1355"/>
      <c r="D115" s="865">
        <v>1177067.8600000001</v>
      </c>
      <c r="E115" s="864" t="s">
        <v>1911</v>
      </c>
    </row>
    <row r="116" spans="1:5" ht="60.75" customHeight="1" x14ac:dyDescent="0.3">
      <c r="A116" s="284"/>
      <c r="B116" s="1354" t="s">
        <v>2018</v>
      </c>
      <c r="C116" s="1355"/>
      <c r="D116" s="865">
        <v>177977.14</v>
      </c>
      <c r="E116" s="864" t="s">
        <v>1911</v>
      </c>
    </row>
    <row r="117" spans="1:5" ht="72.75" customHeight="1" x14ac:dyDescent="0.3">
      <c r="A117" s="284"/>
      <c r="B117" s="1354" t="s">
        <v>2019</v>
      </c>
      <c r="C117" s="1355"/>
      <c r="D117" s="865">
        <v>89507.42</v>
      </c>
      <c r="E117" s="864" t="s">
        <v>1911</v>
      </c>
    </row>
    <row r="118" spans="1:5" ht="68.25" customHeight="1" x14ac:dyDescent="0.3">
      <c r="A118" s="284"/>
      <c r="B118" s="1354" t="s">
        <v>2020</v>
      </c>
      <c r="C118" s="1355"/>
      <c r="D118" s="865">
        <v>760102.57</v>
      </c>
      <c r="E118" s="864" t="s">
        <v>1911</v>
      </c>
    </row>
    <row r="119" spans="1:5" ht="68.25" customHeight="1" x14ac:dyDescent="0.3">
      <c r="A119" s="284"/>
      <c r="B119" s="1354" t="s">
        <v>2021</v>
      </c>
      <c r="C119" s="1355"/>
      <c r="D119" s="865">
        <v>3706710.75</v>
      </c>
      <c r="E119" s="864" t="s">
        <v>1911</v>
      </c>
    </row>
    <row r="120" spans="1:5" ht="68.25" customHeight="1" x14ac:dyDescent="0.3">
      <c r="A120" s="284"/>
      <c r="B120" s="1354" t="s">
        <v>2022</v>
      </c>
      <c r="C120" s="1355"/>
      <c r="D120" s="865">
        <v>841123.08</v>
      </c>
      <c r="E120" s="864" t="s">
        <v>1911</v>
      </c>
    </row>
    <row r="121" spans="1:5" ht="68.25" customHeight="1" x14ac:dyDescent="0.3">
      <c r="A121" s="284"/>
      <c r="B121" s="1354" t="s">
        <v>2023</v>
      </c>
      <c r="C121" s="1355"/>
      <c r="D121" s="865">
        <v>405768.07</v>
      </c>
      <c r="E121" s="864" t="s">
        <v>1911</v>
      </c>
    </row>
    <row r="122" spans="1:5" ht="68.25" customHeight="1" x14ac:dyDescent="0.3">
      <c r="A122" s="284"/>
      <c r="B122" s="1354" t="s">
        <v>2024</v>
      </c>
      <c r="C122" s="1355"/>
      <c r="D122" s="865">
        <v>252904.97</v>
      </c>
      <c r="E122" s="864" t="s">
        <v>1911</v>
      </c>
    </row>
    <row r="123" spans="1:5" ht="88.5" customHeight="1" x14ac:dyDescent="0.3">
      <c r="A123" s="284"/>
      <c r="B123" s="1354" t="s">
        <v>2025</v>
      </c>
      <c r="C123" s="1355"/>
      <c r="D123" s="865">
        <v>349793.53</v>
      </c>
      <c r="E123" s="864" t="s">
        <v>1911</v>
      </c>
    </row>
    <row r="124" spans="1:5" ht="63" customHeight="1" x14ac:dyDescent="0.3">
      <c r="A124" s="284"/>
      <c r="B124" s="1354" t="s">
        <v>2026</v>
      </c>
      <c r="C124" s="1355"/>
      <c r="D124" s="865">
        <v>3351922.13</v>
      </c>
      <c r="E124" s="864" t="s">
        <v>1911</v>
      </c>
    </row>
    <row r="125" spans="1:5" ht="54" customHeight="1" x14ac:dyDescent="0.3">
      <c r="A125" s="284"/>
      <c r="B125" s="1354" t="s">
        <v>2027</v>
      </c>
      <c r="C125" s="1355"/>
      <c r="D125" s="865">
        <v>685903.01</v>
      </c>
      <c r="E125" s="864" t="s">
        <v>1911</v>
      </c>
    </row>
    <row r="126" spans="1:5" ht="68.25" customHeight="1" x14ac:dyDescent="0.3">
      <c r="A126" s="284"/>
      <c r="B126" s="1354" t="s">
        <v>2028</v>
      </c>
      <c r="C126" s="1355"/>
      <c r="D126" s="865">
        <v>918826.76</v>
      </c>
      <c r="E126" s="864" t="s">
        <v>1911</v>
      </c>
    </row>
    <row r="127" spans="1:5" ht="24.75" customHeight="1" x14ac:dyDescent="0.3">
      <c r="A127" s="284"/>
      <c r="B127" s="1354" t="s">
        <v>2029</v>
      </c>
      <c r="C127" s="1355"/>
      <c r="D127" s="865">
        <v>604641.01</v>
      </c>
      <c r="E127" s="864" t="s">
        <v>1911</v>
      </c>
    </row>
    <row r="128" spans="1:5" ht="85.5" customHeight="1" x14ac:dyDescent="0.3">
      <c r="A128" s="284"/>
      <c r="B128" s="1354" t="s">
        <v>2030</v>
      </c>
      <c r="C128" s="1355"/>
      <c r="D128" s="865">
        <v>784430.72</v>
      </c>
      <c r="E128" s="864" t="s">
        <v>1918</v>
      </c>
    </row>
    <row r="129" spans="1:5" ht="34.5" customHeight="1" x14ac:dyDescent="0.3">
      <c r="A129" s="284"/>
      <c r="B129" s="1354" t="s">
        <v>2031</v>
      </c>
      <c r="C129" s="1355"/>
      <c r="D129" s="865">
        <v>44091.38</v>
      </c>
      <c r="E129" s="864" t="s">
        <v>1911</v>
      </c>
    </row>
    <row r="130" spans="1:5" ht="41.25" customHeight="1" x14ac:dyDescent="0.3">
      <c r="A130" s="284"/>
      <c r="B130" s="1354" t="s">
        <v>2032</v>
      </c>
      <c r="C130" s="1355"/>
      <c r="D130" s="865">
        <v>732647.76000000013</v>
      </c>
      <c r="E130" s="864" t="s">
        <v>1918</v>
      </c>
    </row>
    <row r="131" spans="1:5" ht="46.5" customHeight="1" x14ac:dyDescent="0.3">
      <c r="A131" s="284"/>
      <c r="B131" s="1354" t="s">
        <v>2033</v>
      </c>
      <c r="C131" s="1355"/>
      <c r="D131" s="865">
        <v>1041467.7000000001</v>
      </c>
      <c r="E131" s="864" t="s">
        <v>1918</v>
      </c>
    </row>
    <row r="132" spans="1:5" ht="34.5" customHeight="1" x14ac:dyDescent="0.3">
      <c r="A132" s="284"/>
      <c r="B132" s="1354" t="s">
        <v>2034</v>
      </c>
      <c r="C132" s="1355"/>
      <c r="D132" s="865">
        <v>3382892.02</v>
      </c>
      <c r="E132" s="864" t="s">
        <v>1918</v>
      </c>
    </row>
    <row r="133" spans="1:5" ht="57.75" customHeight="1" x14ac:dyDescent="0.3">
      <c r="A133" s="284"/>
      <c r="B133" s="1354" t="s">
        <v>2035</v>
      </c>
      <c r="C133" s="1355"/>
      <c r="D133" s="865">
        <v>3632821.31</v>
      </c>
      <c r="E133" s="864" t="s">
        <v>1918</v>
      </c>
    </row>
    <row r="134" spans="1:5" ht="108.75" customHeight="1" x14ac:dyDescent="0.3">
      <c r="A134" s="284"/>
      <c r="B134" s="1354" t="s">
        <v>2036</v>
      </c>
      <c r="C134" s="1355"/>
      <c r="D134" s="865">
        <v>406503.17</v>
      </c>
      <c r="E134" s="864" t="s">
        <v>1918</v>
      </c>
    </row>
    <row r="135" spans="1:5" ht="90.75" customHeight="1" x14ac:dyDescent="0.3">
      <c r="A135" s="284"/>
      <c r="B135" s="1354" t="s">
        <v>2037</v>
      </c>
      <c r="C135" s="1355"/>
      <c r="D135" s="865">
        <v>1555966.63</v>
      </c>
      <c r="E135" s="864" t="s">
        <v>1918</v>
      </c>
    </row>
    <row r="136" spans="1:5" ht="84" customHeight="1" x14ac:dyDescent="0.3">
      <c r="A136" s="284"/>
      <c r="B136" s="1354" t="s">
        <v>2038</v>
      </c>
      <c r="C136" s="1355"/>
      <c r="D136" s="865">
        <v>344513.86</v>
      </c>
      <c r="E136" s="864" t="s">
        <v>1918</v>
      </c>
    </row>
    <row r="137" spans="1:5" ht="85.5" customHeight="1" x14ac:dyDescent="0.3">
      <c r="A137" s="284"/>
      <c r="B137" s="1354" t="s">
        <v>2039</v>
      </c>
      <c r="C137" s="1355"/>
      <c r="D137" s="865">
        <v>250427.32</v>
      </c>
      <c r="E137" s="864" t="s">
        <v>2040</v>
      </c>
    </row>
    <row r="138" spans="1:5" ht="79.5" customHeight="1" x14ac:dyDescent="0.3">
      <c r="A138" s="284"/>
      <c r="B138" s="1354" t="s">
        <v>2041</v>
      </c>
      <c r="C138" s="1355"/>
      <c r="D138" s="865">
        <v>396582.24</v>
      </c>
      <c r="E138" s="864" t="s">
        <v>1918</v>
      </c>
    </row>
    <row r="139" spans="1:5" ht="90" customHeight="1" x14ac:dyDescent="0.3">
      <c r="A139" s="284"/>
      <c r="B139" s="1354" t="s">
        <v>2042</v>
      </c>
      <c r="C139" s="1355"/>
      <c r="D139" s="865">
        <v>620324.43000000005</v>
      </c>
      <c r="E139" s="864" t="s">
        <v>1918</v>
      </c>
    </row>
    <row r="140" spans="1:5" ht="101.25" customHeight="1" x14ac:dyDescent="0.3">
      <c r="A140" s="284"/>
      <c r="B140" s="1354" t="s">
        <v>2043</v>
      </c>
      <c r="C140" s="1355"/>
      <c r="D140" s="865">
        <v>1246932.78</v>
      </c>
      <c r="E140" s="864" t="s">
        <v>1918</v>
      </c>
    </row>
    <row r="141" spans="1:5" ht="75.75" customHeight="1" x14ac:dyDescent="0.3">
      <c r="A141" s="284"/>
      <c r="B141" s="1354" t="s">
        <v>2044</v>
      </c>
      <c r="C141" s="1355"/>
      <c r="D141" s="865">
        <v>483046.2</v>
      </c>
      <c r="E141" s="864" t="s">
        <v>1918</v>
      </c>
    </row>
    <row r="142" spans="1:5" ht="90" customHeight="1" x14ac:dyDescent="0.3">
      <c r="A142" s="284"/>
      <c r="B142" s="1354" t="s">
        <v>2045</v>
      </c>
      <c r="C142" s="1355"/>
      <c r="D142" s="865">
        <v>744824.4</v>
      </c>
      <c r="E142" s="864" t="s">
        <v>1918</v>
      </c>
    </row>
    <row r="143" spans="1:5" ht="56.25" customHeight="1" x14ac:dyDescent="0.3">
      <c r="A143" s="284"/>
      <c r="B143" s="1354" t="s">
        <v>2046</v>
      </c>
      <c r="C143" s="1355"/>
      <c r="D143" s="865">
        <v>5502576</v>
      </c>
      <c r="E143" s="864" t="s">
        <v>1918</v>
      </c>
    </row>
    <row r="144" spans="1:5" ht="48" customHeight="1" x14ac:dyDescent="0.3">
      <c r="A144" s="284"/>
      <c r="B144" s="1354" t="s">
        <v>2047</v>
      </c>
      <c r="C144" s="1355"/>
      <c r="D144" s="865">
        <v>12400280</v>
      </c>
      <c r="E144" s="864" t="s">
        <v>1918</v>
      </c>
    </row>
    <row r="145" spans="1:5" ht="54.75" customHeight="1" x14ac:dyDescent="0.3">
      <c r="A145" s="284"/>
      <c r="B145" s="1354" t="s">
        <v>2048</v>
      </c>
      <c r="C145" s="1355"/>
      <c r="D145" s="865">
        <v>332488.94</v>
      </c>
      <c r="E145" s="864" t="s">
        <v>1918</v>
      </c>
    </row>
    <row r="146" spans="1:5" ht="17.25" thickBot="1" x14ac:dyDescent="0.35">
      <c r="A146" s="286"/>
      <c r="B146" s="287"/>
      <c r="C146" s="464"/>
      <c r="D146" s="462"/>
      <c r="E146" s="285"/>
    </row>
    <row r="147" spans="1:5" ht="25.5" x14ac:dyDescent="0.35">
      <c r="A147" s="288" t="s">
        <v>788</v>
      </c>
      <c r="B147" s="3" t="s">
        <v>789</v>
      </c>
      <c r="C147" s="466"/>
      <c r="D147" s="466"/>
      <c r="E147" s="466"/>
    </row>
    <row r="148" spans="1:5" x14ac:dyDescent="0.3">
      <c r="B148" s="3" t="s">
        <v>790</v>
      </c>
    </row>
    <row r="149" spans="1:5" x14ac:dyDescent="0.3">
      <c r="A149" s="334" t="s">
        <v>80</v>
      </c>
      <c r="C149" s="289"/>
      <c r="D149" s="289"/>
    </row>
    <row r="150" spans="1:5" ht="10.5" customHeight="1" x14ac:dyDescent="0.3">
      <c r="B150" s="289"/>
      <c r="C150" s="289"/>
      <c r="D150" s="289"/>
    </row>
    <row r="153" spans="1:5" x14ac:dyDescent="0.3">
      <c r="A153" s="334"/>
    </row>
    <row r="154" spans="1:5" x14ac:dyDescent="0.3">
      <c r="A154" s="334"/>
    </row>
  </sheetData>
  <mergeCells count="140">
    <mergeCell ref="B11:C11"/>
    <mergeCell ref="B12:C12"/>
    <mergeCell ref="B13:C13"/>
    <mergeCell ref="B14:C14"/>
    <mergeCell ref="B15:C15"/>
    <mergeCell ref="A1:E1"/>
    <mergeCell ref="A2:E2"/>
    <mergeCell ref="A3:E3"/>
    <mergeCell ref="A6:B6"/>
    <mergeCell ref="B10:C10"/>
    <mergeCell ref="B21:C21"/>
    <mergeCell ref="B22:C22"/>
    <mergeCell ref="B23:C23"/>
    <mergeCell ref="B24:C24"/>
    <mergeCell ref="B25:C25"/>
    <mergeCell ref="B16:C16"/>
    <mergeCell ref="B17:C17"/>
    <mergeCell ref="B18:C18"/>
    <mergeCell ref="B19:C19"/>
    <mergeCell ref="B20:C20"/>
    <mergeCell ref="B31:C31"/>
    <mergeCell ref="B32:C32"/>
    <mergeCell ref="B33:C33"/>
    <mergeCell ref="B34:C34"/>
    <mergeCell ref="B35:C35"/>
    <mergeCell ref="B26:C26"/>
    <mergeCell ref="B27:C27"/>
    <mergeCell ref="B28:C28"/>
    <mergeCell ref="B29:C29"/>
    <mergeCell ref="B30:C30"/>
    <mergeCell ref="B41:C41"/>
    <mergeCell ref="B42:C42"/>
    <mergeCell ref="B43:C43"/>
    <mergeCell ref="B44:C44"/>
    <mergeCell ref="B45:C45"/>
    <mergeCell ref="B36:C36"/>
    <mergeCell ref="B37:C37"/>
    <mergeCell ref="B38:C38"/>
    <mergeCell ref="B39:C39"/>
    <mergeCell ref="B40:C40"/>
    <mergeCell ref="B51:C51"/>
    <mergeCell ref="B52:C52"/>
    <mergeCell ref="B53:C53"/>
    <mergeCell ref="B54:C54"/>
    <mergeCell ref="B55:C55"/>
    <mergeCell ref="B46:C46"/>
    <mergeCell ref="B47:C47"/>
    <mergeCell ref="B48:C48"/>
    <mergeCell ref="B49:C49"/>
    <mergeCell ref="B50:C50"/>
    <mergeCell ref="B61:C61"/>
    <mergeCell ref="B62:C62"/>
    <mergeCell ref="B63:C63"/>
    <mergeCell ref="B64:C64"/>
    <mergeCell ref="B65:C65"/>
    <mergeCell ref="B56:C56"/>
    <mergeCell ref="B57:C57"/>
    <mergeCell ref="B58:C58"/>
    <mergeCell ref="B59:C59"/>
    <mergeCell ref="B60:C60"/>
    <mergeCell ref="B71:C71"/>
    <mergeCell ref="B72:C72"/>
    <mergeCell ref="B73:C73"/>
    <mergeCell ref="B74:C74"/>
    <mergeCell ref="B75:C75"/>
    <mergeCell ref="B66:C66"/>
    <mergeCell ref="B67:C67"/>
    <mergeCell ref="B68:C68"/>
    <mergeCell ref="B69:C69"/>
    <mergeCell ref="B70:C70"/>
    <mergeCell ref="B81:C81"/>
    <mergeCell ref="B82:C82"/>
    <mergeCell ref="B83:C83"/>
    <mergeCell ref="B84:C84"/>
    <mergeCell ref="B85:C85"/>
    <mergeCell ref="B76:C76"/>
    <mergeCell ref="B77:C77"/>
    <mergeCell ref="B78:C78"/>
    <mergeCell ref="B79:C79"/>
    <mergeCell ref="B80:C80"/>
    <mergeCell ref="B91:C91"/>
    <mergeCell ref="B92:C92"/>
    <mergeCell ref="B93:C93"/>
    <mergeCell ref="B94:C94"/>
    <mergeCell ref="B95:C95"/>
    <mergeCell ref="B86:C86"/>
    <mergeCell ref="B87:C87"/>
    <mergeCell ref="B88:C88"/>
    <mergeCell ref="B89:C89"/>
    <mergeCell ref="B90:C90"/>
    <mergeCell ref="B101:C101"/>
    <mergeCell ref="B102:C102"/>
    <mergeCell ref="B103:C103"/>
    <mergeCell ref="B104:C104"/>
    <mergeCell ref="B105:C105"/>
    <mergeCell ref="B96:C96"/>
    <mergeCell ref="B97:C97"/>
    <mergeCell ref="B98:C98"/>
    <mergeCell ref="B99:C99"/>
    <mergeCell ref="B100:C100"/>
    <mergeCell ref="B111:C111"/>
    <mergeCell ref="B112:C112"/>
    <mergeCell ref="B113:C113"/>
    <mergeCell ref="B114:C114"/>
    <mergeCell ref="B115:C115"/>
    <mergeCell ref="B106:C106"/>
    <mergeCell ref="B107:C107"/>
    <mergeCell ref="B108:C108"/>
    <mergeCell ref="B109:C109"/>
    <mergeCell ref="B110:C110"/>
    <mergeCell ref="B121:C121"/>
    <mergeCell ref="B122:C122"/>
    <mergeCell ref="B123:C123"/>
    <mergeCell ref="B124:C124"/>
    <mergeCell ref="B125:C125"/>
    <mergeCell ref="B116:C116"/>
    <mergeCell ref="B117:C117"/>
    <mergeCell ref="B118:C118"/>
    <mergeCell ref="B119:C119"/>
    <mergeCell ref="B120:C120"/>
    <mergeCell ref="B131:C131"/>
    <mergeCell ref="B132:C132"/>
    <mergeCell ref="B133:C133"/>
    <mergeCell ref="B134:C134"/>
    <mergeCell ref="B135:C135"/>
    <mergeCell ref="B126:C126"/>
    <mergeCell ref="B127:C127"/>
    <mergeCell ref="B128:C128"/>
    <mergeCell ref="B129:C129"/>
    <mergeCell ref="B130:C130"/>
    <mergeCell ref="B141:C141"/>
    <mergeCell ref="B142:C142"/>
    <mergeCell ref="B143:C143"/>
    <mergeCell ref="B144:C144"/>
    <mergeCell ref="B145:C145"/>
    <mergeCell ref="B136:C136"/>
    <mergeCell ref="B137:C137"/>
    <mergeCell ref="B138:C138"/>
    <mergeCell ref="B139:C139"/>
    <mergeCell ref="B140:C140"/>
  </mergeCells>
  <printOptions horizontalCentered="1"/>
  <pageMargins left="0.39370078740157483" right="0.39370078740157483" top="0.74803149606299213" bottom="0.74803149606299213" header="0.31496062992125984" footer="0.31496062992125984"/>
  <pageSetup scale="94" orientation="portrait" r:id="rId1"/>
  <headerFooter>
    <oddFooter>&amp;C&amp;P</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52520-6E46-430A-B8DB-7A9C93628703}">
  <sheetPr>
    <tabColor theme="0" tint="-4.9989318521683403E-2"/>
  </sheetPr>
  <dimension ref="A1:S50"/>
  <sheetViews>
    <sheetView showWhiteSpace="0" topLeftCell="D1" zoomScale="85" zoomScaleNormal="85" zoomScaleSheetLayoutView="55" zoomScalePageLayoutView="40" workbookViewId="0">
      <selection activeCell="C56" sqref="C56"/>
    </sheetView>
  </sheetViews>
  <sheetFormatPr baseColWidth="10" defaultRowHeight="15" x14ac:dyDescent="0.2"/>
  <cols>
    <col min="1" max="1" width="18.5703125" style="974" customWidth="1"/>
    <col min="2" max="2" width="35" style="984" customWidth="1"/>
    <col min="3" max="3" width="34.5703125" style="984" customWidth="1"/>
    <col min="4" max="4" width="18" style="984" customWidth="1"/>
    <col min="5" max="5" width="37.140625" style="984" customWidth="1"/>
    <col min="6" max="6" width="6.42578125" style="1000" bestFit="1" customWidth="1"/>
    <col min="7" max="8" width="7.5703125" style="1000" bestFit="1" customWidth="1"/>
    <col min="9" max="9" width="10.42578125" style="1000" bestFit="1" customWidth="1"/>
    <col min="10" max="10" width="9.7109375" style="1001" customWidth="1"/>
    <col min="11" max="11" width="7.7109375" style="984" bestFit="1" customWidth="1"/>
    <col min="12" max="12" width="9.42578125" style="984" bestFit="1" customWidth="1"/>
    <col min="13" max="13" width="9.42578125" style="1002" bestFit="1" customWidth="1"/>
    <col min="14" max="14" width="10.28515625" style="984" bestFit="1" customWidth="1"/>
    <col min="15" max="15" width="14.42578125" style="984" bestFit="1" customWidth="1"/>
    <col min="16" max="16" width="36.42578125" style="984" customWidth="1"/>
    <col min="17" max="17" width="44.28515625" style="984" customWidth="1"/>
    <col min="18" max="18" width="5.28515625" style="984" customWidth="1"/>
    <col min="19" max="19" width="13" style="984" bestFit="1" customWidth="1"/>
    <col min="20" max="16384" width="11.42578125" style="984"/>
  </cols>
  <sheetData>
    <row r="1" spans="1:18" s="974" customFormat="1" ht="31.15" customHeight="1" x14ac:dyDescent="0.2">
      <c r="A1" s="1388" t="s">
        <v>6469</v>
      </c>
      <c r="B1" s="1388"/>
      <c r="C1" s="1389" t="s">
        <v>6470</v>
      </c>
      <c r="D1" s="1390"/>
      <c r="E1" s="1390"/>
      <c r="F1" s="1390"/>
      <c r="G1" s="1390"/>
      <c r="H1" s="1390"/>
      <c r="I1" s="1390"/>
      <c r="J1" s="1390"/>
      <c r="K1" s="1390"/>
      <c r="L1" s="1390"/>
      <c r="M1" s="1390"/>
      <c r="N1" s="1390"/>
      <c r="O1" s="1390"/>
      <c r="P1" s="1390"/>
      <c r="Q1" s="973" t="s">
        <v>1764</v>
      </c>
    </row>
    <row r="2" spans="1:18" s="974" customFormat="1" ht="31.15" customHeight="1" x14ac:dyDescent="0.2">
      <c r="A2" s="1388" t="s">
        <v>6471</v>
      </c>
      <c r="B2" s="1388"/>
      <c r="C2" s="1389" t="s">
        <v>6472</v>
      </c>
      <c r="D2" s="1390"/>
      <c r="E2" s="1390"/>
      <c r="F2" s="1390"/>
      <c r="G2" s="1390"/>
      <c r="H2" s="1390"/>
      <c r="I2" s="1390"/>
      <c r="J2" s="1390"/>
      <c r="K2" s="1390"/>
      <c r="L2" s="1390"/>
      <c r="M2" s="1390"/>
      <c r="N2" s="1390"/>
      <c r="O2" s="1390"/>
      <c r="P2" s="1390"/>
      <c r="Q2" s="975"/>
    </row>
    <row r="3" spans="1:18" s="974" customFormat="1" ht="31.15" customHeight="1" x14ac:dyDescent="0.2">
      <c r="A3" s="1388" t="s">
        <v>6473</v>
      </c>
      <c r="B3" s="1388"/>
      <c r="C3" s="1391" t="s">
        <v>6474</v>
      </c>
      <c r="D3" s="1391"/>
      <c r="E3" s="1391"/>
      <c r="F3" s="1391"/>
      <c r="G3" s="1391"/>
      <c r="H3" s="1391"/>
      <c r="I3" s="1391"/>
      <c r="J3" s="1391"/>
      <c r="K3" s="1391"/>
      <c r="L3" s="1391"/>
      <c r="M3" s="1391"/>
      <c r="N3" s="1391"/>
      <c r="O3" s="1391"/>
      <c r="P3" s="1391"/>
      <c r="Q3" s="1391"/>
      <c r="R3" s="976"/>
    </row>
    <row r="4" spans="1:18" s="974" customFormat="1" ht="31.15" customHeight="1" x14ac:dyDescent="0.2">
      <c r="A4" s="1388" t="s">
        <v>6475</v>
      </c>
      <c r="B4" s="1388"/>
      <c r="C4" s="1392" t="s">
        <v>6476</v>
      </c>
      <c r="D4" s="1392"/>
      <c r="E4" s="1392"/>
      <c r="F4" s="1392"/>
      <c r="G4" s="1392"/>
      <c r="H4" s="1392"/>
      <c r="I4" s="1392"/>
      <c r="J4" s="1392"/>
      <c r="K4" s="1392"/>
      <c r="L4" s="1392"/>
      <c r="M4" s="1392"/>
      <c r="N4" s="1392"/>
      <c r="O4" s="1392"/>
      <c r="P4" s="1392"/>
      <c r="Q4" s="1392"/>
      <c r="R4" s="977"/>
    </row>
    <row r="5" spans="1:18" s="974" customFormat="1" ht="31.15" customHeight="1" x14ac:dyDescent="0.2">
      <c r="A5" s="1388" t="s">
        <v>6477</v>
      </c>
      <c r="B5" s="1388"/>
      <c r="C5" s="1391" t="s">
        <v>6478</v>
      </c>
      <c r="D5" s="1391"/>
      <c r="E5" s="1391"/>
      <c r="F5" s="1391"/>
      <c r="G5" s="1391"/>
      <c r="H5" s="1391"/>
      <c r="I5" s="1391"/>
      <c r="J5" s="1391"/>
      <c r="K5" s="1391"/>
      <c r="L5" s="1391"/>
      <c r="M5" s="1391"/>
      <c r="N5" s="1391"/>
      <c r="O5" s="1391"/>
      <c r="P5" s="1391"/>
      <c r="Q5" s="1391"/>
    </row>
    <row r="6" spans="1:18" x14ac:dyDescent="0.2">
      <c r="A6" s="978"/>
      <c r="B6" s="979"/>
      <c r="C6" s="979"/>
      <c r="D6" s="980"/>
      <c r="E6" s="980"/>
      <c r="F6" s="981"/>
      <c r="G6" s="981"/>
      <c r="H6" s="981"/>
      <c r="I6" s="981"/>
      <c r="J6" s="982"/>
      <c r="K6" s="979"/>
      <c r="L6" s="979"/>
      <c r="M6" s="983"/>
      <c r="N6" s="980"/>
      <c r="O6" s="979"/>
      <c r="P6" s="980"/>
      <c r="Q6" s="979"/>
    </row>
    <row r="7" spans="1:18" ht="15.75" customHeight="1" x14ac:dyDescent="0.2">
      <c r="A7" s="1381"/>
      <c r="B7" s="1376" t="s">
        <v>6479</v>
      </c>
      <c r="C7" s="1376" t="s">
        <v>6480</v>
      </c>
      <c r="D7" s="1376"/>
      <c r="E7" s="1376"/>
      <c r="F7" s="1382" t="s">
        <v>6481</v>
      </c>
      <c r="G7" s="1383"/>
      <c r="H7" s="1383"/>
      <c r="I7" s="1383"/>
      <c r="J7" s="1384"/>
      <c r="K7" s="1385" t="s">
        <v>6482</v>
      </c>
      <c r="L7" s="1385" t="s">
        <v>6483</v>
      </c>
      <c r="M7" s="1387" t="s">
        <v>6484</v>
      </c>
      <c r="N7" s="1376" t="s">
        <v>6485</v>
      </c>
      <c r="O7" s="1376" t="s">
        <v>6486</v>
      </c>
      <c r="P7" s="1376" t="s">
        <v>6487</v>
      </c>
      <c r="Q7" s="1376" t="s">
        <v>6488</v>
      </c>
    </row>
    <row r="8" spans="1:18" ht="31.5" x14ac:dyDescent="0.2">
      <c r="A8" s="1381"/>
      <c r="B8" s="1376"/>
      <c r="C8" s="985" t="s">
        <v>6489</v>
      </c>
      <c r="D8" s="985" t="s">
        <v>6490</v>
      </c>
      <c r="E8" s="985" t="s">
        <v>6491</v>
      </c>
      <c r="F8" s="986" t="s">
        <v>6492</v>
      </c>
      <c r="G8" s="986" t="s">
        <v>6493</v>
      </c>
      <c r="H8" s="986" t="s">
        <v>6494</v>
      </c>
      <c r="I8" s="986" t="s">
        <v>6495</v>
      </c>
      <c r="J8" s="987" t="s">
        <v>6496</v>
      </c>
      <c r="K8" s="1386"/>
      <c r="L8" s="1386"/>
      <c r="M8" s="1387"/>
      <c r="N8" s="1376"/>
      <c r="O8" s="1376"/>
      <c r="P8" s="1376"/>
      <c r="Q8" s="1376"/>
    </row>
    <row r="9" spans="1:18" s="990" customFormat="1" ht="103.5" customHeight="1" x14ac:dyDescent="0.25">
      <c r="A9" s="1377" t="s">
        <v>6497</v>
      </c>
      <c r="B9" s="1378" t="s">
        <v>6498</v>
      </c>
      <c r="C9" s="1378" t="s">
        <v>6499</v>
      </c>
      <c r="D9" s="1379" t="s">
        <v>6500</v>
      </c>
      <c r="E9" s="988" t="s">
        <v>6501</v>
      </c>
      <c r="F9" s="988">
        <v>0</v>
      </c>
      <c r="G9" s="988">
        <v>0</v>
      </c>
      <c r="H9" s="988">
        <v>0</v>
      </c>
      <c r="I9" s="989">
        <v>98.6</v>
      </c>
      <c r="J9" s="1365">
        <v>98.6</v>
      </c>
      <c r="K9" s="1367">
        <v>98.6</v>
      </c>
      <c r="L9" s="1368">
        <v>1</v>
      </c>
      <c r="M9" s="1367">
        <v>98.6</v>
      </c>
      <c r="N9" s="1379" t="s">
        <v>6502</v>
      </c>
      <c r="O9" s="1379" t="s">
        <v>6503</v>
      </c>
      <c r="P9" s="1378" t="s">
        <v>6504</v>
      </c>
      <c r="Q9" s="1380" t="s">
        <v>6505</v>
      </c>
    </row>
    <row r="10" spans="1:18" s="990" customFormat="1" ht="75.75" customHeight="1" x14ac:dyDescent="0.25">
      <c r="A10" s="1377"/>
      <c r="B10" s="1378"/>
      <c r="C10" s="1378"/>
      <c r="D10" s="1379"/>
      <c r="E10" s="988"/>
      <c r="F10" s="988"/>
      <c r="G10" s="988"/>
      <c r="H10" s="988"/>
      <c r="I10" s="991"/>
      <c r="J10" s="1366"/>
      <c r="K10" s="1367"/>
      <c r="L10" s="1369"/>
      <c r="M10" s="1367"/>
      <c r="N10" s="1379"/>
      <c r="O10" s="1379"/>
      <c r="P10" s="1378"/>
      <c r="Q10" s="1380"/>
    </row>
    <row r="11" spans="1:18" s="994" customFormat="1" ht="87.95" customHeight="1" x14ac:dyDescent="0.25">
      <c r="A11" s="1362" t="s">
        <v>6506</v>
      </c>
      <c r="B11" s="1363" t="s">
        <v>6507</v>
      </c>
      <c r="C11" s="1363" t="s">
        <v>6508</v>
      </c>
      <c r="D11" s="1364" t="s">
        <v>6509</v>
      </c>
      <c r="E11" s="992" t="s">
        <v>6510</v>
      </c>
      <c r="F11" s="992">
        <v>0</v>
      </c>
      <c r="G11" s="992">
        <v>0</v>
      </c>
      <c r="H11" s="992">
        <v>0</v>
      </c>
      <c r="I11" s="993">
        <v>2021009</v>
      </c>
      <c r="J11" s="1365">
        <f>I11/I12*100</f>
        <v>68.628821939392296</v>
      </c>
      <c r="K11" s="1367">
        <v>68.63</v>
      </c>
      <c r="L11" s="1368">
        <v>1</v>
      </c>
      <c r="M11" s="1367">
        <v>6.79</v>
      </c>
      <c r="N11" s="1364" t="s">
        <v>6502</v>
      </c>
      <c r="O11" s="1364" t="s">
        <v>6511</v>
      </c>
      <c r="P11" s="1375" t="s">
        <v>6512</v>
      </c>
      <c r="Q11" s="1361" t="s">
        <v>6513</v>
      </c>
      <c r="R11" s="990"/>
    </row>
    <row r="12" spans="1:18" s="994" customFormat="1" ht="81.75" customHeight="1" x14ac:dyDescent="0.25">
      <c r="A12" s="1362"/>
      <c r="B12" s="1363"/>
      <c r="C12" s="1363"/>
      <c r="D12" s="1364"/>
      <c r="E12" s="992" t="s">
        <v>6514</v>
      </c>
      <c r="F12" s="992">
        <v>0</v>
      </c>
      <c r="G12" s="992">
        <v>0</v>
      </c>
      <c r="H12" s="992">
        <v>0</v>
      </c>
      <c r="I12" s="995">
        <v>2944840</v>
      </c>
      <c r="J12" s="1366"/>
      <c r="K12" s="1367"/>
      <c r="L12" s="1369"/>
      <c r="M12" s="1367"/>
      <c r="N12" s="1364"/>
      <c r="O12" s="1364"/>
      <c r="P12" s="1375"/>
      <c r="Q12" s="1361"/>
      <c r="R12" s="990"/>
    </row>
    <row r="13" spans="1:18" s="994" customFormat="1" ht="89.25" customHeight="1" x14ac:dyDescent="0.25">
      <c r="A13" s="1362"/>
      <c r="B13" s="1363"/>
      <c r="C13" s="1363" t="s">
        <v>6515</v>
      </c>
      <c r="D13" s="1364" t="s">
        <v>6500</v>
      </c>
      <c r="E13" s="992" t="s">
        <v>6516</v>
      </c>
      <c r="F13" s="992">
        <v>0</v>
      </c>
      <c r="G13" s="992">
        <v>0</v>
      </c>
      <c r="H13" s="992">
        <v>0</v>
      </c>
      <c r="I13" s="996">
        <v>1.4</v>
      </c>
      <c r="J13" s="1365">
        <v>1.4</v>
      </c>
      <c r="K13" s="1367">
        <v>1.4</v>
      </c>
      <c r="L13" s="1368">
        <v>1</v>
      </c>
      <c r="M13" s="1367">
        <v>1.4</v>
      </c>
      <c r="N13" s="1364" t="s">
        <v>6517</v>
      </c>
      <c r="O13" s="1364" t="s">
        <v>6503</v>
      </c>
      <c r="P13" s="1363" t="s">
        <v>6518</v>
      </c>
      <c r="Q13" s="1361" t="s">
        <v>6513</v>
      </c>
      <c r="R13" s="990"/>
    </row>
    <row r="14" spans="1:18" s="994" customFormat="1" ht="73.5" customHeight="1" x14ac:dyDescent="0.25">
      <c r="A14" s="1362"/>
      <c r="B14" s="1363"/>
      <c r="C14" s="1363"/>
      <c r="D14" s="1364"/>
      <c r="E14" s="992"/>
      <c r="F14" s="992"/>
      <c r="G14" s="992"/>
      <c r="H14" s="992"/>
      <c r="I14" s="995"/>
      <c r="J14" s="1366"/>
      <c r="K14" s="1367"/>
      <c r="L14" s="1369"/>
      <c r="M14" s="1367"/>
      <c r="N14" s="1364"/>
      <c r="O14" s="1364"/>
      <c r="P14" s="1363"/>
      <c r="Q14" s="1361"/>
      <c r="R14" s="990"/>
    </row>
    <row r="15" spans="1:18" s="994" customFormat="1" ht="48.75" customHeight="1" x14ac:dyDescent="0.25">
      <c r="A15" s="1362" t="s">
        <v>6519</v>
      </c>
      <c r="B15" s="1363" t="s">
        <v>6520</v>
      </c>
      <c r="C15" s="1363" t="s">
        <v>6521</v>
      </c>
      <c r="D15" s="1364" t="s">
        <v>6522</v>
      </c>
      <c r="E15" s="992" t="s">
        <v>6523</v>
      </c>
      <c r="F15" s="997">
        <v>0</v>
      </c>
      <c r="G15" s="997">
        <v>0</v>
      </c>
      <c r="H15" s="997">
        <v>0</v>
      </c>
      <c r="I15" s="997">
        <f>20+5</f>
        <v>25</v>
      </c>
      <c r="J15" s="1365">
        <v>100</v>
      </c>
      <c r="K15" s="1373">
        <v>100</v>
      </c>
      <c r="L15" s="1368">
        <f t="shared" ref="L15" si="0">J15/K15</f>
        <v>1</v>
      </c>
      <c r="M15" s="1364">
        <v>21</v>
      </c>
      <c r="N15" s="1364" t="s">
        <v>6502</v>
      </c>
      <c r="O15" s="1364" t="s">
        <v>6524</v>
      </c>
      <c r="P15" s="1371" t="s">
        <v>6525</v>
      </c>
      <c r="Q15" s="1363" t="s">
        <v>6526</v>
      </c>
      <c r="R15" s="990"/>
    </row>
    <row r="16" spans="1:18" s="994" customFormat="1" ht="48.75" customHeight="1" x14ac:dyDescent="0.25">
      <c r="A16" s="1362"/>
      <c r="B16" s="1363"/>
      <c r="C16" s="1363"/>
      <c r="D16" s="1364"/>
      <c r="E16" s="992" t="s">
        <v>6527</v>
      </c>
      <c r="F16" s="997">
        <v>0</v>
      </c>
      <c r="G16" s="997">
        <v>0</v>
      </c>
      <c r="H16" s="997">
        <v>0</v>
      </c>
      <c r="I16" s="997">
        <v>25</v>
      </c>
      <c r="J16" s="1366"/>
      <c r="K16" s="1374"/>
      <c r="L16" s="1369"/>
      <c r="M16" s="1364"/>
      <c r="N16" s="1364"/>
      <c r="O16" s="1364"/>
      <c r="P16" s="1371"/>
      <c r="Q16" s="1363"/>
      <c r="R16" s="990"/>
    </row>
    <row r="17" spans="1:19" s="994" customFormat="1" ht="48.75" customHeight="1" x14ac:dyDescent="0.25">
      <c r="A17" s="1362"/>
      <c r="B17" s="1363"/>
      <c r="C17" s="1363" t="s">
        <v>6528</v>
      </c>
      <c r="D17" s="1364" t="s">
        <v>6522</v>
      </c>
      <c r="E17" s="992" t="s">
        <v>6529</v>
      </c>
      <c r="F17" s="997">
        <v>0</v>
      </c>
      <c r="G17" s="997">
        <v>0</v>
      </c>
      <c r="H17" s="997">
        <v>0</v>
      </c>
      <c r="I17" s="997">
        <v>30</v>
      </c>
      <c r="J17" s="1365">
        <f>I17/I18*100</f>
        <v>230.76923076923075</v>
      </c>
      <c r="K17" s="1367">
        <v>100</v>
      </c>
      <c r="L17" s="1368">
        <f t="shared" ref="L17" si="1">J17/K17</f>
        <v>2.3076923076923075</v>
      </c>
      <c r="M17" s="1364">
        <v>9</v>
      </c>
      <c r="N17" s="1364" t="s">
        <v>6502</v>
      </c>
      <c r="O17" s="1364" t="s">
        <v>6524</v>
      </c>
      <c r="P17" s="1371"/>
      <c r="Q17" s="1363"/>
      <c r="R17" s="990"/>
    </row>
    <row r="18" spans="1:19" s="994" customFormat="1" ht="48.75" customHeight="1" x14ac:dyDescent="0.25">
      <c r="A18" s="1362"/>
      <c r="B18" s="1363"/>
      <c r="C18" s="1363"/>
      <c r="D18" s="1364"/>
      <c r="E18" s="992" t="s">
        <v>6530</v>
      </c>
      <c r="F18" s="997">
        <v>0</v>
      </c>
      <c r="G18" s="997">
        <v>0</v>
      </c>
      <c r="H18" s="997">
        <v>0</v>
      </c>
      <c r="I18" s="997">
        <v>13</v>
      </c>
      <c r="J18" s="1366"/>
      <c r="K18" s="1367"/>
      <c r="L18" s="1369"/>
      <c r="M18" s="1364"/>
      <c r="N18" s="1364"/>
      <c r="O18" s="1364"/>
      <c r="P18" s="1371"/>
      <c r="Q18" s="1363"/>
      <c r="R18" s="990"/>
    </row>
    <row r="19" spans="1:19" s="994" customFormat="1" ht="36" customHeight="1" x14ac:dyDescent="0.25">
      <c r="A19" s="1362" t="s">
        <v>6531</v>
      </c>
      <c r="B19" s="1363" t="s">
        <v>6532</v>
      </c>
      <c r="C19" s="1363" t="s">
        <v>6533</v>
      </c>
      <c r="D19" s="1364" t="s">
        <v>6522</v>
      </c>
      <c r="E19" s="992" t="s">
        <v>6534</v>
      </c>
      <c r="F19" s="997">
        <v>0</v>
      </c>
      <c r="G19" s="997">
        <v>0</v>
      </c>
      <c r="H19" s="997">
        <v>0</v>
      </c>
      <c r="I19" s="997">
        <v>55</v>
      </c>
      <c r="J19" s="1365">
        <f>I19/I20*100</f>
        <v>166.66666666666669</v>
      </c>
      <c r="K19" s="1367">
        <v>100</v>
      </c>
      <c r="L19" s="1368">
        <f t="shared" ref="L19" si="2">J19/K19</f>
        <v>1.666666666666667</v>
      </c>
      <c r="M19" s="1364">
        <v>17</v>
      </c>
      <c r="N19" s="1364" t="s">
        <v>6502</v>
      </c>
      <c r="O19" s="1364" t="s">
        <v>6524</v>
      </c>
      <c r="P19" s="1363" t="s">
        <v>6535</v>
      </c>
      <c r="Q19" s="1361" t="s">
        <v>6536</v>
      </c>
      <c r="R19" s="990"/>
    </row>
    <row r="20" spans="1:19" s="994" customFormat="1" ht="36" customHeight="1" x14ac:dyDescent="0.25">
      <c r="A20" s="1362"/>
      <c r="B20" s="1363"/>
      <c r="C20" s="1363"/>
      <c r="D20" s="1364"/>
      <c r="E20" s="992" t="s">
        <v>6537</v>
      </c>
      <c r="F20" s="997">
        <v>0</v>
      </c>
      <c r="G20" s="997">
        <v>0</v>
      </c>
      <c r="H20" s="997">
        <v>0</v>
      </c>
      <c r="I20" s="997">
        <v>33</v>
      </c>
      <c r="J20" s="1366"/>
      <c r="K20" s="1367"/>
      <c r="L20" s="1369"/>
      <c r="M20" s="1364"/>
      <c r="N20" s="1364"/>
      <c r="O20" s="1364"/>
      <c r="P20" s="1363"/>
      <c r="Q20" s="1361"/>
      <c r="R20" s="990"/>
    </row>
    <row r="21" spans="1:19" s="994" customFormat="1" ht="55.5" customHeight="1" x14ac:dyDescent="0.25">
      <c r="A21" s="1362" t="s">
        <v>6531</v>
      </c>
      <c r="B21" s="1372" t="s">
        <v>6538</v>
      </c>
      <c r="C21" s="1363" t="s">
        <v>6539</v>
      </c>
      <c r="D21" s="1364" t="s">
        <v>6540</v>
      </c>
      <c r="E21" s="992" t="s">
        <v>6541</v>
      </c>
      <c r="F21" s="997">
        <v>0</v>
      </c>
      <c r="G21" s="997">
        <v>0</v>
      </c>
      <c r="H21" s="997">
        <v>0</v>
      </c>
      <c r="I21" s="997">
        <v>9</v>
      </c>
      <c r="J21" s="1365">
        <v>100</v>
      </c>
      <c r="K21" s="1367">
        <v>100</v>
      </c>
      <c r="L21" s="1368">
        <f t="shared" ref="L21" si="3">J21/K21</f>
        <v>1</v>
      </c>
      <c r="M21" s="1364">
        <v>5</v>
      </c>
      <c r="N21" s="1364" t="s">
        <v>6502</v>
      </c>
      <c r="O21" s="1364" t="s">
        <v>6524</v>
      </c>
      <c r="P21" s="1363" t="s">
        <v>6525</v>
      </c>
      <c r="Q21" s="1361"/>
      <c r="R21" s="990"/>
    </row>
    <row r="22" spans="1:19" s="994" customFormat="1" ht="55.5" customHeight="1" x14ac:dyDescent="0.25">
      <c r="A22" s="1362"/>
      <c r="B22" s="1372"/>
      <c r="C22" s="1363"/>
      <c r="D22" s="1364"/>
      <c r="E22" s="992" t="s">
        <v>6542</v>
      </c>
      <c r="F22" s="997">
        <v>0</v>
      </c>
      <c r="G22" s="997">
        <v>0</v>
      </c>
      <c r="H22" s="997">
        <v>0</v>
      </c>
      <c r="I22" s="997">
        <v>9</v>
      </c>
      <c r="J22" s="1366"/>
      <c r="K22" s="1367"/>
      <c r="L22" s="1369"/>
      <c r="M22" s="1364"/>
      <c r="N22" s="1364"/>
      <c r="O22" s="1364"/>
      <c r="P22" s="1363"/>
      <c r="Q22" s="1361"/>
      <c r="R22" s="990"/>
    </row>
    <row r="23" spans="1:19" s="994" customFormat="1" ht="41.25" customHeight="1" x14ac:dyDescent="0.25">
      <c r="A23" s="1362" t="s">
        <v>6531</v>
      </c>
      <c r="B23" s="1372" t="s">
        <v>6543</v>
      </c>
      <c r="C23" s="1363" t="s">
        <v>6544</v>
      </c>
      <c r="D23" s="1364" t="s">
        <v>6500</v>
      </c>
      <c r="E23" s="992" t="s">
        <v>6545</v>
      </c>
      <c r="F23" s="997">
        <v>0</v>
      </c>
      <c r="G23" s="997">
        <v>0</v>
      </c>
      <c r="H23" s="997">
        <v>0</v>
      </c>
      <c r="I23" s="997">
        <v>95.82</v>
      </c>
      <c r="J23" s="1365">
        <v>95.82</v>
      </c>
      <c r="K23" s="1367">
        <v>95.82</v>
      </c>
      <c r="L23" s="1368">
        <f t="shared" ref="L23" si="4">J23/K23</f>
        <v>1</v>
      </c>
      <c r="M23" s="1364">
        <v>95.82</v>
      </c>
      <c r="N23" s="1364" t="s">
        <v>6502</v>
      </c>
      <c r="O23" s="1364" t="s">
        <v>6524</v>
      </c>
      <c r="P23" s="1363" t="s">
        <v>6535</v>
      </c>
      <c r="Q23" s="1361"/>
      <c r="R23" s="990"/>
    </row>
    <row r="24" spans="1:19" s="994" customFormat="1" ht="41.25" customHeight="1" x14ac:dyDescent="0.25">
      <c r="A24" s="1362"/>
      <c r="B24" s="1372"/>
      <c r="C24" s="1363"/>
      <c r="D24" s="1364"/>
      <c r="E24" s="992"/>
      <c r="F24" s="997"/>
      <c r="G24" s="997"/>
      <c r="H24" s="997"/>
      <c r="I24" s="997"/>
      <c r="J24" s="1366"/>
      <c r="K24" s="1367"/>
      <c r="L24" s="1369"/>
      <c r="M24" s="1364"/>
      <c r="N24" s="1364"/>
      <c r="O24" s="1364"/>
      <c r="P24" s="1363"/>
      <c r="Q24" s="1361"/>
      <c r="R24" s="990"/>
    </row>
    <row r="25" spans="1:19" s="994" customFormat="1" ht="75" customHeight="1" x14ac:dyDescent="0.25">
      <c r="A25" s="1362" t="s">
        <v>6531</v>
      </c>
      <c r="B25" s="1372" t="s">
        <v>6546</v>
      </c>
      <c r="C25" s="1363" t="s">
        <v>6547</v>
      </c>
      <c r="D25" s="1364" t="s">
        <v>6548</v>
      </c>
      <c r="E25" s="992" t="s">
        <v>6549</v>
      </c>
      <c r="F25" s="996">
        <v>98.25</v>
      </c>
      <c r="G25" s="996">
        <v>101.34</v>
      </c>
      <c r="H25" s="996">
        <v>100.57</v>
      </c>
      <c r="I25" s="996">
        <v>97.21</v>
      </c>
      <c r="J25" s="1365">
        <v>99.34</v>
      </c>
      <c r="K25" s="1367">
        <v>97.8</v>
      </c>
      <c r="L25" s="1368">
        <f t="shared" ref="L25" si="5">J25/K25</f>
        <v>1.0157464212678937</v>
      </c>
      <c r="M25" s="1367">
        <v>98.53</v>
      </c>
      <c r="N25" s="1364" t="s">
        <v>6502</v>
      </c>
      <c r="O25" s="1364" t="s">
        <v>6524</v>
      </c>
      <c r="P25" s="1363" t="s">
        <v>6550</v>
      </c>
      <c r="Q25" s="1361" t="s">
        <v>6551</v>
      </c>
      <c r="R25" s="990"/>
      <c r="S25" s="998"/>
    </row>
    <row r="26" spans="1:19" s="994" customFormat="1" ht="75" customHeight="1" x14ac:dyDescent="0.25">
      <c r="A26" s="1362"/>
      <c r="B26" s="1372"/>
      <c r="C26" s="1363"/>
      <c r="D26" s="1364"/>
      <c r="E26" s="992"/>
      <c r="F26" s="993"/>
      <c r="G26" s="993"/>
      <c r="H26" s="993"/>
      <c r="I26" s="993"/>
      <c r="J26" s="1366"/>
      <c r="K26" s="1367"/>
      <c r="L26" s="1369"/>
      <c r="M26" s="1367"/>
      <c r="N26" s="1364"/>
      <c r="O26" s="1364"/>
      <c r="P26" s="1363"/>
      <c r="Q26" s="1361"/>
      <c r="R26" s="990"/>
      <c r="S26" s="998"/>
    </row>
    <row r="27" spans="1:19" s="994" customFormat="1" ht="82.5" customHeight="1" x14ac:dyDescent="0.25">
      <c r="A27" s="1362" t="s">
        <v>6531</v>
      </c>
      <c r="B27" s="1371" t="s">
        <v>6552</v>
      </c>
      <c r="C27" s="1361" t="s">
        <v>6553</v>
      </c>
      <c r="D27" s="1364" t="s">
        <v>6554</v>
      </c>
      <c r="E27" s="992" t="s">
        <v>6555</v>
      </c>
      <c r="F27" s="997">
        <v>0</v>
      </c>
      <c r="G27" s="997">
        <v>0</v>
      </c>
      <c r="H27" s="997">
        <v>100</v>
      </c>
      <c r="I27" s="997">
        <v>100</v>
      </c>
      <c r="J27" s="1365">
        <v>100</v>
      </c>
      <c r="K27" s="1367">
        <v>100</v>
      </c>
      <c r="L27" s="1368">
        <f t="shared" ref="L27" si="6">J27/K27</f>
        <v>1</v>
      </c>
      <c r="M27" s="1364">
        <v>100</v>
      </c>
      <c r="N27" s="1364" t="s">
        <v>6502</v>
      </c>
      <c r="O27" s="1364" t="s">
        <v>6524</v>
      </c>
      <c r="P27" s="1363" t="s">
        <v>6556</v>
      </c>
      <c r="Q27" s="1361" t="s">
        <v>6557</v>
      </c>
      <c r="R27" s="990"/>
    </row>
    <row r="28" spans="1:19" s="994" customFormat="1" ht="82.5" customHeight="1" x14ac:dyDescent="0.25">
      <c r="A28" s="1362"/>
      <c r="B28" s="1371"/>
      <c r="C28" s="1361"/>
      <c r="D28" s="1364"/>
      <c r="E28" s="992" t="s">
        <v>6558</v>
      </c>
      <c r="F28" s="997">
        <v>0</v>
      </c>
      <c r="G28" s="997">
        <v>0</v>
      </c>
      <c r="H28" s="997">
        <v>100</v>
      </c>
      <c r="I28" s="997">
        <v>100</v>
      </c>
      <c r="J28" s="1366"/>
      <c r="K28" s="1367"/>
      <c r="L28" s="1369"/>
      <c r="M28" s="1364"/>
      <c r="N28" s="1364"/>
      <c r="O28" s="1364"/>
      <c r="P28" s="1363"/>
      <c r="Q28" s="1361"/>
      <c r="R28" s="990"/>
    </row>
    <row r="29" spans="1:19" s="994" customFormat="1" ht="110.25" customHeight="1" x14ac:dyDescent="0.25">
      <c r="A29" s="1362" t="s">
        <v>6519</v>
      </c>
      <c r="B29" s="1363" t="s">
        <v>6559</v>
      </c>
      <c r="C29" s="1363" t="s">
        <v>6560</v>
      </c>
      <c r="D29" s="1364" t="s">
        <v>6522</v>
      </c>
      <c r="E29" s="992" t="s">
        <v>6561</v>
      </c>
      <c r="F29" s="997">
        <v>0</v>
      </c>
      <c r="G29" s="997">
        <v>0</v>
      </c>
      <c r="H29" s="997">
        <v>0</v>
      </c>
      <c r="I29" s="999">
        <v>23</v>
      </c>
      <c r="J29" s="1365">
        <v>100</v>
      </c>
      <c r="K29" s="1367">
        <v>100</v>
      </c>
      <c r="L29" s="1368">
        <f t="shared" ref="L29" si="7">J29/K29</f>
        <v>1</v>
      </c>
      <c r="M29" s="1370">
        <v>0</v>
      </c>
      <c r="N29" s="1364" t="s">
        <v>6502</v>
      </c>
      <c r="O29" s="1364" t="s">
        <v>6524</v>
      </c>
      <c r="P29" s="1363" t="s">
        <v>6562</v>
      </c>
      <c r="Q29" s="1361" t="s">
        <v>6563</v>
      </c>
      <c r="R29" s="990"/>
    </row>
    <row r="30" spans="1:19" s="994" customFormat="1" ht="110.25" customHeight="1" x14ac:dyDescent="0.25">
      <c r="A30" s="1362"/>
      <c r="B30" s="1363"/>
      <c r="C30" s="1363"/>
      <c r="D30" s="1364"/>
      <c r="E30" s="992" t="s">
        <v>6564</v>
      </c>
      <c r="F30" s="997">
        <v>0</v>
      </c>
      <c r="G30" s="997">
        <v>0</v>
      </c>
      <c r="H30" s="997">
        <v>0</v>
      </c>
      <c r="I30" s="999">
        <v>23</v>
      </c>
      <c r="J30" s="1366"/>
      <c r="K30" s="1367"/>
      <c r="L30" s="1369"/>
      <c r="M30" s="1370"/>
      <c r="N30" s="1364"/>
      <c r="O30" s="1364"/>
      <c r="P30" s="1363"/>
      <c r="Q30" s="1361"/>
      <c r="R30" s="990"/>
    </row>
    <row r="31" spans="1:19" s="994" customFormat="1" ht="76.5" customHeight="1" x14ac:dyDescent="0.25">
      <c r="A31" s="1362"/>
      <c r="B31" s="1363"/>
      <c r="C31" s="1363" t="s">
        <v>6565</v>
      </c>
      <c r="D31" s="1364" t="s">
        <v>6522</v>
      </c>
      <c r="E31" s="992" t="s">
        <v>6566</v>
      </c>
      <c r="F31" s="997">
        <v>0</v>
      </c>
      <c r="G31" s="997">
        <v>0</v>
      </c>
      <c r="H31" s="997">
        <v>0</v>
      </c>
      <c r="I31" s="999">
        <v>2</v>
      </c>
      <c r="J31" s="1365">
        <v>100</v>
      </c>
      <c r="K31" s="1367">
        <v>100</v>
      </c>
      <c r="L31" s="1368">
        <v>0</v>
      </c>
      <c r="M31" s="1364">
        <v>0</v>
      </c>
      <c r="N31" s="1364" t="s">
        <v>6502</v>
      </c>
      <c r="O31" s="1364" t="s">
        <v>6524</v>
      </c>
      <c r="P31" s="1363" t="s">
        <v>6562</v>
      </c>
      <c r="Q31" s="1361" t="s">
        <v>6567</v>
      </c>
      <c r="R31" s="990"/>
    </row>
    <row r="32" spans="1:19" s="994" customFormat="1" ht="76.5" customHeight="1" x14ac:dyDescent="0.25">
      <c r="A32" s="1362"/>
      <c r="B32" s="1363"/>
      <c r="C32" s="1363"/>
      <c r="D32" s="1364"/>
      <c r="E32" s="992" t="s">
        <v>6568</v>
      </c>
      <c r="F32" s="997">
        <v>0</v>
      </c>
      <c r="G32" s="997">
        <v>0</v>
      </c>
      <c r="H32" s="997">
        <v>0</v>
      </c>
      <c r="I32" s="999">
        <v>2</v>
      </c>
      <c r="J32" s="1366"/>
      <c r="K32" s="1367"/>
      <c r="L32" s="1369"/>
      <c r="M32" s="1364"/>
      <c r="N32" s="1364"/>
      <c r="O32" s="1364"/>
      <c r="P32" s="1363"/>
      <c r="Q32" s="1361"/>
      <c r="R32" s="990"/>
    </row>
    <row r="33" spans="1:18" s="994" customFormat="1" ht="100.5" customHeight="1" x14ac:dyDescent="0.25">
      <c r="A33" s="1362" t="s">
        <v>6531</v>
      </c>
      <c r="B33" s="1363" t="s">
        <v>6569</v>
      </c>
      <c r="C33" s="1363" t="s">
        <v>6570</v>
      </c>
      <c r="D33" s="1364" t="s">
        <v>6540</v>
      </c>
      <c r="E33" s="992" t="s">
        <v>6571</v>
      </c>
      <c r="F33" s="997">
        <v>0</v>
      </c>
      <c r="G33" s="997">
        <v>0</v>
      </c>
      <c r="H33" s="997">
        <v>0</v>
      </c>
      <c r="I33" s="997">
        <v>5</v>
      </c>
      <c r="J33" s="1365">
        <v>100</v>
      </c>
      <c r="K33" s="1367">
        <v>100</v>
      </c>
      <c r="L33" s="1368">
        <f t="shared" ref="L33" si="8">J33/K33</f>
        <v>1</v>
      </c>
      <c r="M33" s="1364">
        <v>1</v>
      </c>
      <c r="N33" s="1364" t="s">
        <v>6502</v>
      </c>
      <c r="O33" s="1364" t="s">
        <v>6524</v>
      </c>
      <c r="P33" s="1363" t="s">
        <v>6562</v>
      </c>
      <c r="Q33" s="1361" t="s">
        <v>6563</v>
      </c>
      <c r="R33" s="990"/>
    </row>
    <row r="34" spans="1:18" s="994" customFormat="1" ht="100.5" customHeight="1" x14ac:dyDescent="0.25">
      <c r="A34" s="1362"/>
      <c r="B34" s="1363"/>
      <c r="C34" s="1363"/>
      <c r="D34" s="1364"/>
      <c r="E34" s="992" t="s">
        <v>6572</v>
      </c>
      <c r="F34" s="997">
        <v>0</v>
      </c>
      <c r="G34" s="997">
        <v>0</v>
      </c>
      <c r="H34" s="997">
        <v>0</v>
      </c>
      <c r="I34" s="997">
        <v>5</v>
      </c>
      <c r="J34" s="1366"/>
      <c r="K34" s="1367"/>
      <c r="L34" s="1369"/>
      <c r="M34" s="1364"/>
      <c r="N34" s="1364"/>
      <c r="O34" s="1364"/>
      <c r="P34" s="1363"/>
      <c r="Q34" s="1361"/>
      <c r="R34" s="990"/>
    </row>
    <row r="35" spans="1:18" s="994" customFormat="1" ht="82.5" customHeight="1" x14ac:dyDescent="0.25">
      <c r="A35" s="1362" t="s">
        <v>6531</v>
      </c>
      <c r="B35" s="1363" t="s">
        <v>6573</v>
      </c>
      <c r="C35" s="1363" t="s">
        <v>6574</v>
      </c>
      <c r="D35" s="1364" t="s">
        <v>6540</v>
      </c>
      <c r="E35" s="992" t="s">
        <v>6575</v>
      </c>
      <c r="F35" s="997">
        <v>0</v>
      </c>
      <c r="G35" s="997">
        <v>0</v>
      </c>
      <c r="H35" s="997">
        <v>0</v>
      </c>
      <c r="I35" s="997">
        <v>2</v>
      </c>
      <c r="J35" s="1365">
        <v>100</v>
      </c>
      <c r="K35" s="1367">
        <v>100</v>
      </c>
      <c r="L35" s="1368">
        <f t="shared" ref="L35" si="9">J35/K35</f>
        <v>1</v>
      </c>
      <c r="M35" s="1364">
        <v>1</v>
      </c>
      <c r="N35" s="1364" t="s">
        <v>6502</v>
      </c>
      <c r="O35" s="1364" t="s">
        <v>6524</v>
      </c>
      <c r="P35" s="1363" t="s">
        <v>6562</v>
      </c>
      <c r="Q35" s="1361" t="s">
        <v>6576</v>
      </c>
      <c r="R35" s="990"/>
    </row>
    <row r="36" spans="1:18" s="994" customFormat="1" ht="82.5" customHeight="1" x14ac:dyDescent="0.25">
      <c r="A36" s="1362"/>
      <c r="B36" s="1363"/>
      <c r="C36" s="1363"/>
      <c r="D36" s="1364"/>
      <c r="E36" s="992" t="s">
        <v>6577</v>
      </c>
      <c r="F36" s="997">
        <v>0</v>
      </c>
      <c r="G36" s="997">
        <v>0</v>
      </c>
      <c r="H36" s="997">
        <v>0</v>
      </c>
      <c r="I36" s="997">
        <v>2</v>
      </c>
      <c r="J36" s="1366"/>
      <c r="K36" s="1367"/>
      <c r="L36" s="1369"/>
      <c r="M36" s="1364"/>
      <c r="N36" s="1364"/>
      <c r="O36" s="1364"/>
      <c r="P36" s="1363"/>
      <c r="Q36" s="1361"/>
      <c r="R36" s="990"/>
    </row>
    <row r="37" spans="1:18" s="994" customFormat="1" ht="72" customHeight="1" x14ac:dyDescent="0.25">
      <c r="A37" s="1362" t="s">
        <v>6531</v>
      </c>
      <c r="B37" s="1363" t="s">
        <v>6578</v>
      </c>
      <c r="C37" s="1363" t="s">
        <v>6579</v>
      </c>
      <c r="D37" s="1364" t="s">
        <v>6580</v>
      </c>
      <c r="E37" s="992" t="s">
        <v>6581</v>
      </c>
      <c r="F37" s="997">
        <v>0</v>
      </c>
      <c r="G37" s="997">
        <v>0</v>
      </c>
      <c r="H37" s="997">
        <v>0</v>
      </c>
      <c r="I37" s="997">
        <v>2</v>
      </c>
      <c r="J37" s="1365">
        <v>100</v>
      </c>
      <c r="K37" s="1367">
        <v>100</v>
      </c>
      <c r="L37" s="1368">
        <f t="shared" ref="L37" si="10">J37/K37</f>
        <v>1</v>
      </c>
      <c r="M37" s="1364">
        <v>0</v>
      </c>
      <c r="N37" s="1364" t="s">
        <v>6502</v>
      </c>
      <c r="O37" s="1364" t="s">
        <v>6524</v>
      </c>
      <c r="P37" s="1363" t="s">
        <v>6562</v>
      </c>
      <c r="Q37" s="1361" t="s">
        <v>6582</v>
      </c>
      <c r="R37" s="990"/>
    </row>
    <row r="38" spans="1:18" s="994" customFormat="1" ht="72" customHeight="1" x14ac:dyDescent="0.25">
      <c r="A38" s="1362"/>
      <c r="B38" s="1363"/>
      <c r="C38" s="1363"/>
      <c r="D38" s="1364"/>
      <c r="E38" s="992" t="s">
        <v>6583</v>
      </c>
      <c r="F38" s="997">
        <v>0</v>
      </c>
      <c r="G38" s="997">
        <v>0</v>
      </c>
      <c r="H38" s="997">
        <v>0</v>
      </c>
      <c r="I38" s="997">
        <v>2</v>
      </c>
      <c r="J38" s="1366"/>
      <c r="K38" s="1367"/>
      <c r="L38" s="1369"/>
      <c r="M38" s="1364"/>
      <c r="N38" s="1364"/>
      <c r="O38" s="1364"/>
      <c r="P38" s="1363"/>
      <c r="Q38" s="1361"/>
      <c r="R38" s="990"/>
    </row>
    <row r="39" spans="1:18" s="994" customFormat="1" ht="102" customHeight="1" x14ac:dyDescent="0.25">
      <c r="A39" s="1362" t="s">
        <v>6531</v>
      </c>
      <c r="B39" s="1363" t="s">
        <v>6584</v>
      </c>
      <c r="C39" s="1363" t="s">
        <v>6585</v>
      </c>
      <c r="D39" s="1364" t="s">
        <v>6540</v>
      </c>
      <c r="E39" s="992" t="s">
        <v>6571</v>
      </c>
      <c r="F39" s="997">
        <v>0</v>
      </c>
      <c r="G39" s="997">
        <v>0</v>
      </c>
      <c r="H39" s="997">
        <v>0</v>
      </c>
      <c r="I39" s="997">
        <v>1</v>
      </c>
      <c r="J39" s="1365">
        <v>100</v>
      </c>
      <c r="K39" s="1367">
        <v>100</v>
      </c>
      <c r="L39" s="1368">
        <f t="shared" ref="L39" si="11">J39/K39</f>
        <v>1</v>
      </c>
      <c r="M39" s="1364">
        <v>1</v>
      </c>
      <c r="N39" s="1364" t="s">
        <v>6502</v>
      </c>
      <c r="O39" s="1364" t="s">
        <v>6524</v>
      </c>
      <c r="P39" s="1363" t="s">
        <v>6562</v>
      </c>
      <c r="Q39" s="1361" t="s">
        <v>6563</v>
      </c>
      <c r="R39" s="990"/>
    </row>
    <row r="40" spans="1:18" s="994" customFormat="1" ht="102" customHeight="1" x14ac:dyDescent="0.25">
      <c r="A40" s="1362"/>
      <c r="B40" s="1363"/>
      <c r="C40" s="1363"/>
      <c r="D40" s="1364"/>
      <c r="E40" s="992" t="s">
        <v>6572</v>
      </c>
      <c r="F40" s="997">
        <v>0</v>
      </c>
      <c r="G40" s="997">
        <v>0</v>
      </c>
      <c r="H40" s="997">
        <v>0</v>
      </c>
      <c r="I40" s="997">
        <v>1</v>
      </c>
      <c r="J40" s="1366"/>
      <c r="K40" s="1367"/>
      <c r="L40" s="1369"/>
      <c r="M40" s="1364"/>
      <c r="N40" s="1364"/>
      <c r="O40" s="1364"/>
      <c r="P40" s="1363"/>
      <c r="Q40" s="1361"/>
      <c r="R40" s="990"/>
    </row>
    <row r="41" spans="1:18" s="994" customFormat="1" ht="72" customHeight="1" x14ac:dyDescent="0.25">
      <c r="A41" s="1362" t="s">
        <v>6531</v>
      </c>
      <c r="B41" s="1363" t="s">
        <v>6586</v>
      </c>
      <c r="C41" s="1363" t="s">
        <v>6587</v>
      </c>
      <c r="D41" s="1364" t="s">
        <v>6548</v>
      </c>
      <c r="E41" s="992" t="s">
        <v>6588</v>
      </c>
      <c r="F41" s="997">
        <v>0</v>
      </c>
      <c r="G41" s="997">
        <v>0</v>
      </c>
      <c r="H41" s="997">
        <v>0</v>
      </c>
      <c r="I41" s="997">
        <v>0</v>
      </c>
      <c r="J41" s="1365">
        <v>0</v>
      </c>
      <c r="K41" s="1367">
        <v>88</v>
      </c>
      <c r="L41" s="1368">
        <f t="shared" ref="L41" si="12">J41/K41</f>
        <v>0</v>
      </c>
      <c r="M41" s="1364">
        <v>90</v>
      </c>
      <c r="N41" s="1364" t="s">
        <v>6517</v>
      </c>
      <c r="O41" s="1364" t="s">
        <v>6524</v>
      </c>
      <c r="P41" s="1363" t="s">
        <v>6562</v>
      </c>
      <c r="Q41" s="1361" t="s">
        <v>6582</v>
      </c>
      <c r="R41" s="990"/>
    </row>
    <row r="42" spans="1:18" s="994" customFormat="1" ht="72" customHeight="1" x14ac:dyDescent="0.25">
      <c r="A42" s="1362"/>
      <c r="B42" s="1363"/>
      <c r="C42" s="1363"/>
      <c r="D42" s="1364"/>
      <c r="E42" s="992"/>
      <c r="F42" s="997"/>
      <c r="G42" s="997"/>
      <c r="H42" s="997"/>
      <c r="I42" s="997"/>
      <c r="J42" s="1366"/>
      <c r="K42" s="1367"/>
      <c r="L42" s="1369"/>
      <c r="M42" s="1364"/>
      <c r="N42" s="1364"/>
      <c r="O42" s="1364"/>
      <c r="P42" s="1363"/>
      <c r="Q42" s="1361"/>
      <c r="R42" s="990"/>
    </row>
    <row r="43" spans="1:18" ht="156.75" customHeight="1" x14ac:dyDescent="0.2">
      <c r="A43" s="1360" t="s">
        <v>6589</v>
      </c>
      <c r="B43" s="1360"/>
      <c r="C43" s="1360"/>
      <c r="D43" s="1360"/>
      <c r="E43" s="1360"/>
      <c r="F43" s="1360"/>
      <c r="G43" s="1360"/>
      <c r="H43" s="1360"/>
      <c r="I43" s="1360" t="s">
        <v>6590</v>
      </c>
      <c r="J43" s="1360"/>
      <c r="K43" s="1360"/>
      <c r="L43" s="1360"/>
      <c r="M43" s="1360"/>
      <c r="N43" s="1360"/>
      <c r="O43" s="1360"/>
      <c r="P43" s="1360"/>
      <c r="Q43" s="1360"/>
    </row>
    <row r="46" spans="1:18" x14ac:dyDescent="0.2">
      <c r="N46" s="1003"/>
    </row>
    <row r="50" spans="5:5" x14ac:dyDescent="0.2">
      <c r="E50" s="1004"/>
    </row>
  </sheetData>
  <mergeCells count="217">
    <mergeCell ref="A1:B1"/>
    <mergeCell ref="C1:P1"/>
    <mergeCell ref="A2:B2"/>
    <mergeCell ref="C2:P2"/>
    <mergeCell ref="A3:B3"/>
    <mergeCell ref="C3:Q3"/>
    <mergeCell ref="A4:B4"/>
    <mergeCell ref="C4:Q4"/>
    <mergeCell ref="A5:B5"/>
    <mergeCell ref="C5:Q5"/>
    <mergeCell ref="A7:A8"/>
    <mergeCell ref="B7:B8"/>
    <mergeCell ref="C7:E7"/>
    <mergeCell ref="F7:J7"/>
    <mergeCell ref="K7:K8"/>
    <mergeCell ref="L7:L8"/>
    <mergeCell ref="M7:M8"/>
    <mergeCell ref="N7:N8"/>
    <mergeCell ref="O7:O8"/>
    <mergeCell ref="P7:P8"/>
    <mergeCell ref="Q7:Q8"/>
    <mergeCell ref="A9:A10"/>
    <mergeCell ref="B9:B10"/>
    <mergeCell ref="C9:C10"/>
    <mergeCell ref="D9:D10"/>
    <mergeCell ref="J9:J10"/>
    <mergeCell ref="Q9:Q10"/>
    <mergeCell ref="A11:A14"/>
    <mergeCell ref="B11:B14"/>
    <mergeCell ref="C11:C12"/>
    <mergeCell ref="D11:D12"/>
    <mergeCell ref="J11:J12"/>
    <mergeCell ref="K11:K12"/>
    <mergeCell ref="L11:L12"/>
    <mergeCell ref="M11:M12"/>
    <mergeCell ref="N11:N12"/>
    <mergeCell ref="K9:K10"/>
    <mergeCell ref="L9:L10"/>
    <mergeCell ref="M9:M10"/>
    <mergeCell ref="N9:N10"/>
    <mergeCell ref="O9:O10"/>
    <mergeCell ref="P9:P10"/>
    <mergeCell ref="O11:O12"/>
    <mergeCell ref="P11:P12"/>
    <mergeCell ref="Q11:Q12"/>
    <mergeCell ref="C13:C14"/>
    <mergeCell ref="D13:D14"/>
    <mergeCell ref="J13:J14"/>
    <mergeCell ref="K13:K14"/>
    <mergeCell ref="L13:L14"/>
    <mergeCell ref="M13:M14"/>
    <mergeCell ref="N13:N14"/>
    <mergeCell ref="O13:O14"/>
    <mergeCell ref="P13:P14"/>
    <mergeCell ref="Q13:Q14"/>
    <mergeCell ref="P15:P18"/>
    <mergeCell ref="Q15:Q18"/>
    <mergeCell ref="C17:C18"/>
    <mergeCell ref="D17:D18"/>
    <mergeCell ref="J17:J18"/>
    <mergeCell ref="K17:K18"/>
    <mergeCell ref="L17:L18"/>
    <mergeCell ref="Q19:Q24"/>
    <mergeCell ref="P21:P22"/>
    <mergeCell ref="P19:P20"/>
    <mergeCell ref="L23:L24"/>
    <mergeCell ref="M23:M24"/>
    <mergeCell ref="N23:N24"/>
    <mergeCell ref="O23:O24"/>
    <mergeCell ref="P23:P24"/>
    <mergeCell ref="K23:K24"/>
    <mergeCell ref="C15:C16"/>
    <mergeCell ref="D15:D16"/>
    <mergeCell ref="J15:J16"/>
    <mergeCell ref="K15:K16"/>
    <mergeCell ref="L15:L16"/>
    <mergeCell ref="M15:M16"/>
    <mergeCell ref="N15:N16"/>
    <mergeCell ref="K21:K22"/>
    <mergeCell ref="L21:L22"/>
    <mergeCell ref="M21:M22"/>
    <mergeCell ref="N21:N22"/>
    <mergeCell ref="O21:O22"/>
    <mergeCell ref="M19:M20"/>
    <mergeCell ref="N19:N20"/>
    <mergeCell ref="O19:O20"/>
    <mergeCell ref="O15:O16"/>
    <mergeCell ref="M17:M18"/>
    <mergeCell ref="N17:N18"/>
    <mergeCell ref="O17:O18"/>
    <mergeCell ref="A19:A20"/>
    <mergeCell ref="B19:B20"/>
    <mergeCell ref="C19:C20"/>
    <mergeCell ref="D19:D20"/>
    <mergeCell ref="J19:J20"/>
    <mergeCell ref="K19:K20"/>
    <mergeCell ref="L19:L20"/>
    <mergeCell ref="A15:A18"/>
    <mergeCell ref="B15:B18"/>
    <mergeCell ref="A23:A24"/>
    <mergeCell ref="B23:B24"/>
    <mergeCell ref="C23:C24"/>
    <mergeCell ref="D23:D24"/>
    <mergeCell ref="J23:J24"/>
    <mergeCell ref="A21:A22"/>
    <mergeCell ref="B21:B22"/>
    <mergeCell ref="C21:C22"/>
    <mergeCell ref="D21:D22"/>
    <mergeCell ref="J21:J22"/>
    <mergeCell ref="Q25:Q26"/>
    <mergeCell ref="A27:A28"/>
    <mergeCell ref="B27:B28"/>
    <mergeCell ref="C27:C28"/>
    <mergeCell ref="D27:D28"/>
    <mergeCell ref="J27:J28"/>
    <mergeCell ref="K27:K28"/>
    <mergeCell ref="L27:L28"/>
    <mergeCell ref="M27:M28"/>
    <mergeCell ref="N27:N28"/>
    <mergeCell ref="K25:K26"/>
    <mergeCell ref="L25:L26"/>
    <mergeCell ref="M25:M26"/>
    <mergeCell ref="N25:N26"/>
    <mergeCell ref="O25:O26"/>
    <mergeCell ref="P25:P26"/>
    <mergeCell ref="O27:O28"/>
    <mergeCell ref="P27:P28"/>
    <mergeCell ref="Q27:Q28"/>
    <mergeCell ref="A25:A26"/>
    <mergeCell ref="B25:B26"/>
    <mergeCell ref="C25:C26"/>
    <mergeCell ref="D25:D26"/>
    <mergeCell ref="J25:J26"/>
    <mergeCell ref="A29:A32"/>
    <mergeCell ref="B29:B32"/>
    <mergeCell ref="C29:C30"/>
    <mergeCell ref="D29:D30"/>
    <mergeCell ref="J29:J30"/>
    <mergeCell ref="K29:K30"/>
    <mergeCell ref="L29:L30"/>
    <mergeCell ref="M29:M30"/>
    <mergeCell ref="N29:N30"/>
    <mergeCell ref="O29:O30"/>
    <mergeCell ref="P29:P30"/>
    <mergeCell ref="Q29:Q30"/>
    <mergeCell ref="C31:C32"/>
    <mergeCell ref="D31:D32"/>
    <mergeCell ref="J31:J32"/>
    <mergeCell ref="K31:K32"/>
    <mergeCell ref="L31:L32"/>
    <mergeCell ref="M31:M32"/>
    <mergeCell ref="N31:N32"/>
    <mergeCell ref="O31:O32"/>
    <mergeCell ref="P31:P32"/>
    <mergeCell ref="Q31:Q32"/>
    <mergeCell ref="A33:A34"/>
    <mergeCell ref="B33:B34"/>
    <mergeCell ref="C33:C34"/>
    <mergeCell ref="D33:D34"/>
    <mergeCell ref="J33:J34"/>
    <mergeCell ref="Q33:Q34"/>
    <mergeCell ref="A35:A36"/>
    <mergeCell ref="B35:B36"/>
    <mergeCell ref="C35:C36"/>
    <mergeCell ref="D35:D36"/>
    <mergeCell ref="J35:J36"/>
    <mergeCell ref="K35:K36"/>
    <mergeCell ref="L35:L36"/>
    <mergeCell ref="M35:M36"/>
    <mergeCell ref="N35:N36"/>
    <mergeCell ref="K33:K34"/>
    <mergeCell ref="L33:L34"/>
    <mergeCell ref="M33:M34"/>
    <mergeCell ref="N33:N34"/>
    <mergeCell ref="O33:O34"/>
    <mergeCell ref="P33:P34"/>
    <mergeCell ref="O35:O36"/>
    <mergeCell ref="P35:P36"/>
    <mergeCell ref="Q35:Q36"/>
    <mergeCell ref="O37:O38"/>
    <mergeCell ref="P37:P38"/>
    <mergeCell ref="Q37:Q38"/>
    <mergeCell ref="A39:A40"/>
    <mergeCell ref="B39:B40"/>
    <mergeCell ref="C39:C40"/>
    <mergeCell ref="D39:D40"/>
    <mergeCell ref="J39:J40"/>
    <mergeCell ref="O41:O42"/>
    <mergeCell ref="P41:P42"/>
    <mergeCell ref="Q41:Q42"/>
    <mergeCell ref="A37:A38"/>
    <mergeCell ref="B37:B38"/>
    <mergeCell ref="C37:C38"/>
    <mergeCell ref="D37:D38"/>
    <mergeCell ref="J37:J38"/>
    <mergeCell ref="K37:K38"/>
    <mergeCell ref="L37:L38"/>
    <mergeCell ref="M37:M38"/>
    <mergeCell ref="N37:N38"/>
    <mergeCell ref="A43:H43"/>
    <mergeCell ref="I43:Q43"/>
    <mergeCell ref="Q39:Q40"/>
    <mergeCell ref="A41:A42"/>
    <mergeCell ref="B41:B42"/>
    <mergeCell ref="C41:C42"/>
    <mergeCell ref="D41:D42"/>
    <mergeCell ref="J41:J42"/>
    <mergeCell ref="K41:K42"/>
    <mergeCell ref="L41:L42"/>
    <mergeCell ref="M41:M42"/>
    <mergeCell ref="N41:N42"/>
    <mergeCell ref="K39:K40"/>
    <mergeCell ref="L39:L40"/>
    <mergeCell ref="M39:M40"/>
    <mergeCell ref="N39:N40"/>
    <mergeCell ref="O39:O40"/>
    <mergeCell ref="P39:P40"/>
  </mergeCells>
  <printOptions horizontalCentered="1"/>
  <pageMargins left="0.39370078740157483" right="0.39370078740157483" top="0.78740157480314965" bottom="0.59055118110236227" header="0.19685039370078741" footer="0.31496062992125984"/>
  <pageSetup scale="41" fitToHeight="10" orientation="landscape" r:id="rId1"/>
  <headerFooter>
    <oddHeader>&amp;L&amp;G&amp;C&amp;"-,Negrita"&amp;26Matriz de Indicadores para Resultados&amp;20
&amp;"-,Normal"&amp;24Cuenta Pública 2023&amp;R&amp;G</oddHeader>
    <oddFooter>&amp;R&amp;P / &amp;N</oddFooter>
  </headerFooter>
  <rowBreaks count="1" manualBreakCount="1">
    <brk id="24" max="16" man="1"/>
  </rowBreaks>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0" tint="-4.9989318521683403E-2"/>
  </sheetPr>
  <dimension ref="A1:C508"/>
  <sheetViews>
    <sheetView view="pageBreakPreview" topLeftCell="A484" zoomScale="110" zoomScaleSheetLayoutView="110" workbookViewId="0">
      <selection activeCell="C56" sqref="C56"/>
    </sheetView>
  </sheetViews>
  <sheetFormatPr baseColWidth="10" defaultRowHeight="15" x14ac:dyDescent="0.25"/>
  <cols>
    <col min="1" max="1" width="16.5703125" customWidth="1"/>
    <col min="2" max="2" width="64.42578125" customWidth="1"/>
    <col min="3" max="3" width="38.140625" style="720" customWidth="1"/>
  </cols>
  <sheetData>
    <row r="1" spans="1:3" ht="15.75" x14ac:dyDescent="0.25">
      <c r="A1" s="1128" t="str">
        <f>'CPCA-I-01'!A1:G1</f>
        <v xml:space="preserve">Comision Estatal del Agua </v>
      </c>
      <c r="B1" s="1128">
        <f>'[5]ETCA-I-01'!A1:G1</f>
        <v>0</v>
      </c>
      <c r="C1" s="1128"/>
    </row>
    <row r="2" spans="1:3" ht="15.75" x14ac:dyDescent="0.25">
      <c r="A2" s="1128" t="s">
        <v>1644</v>
      </c>
      <c r="B2" s="1128"/>
      <c r="C2" s="1128"/>
    </row>
    <row r="3" spans="1:3" ht="15.75" x14ac:dyDescent="0.25">
      <c r="A3" s="1128" t="str">
        <f>'CPCA-I-01'!A3:G3</f>
        <v>Al 31 de Diciembre del 2023</v>
      </c>
      <c r="B3" s="1128"/>
      <c r="C3" s="1128"/>
    </row>
    <row r="4" spans="1:3" ht="15.75" thickBot="1" x14ac:dyDescent="0.3"/>
    <row r="5" spans="1:3" x14ac:dyDescent="0.25">
      <c r="A5" s="1395" t="s">
        <v>840</v>
      </c>
      <c r="B5" s="1395" t="s">
        <v>243</v>
      </c>
      <c r="C5" s="735"/>
    </row>
    <row r="6" spans="1:3" x14ac:dyDescent="0.25">
      <c r="A6" s="1396"/>
      <c r="B6" s="1396"/>
      <c r="C6" s="734"/>
    </row>
    <row r="7" spans="1:3" s="725" customFormat="1" x14ac:dyDescent="0.25">
      <c r="A7" s="727">
        <v>1</v>
      </c>
      <c r="B7" s="727" t="s">
        <v>1643</v>
      </c>
      <c r="C7" s="733">
        <f>+C9+C81</f>
        <v>2943478817.1500001</v>
      </c>
    </row>
    <row r="8" spans="1:3" x14ac:dyDescent="0.25">
      <c r="A8" s="722"/>
      <c r="B8" s="722"/>
      <c r="C8" s="723"/>
    </row>
    <row r="9" spans="1:3" x14ac:dyDescent="0.25">
      <c r="A9" s="722">
        <v>1.1000000000000001</v>
      </c>
      <c r="B9" s="722" t="s">
        <v>1642</v>
      </c>
      <c r="C9" s="723">
        <f>+C11+C34+C40+C42+C47+C55+C60+C64+C79</f>
        <v>2943478817.1500001</v>
      </c>
    </row>
    <row r="10" spans="1:3" x14ac:dyDescent="0.25">
      <c r="A10" s="722"/>
      <c r="B10" s="722"/>
      <c r="C10" s="723"/>
    </row>
    <row r="11" spans="1:3" x14ac:dyDescent="0.25">
      <c r="A11" s="722" t="s">
        <v>1641</v>
      </c>
      <c r="B11" s="722" t="s">
        <v>196</v>
      </c>
      <c r="C11" s="723">
        <f>+C12+C18+C20+C21+C26+C29+C30+C31+C32</f>
        <v>0</v>
      </c>
    </row>
    <row r="12" spans="1:3" x14ac:dyDescent="0.25">
      <c r="A12" s="722" t="s">
        <v>1640</v>
      </c>
      <c r="B12" s="722" t="s">
        <v>1639</v>
      </c>
      <c r="C12" s="721">
        <f>+C13+C15+C17</f>
        <v>0</v>
      </c>
    </row>
    <row r="13" spans="1:3" x14ac:dyDescent="0.25">
      <c r="A13" s="724" t="s">
        <v>1638</v>
      </c>
      <c r="B13" s="732" t="s">
        <v>1637</v>
      </c>
      <c r="C13" s="723">
        <f>+C14</f>
        <v>0</v>
      </c>
    </row>
    <row r="14" spans="1:3" x14ac:dyDescent="0.25">
      <c r="A14" s="724" t="s">
        <v>1636</v>
      </c>
      <c r="B14" s="724" t="s">
        <v>1632</v>
      </c>
      <c r="C14" s="723">
        <v>0</v>
      </c>
    </row>
    <row r="15" spans="1:3" x14ac:dyDescent="0.25">
      <c r="A15" s="724" t="s">
        <v>1635</v>
      </c>
      <c r="B15" s="732" t="s">
        <v>1634</v>
      </c>
      <c r="C15" s="723">
        <f>+C16</f>
        <v>0</v>
      </c>
    </row>
    <row r="16" spans="1:3" x14ac:dyDescent="0.25">
      <c r="A16" s="724" t="s">
        <v>1633</v>
      </c>
      <c r="B16" s="724" t="s">
        <v>1632</v>
      </c>
      <c r="C16" s="723">
        <v>0</v>
      </c>
    </row>
    <row r="17" spans="1:3" x14ac:dyDescent="0.25">
      <c r="A17" s="724" t="s">
        <v>1631</v>
      </c>
      <c r="B17" s="732" t="s">
        <v>1630</v>
      </c>
      <c r="C17" s="723">
        <v>0</v>
      </c>
    </row>
    <row r="18" spans="1:3" x14ac:dyDescent="0.25">
      <c r="A18" s="722" t="s">
        <v>1629</v>
      </c>
      <c r="B18" s="722" t="s">
        <v>1628</v>
      </c>
      <c r="C18" s="721">
        <f>+C19</f>
        <v>0</v>
      </c>
    </row>
    <row r="19" spans="1:3" x14ac:dyDescent="0.25">
      <c r="A19" s="724" t="s">
        <v>1627</v>
      </c>
      <c r="B19" s="724" t="s">
        <v>1626</v>
      </c>
      <c r="C19" s="723">
        <v>0</v>
      </c>
    </row>
    <row r="20" spans="1:3" x14ac:dyDescent="0.25">
      <c r="A20" s="722" t="s">
        <v>1625</v>
      </c>
      <c r="B20" s="722" t="s">
        <v>1624</v>
      </c>
      <c r="C20" s="723"/>
    </row>
    <row r="21" spans="1:3" x14ac:dyDescent="0.25">
      <c r="A21" s="722" t="s">
        <v>1623</v>
      </c>
      <c r="B21" s="722" t="s">
        <v>1622</v>
      </c>
      <c r="C21" s="721">
        <f>+C22</f>
        <v>0</v>
      </c>
    </row>
    <row r="22" spans="1:3" x14ac:dyDescent="0.25">
      <c r="A22" s="724" t="s">
        <v>1621</v>
      </c>
      <c r="B22" s="724" t="s">
        <v>1620</v>
      </c>
      <c r="C22" s="728">
        <f>+C23+C24+C25</f>
        <v>0</v>
      </c>
    </row>
    <row r="23" spans="1:3" x14ac:dyDescent="0.25">
      <c r="A23" s="724" t="s">
        <v>1619</v>
      </c>
      <c r="B23" s="724" t="s">
        <v>1618</v>
      </c>
      <c r="C23" s="723">
        <v>0</v>
      </c>
    </row>
    <row r="24" spans="1:3" x14ac:dyDescent="0.25">
      <c r="A24" s="724" t="s">
        <v>1617</v>
      </c>
      <c r="B24" s="724" t="s">
        <v>1616</v>
      </c>
      <c r="C24" s="723">
        <v>0</v>
      </c>
    </row>
    <row r="25" spans="1:3" x14ac:dyDescent="0.25">
      <c r="A25" s="724" t="s">
        <v>1615</v>
      </c>
      <c r="B25" s="724" t="s">
        <v>1614</v>
      </c>
      <c r="C25" s="723">
        <v>0</v>
      </c>
    </row>
    <row r="26" spans="1:3" ht="24" x14ac:dyDescent="0.25">
      <c r="A26" s="722" t="s">
        <v>1613</v>
      </c>
      <c r="B26" s="722" t="s">
        <v>1612</v>
      </c>
      <c r="C26" s="721">
        <f>+C27+C28</f>
        <v>0</v>
      </c>
    </row>
    <row r="27" spans="1:3" x14ac:dyDescent="0.25">
      <c r="A27" s="724" t="s">
        <v>1611</v>
      </c>
      <c r="B27" s="724" t="s">
        <v>1610</v>
      </c>
      <c r="C27" s="723">
        <v>0</v>
      </c>
    </row>
    <row r="28" spans="1:3" x14ac:dyDescent="0.25">
      <c r="A28" s="724" t="s">
        <v>1609</v>
      </c>
      <c r="B28" s="724" t="s">
        <v>1608</v>
      </c>
      <c r="C28" s="723">
        <v>0</v>
      </c>
    </row>
    <row r="29" spans="1:3" x14ac:dyDescent="0.25">
      <c r="A29" s="722" t="s">
        <v>1607</v>
      </c>
      <c r="B29" s="722" t="s">
        <v>1606</v>
      </c>
      <c r="C29" s="723">
        <v>0</v>
      </c>
    </row>
    <row r="30" spans="1:3" x14ac:dyDescent="0.25">
      <c r="A30" s="722" t="s">
        <v>1605</v>
      </c>
      <c r="B30" s="722" t="s">
        <v>1604</v>
      </c>
      <c r="C30" s="723">
        <v>0</v>
      </c>
    </row>
    <row r="31" spans="1:3" x14ac:dyDescent="0.25">
      <c r="A31" s="722" t="s">
        <v>1603</v>
      </c>
      <c r="B31" s="722" t="s">
        <v>1602</v>
      </c>
      <c r="C31" s="723">
        <v>0</v>
      </c>
    </row>
    <row r="32" spans="1:3" x14ac:dyDescent="0.25">
      <c r="A32" s="722" t="s">
        <v>1601</v>
      </c>
      <c r="B32" s="722" t="s">
        <v>1600</v>
      </c>
      <c r="C32" s="723">
        <v>0</v>
      </c>
    </row>
    <row r="33" spans="1:3" x14ac:dyDescent="0.25">
      <c r="A33" s="722"/>
      <c r="B33" s="722"/>
      <c r="C33" s="723"/>
    </row>
    <row r="34" spans="1:3" x14ac:dyDescent="0.25">
      <c r="A34" s="722" t="s">
        <v>1599</v>
      </c>
      <c r="B34" s="722" t="s">
        <v>1598</v>
      </c>
      <c r="C34" s="723">
        <f>+C35+C36+C38+C37</f>
        <v>0</v>
      </c>
    </row>
    <row r="35" spans="1:3" x14ac:dyDescent="0.25">
      <c r="A35" s="724" t="s">
        <v>1597</v>
      </c>
      <c r="B35" s="724" t="s">
        <v>1596</v>
      </c>
      <c r="C35" s="723">
        <v>0</v>
      </c>
    </row>
    <row r="36" spans="1:3" x14ac:dyDescent="0.25">
      <c r="A36" s="724" t="s">
        <v>1595</v>
      </c>
      <c r="B36" s="724" t="s">
        <v>1594</v>
      </c>
      <c r="C36" s="723">
        <v>0</v>
      </c>
    </row>
    <row r="37" spans="1:3" x14ac:dyDescent="0.25">
      <c r="A37" s="724" t="s">
        <v>1593</v>
      </c>
      <c r="B37" s="724" t="s">
        <v>1592</v>
      </c>
      <c r="C37" s="723">
        <v>0</v>
      </c>
    </row>
    <row r="38" spans="1:3" x14ac:dyDescent="0.25">
      <c r="A38" s="724" t="s">
        <v>1591</v>
      </c>
      <c r="B38" s="724" t="s">
        <v>1590</v>
      </c>
      <c r="C38" s="723">
        <v>0</v>
      </c>
    </row>
    <row r="39" spans="1:3" x14ac:dyDescent="0.25">
      <c r="A39" s="724"/>
      <c r="B39" s="724"/>
      <c r="C39" s="723"/>
    </row>
    <row r="40" spans="1:3" x14ac:dyDescent="0.25">
      <c r="A40" s="722" t="s">
        <v>1589</v>
      </c>
      <c r="B40" s="722" t="s">
        <v>390</v>
      </c>
      <c r="C40" s="723">
        <v>0</v>
      </c>
    </row>
    <row r="41" spans="1:3" x14ac:dyDescent="0.25">
      <c r="A41" s="722"/>
      <c r="B41" s="722"/>
      <c r="C41" s="723"/>
    </row>
    <row r="42" spans="1:3" x14ac:dyDescent="0.25">
      <c r="A42" s="722" t="s">
        <v>1588</v>
      </c>
      <c r="B42" s="722" t="s">
        <v>1587</v>
      </c>
      <c r="C42" s="723">
        <f>+C43+C44+C45</f>
        <v>17883398.410000004</v>
      </c>
    </row>
    <row r="43" spans="1:3" x14ac:dyDescent="0.25">
      <c r="A43" s="724" t="s">
        <v>1586</v>
      </c>
      <c r="B43" s="724" t="s">
        <v>1585</v>
      </c>
      <c r="C43" s="723">
        <v>0</v>
      </c>
    </row>
    <row r="44" spans="1:3" x14ac:dyDescent="0.25">
      <c r="A44" s="724" t="s">
        <v>1584</v>
      </c>
      <c r="B44" s="724" t="s">
        <v>1583</v>
      </c>
      <c r="C44" s="723">
        <f>'CPCA-II-01'!G13</f>
        <v>17883398.410000004</v>
      </c>
    </row>
    <row r="45" spans="1:3" x14ac:dyDescent="0.25">
      <c r="A45" s="724" t="s">
        <v>1582</v>
      </c>
      <c r="B45" s="724" t="s">
        <v>1581</v>
      </c>
      <c r="C45" s="723">
        <v>0</v>
      </c>
    </row>
    <row r="46" spans="1:3" x14ac:dyDescent="0.25">
      <c r="A46" s="724"/>
      <c r="B46" s="724"/>
      <c r="C46" s="723"/>
    </row>
    <row r="47" spans="1:3" x14ac:dyDescent="0.25">
      <c r="A47" s="722" t="s">
        <v>1580</v>
      </c>
      <c r="B47" s="722" t="s">
        <v>1579</v>
      </c>
      <c r="C47" s="723">
        <f>+C48+C51+C52+C53</f>
        <v>0</v>
      </c>
    </row>
    <row r="48" spans="1:3" x14ac:dyDescent="0.25">
      <c r="A48" s="724" t="s">
        <v>1578</v>
      </c>
      <c r="B48" s="724" t="s">
        <v>1449</v>
      </c>
      <c r="C48" s="723">
        <f>+C49+C50</f>
        <v>0</v>
      </c>
    </row>
    <row r="49" spans="1:3" x14ac:dyDescent="0.25">
      <c r="A49" s="724" t="s">
        <v>1577</v>
      </c>
      <c r="B49" s="724" t="s">
        <v>1031</v>
      </c>
      <c r="C49" s="723">
        <v>0</v>
      </c>
    </row>
    <row r="50" spans="1:3" x14ac:dyDescent="0.25">
      <c r="A50" s="724" t="s">
        <v>1576</v>
      </c>
      <c r="B50" s="724" t="s">
        <v>1029</v>
      </c>
      <c r="C50" s="723">
        <v>0</v>
      </c>
    </row>
    <row r="51" spans="1:3" x14ac:dyDescent="0.25">
      <c r="A51" s="724" t="s">
        <v>1575</v>
      </c>
      <c r="B51" s="724" t="s">
        <v>1441</v>
      </c>
      <c r="C51" s="723">
        <v>0</v>
      </c>
    </row>
    <row r="52" spans="1:3" x14ac:dyDescent="0.25">
      <c r="A52" s="724" t="s">
        <v>1574</v>
      </c>
      <c r="B52" s="724" t="s">
        <v>1573</v>
      </c>
      <c r="C52" s="723">
        <v>0</v>
      </c>
    </row>
    <row r="53" spans="1:3" x14ac:dyDescent="0.25">
      <c r="A53" s="724" t="s">
        <v>1572</v>
      </c>
      <c r="B53" s="724" t="s">
        <v>1571</v>
      </c>
      <c r="C53" s="723">
        <v>0</v>
      </c>
    </row>
    <row r="54" spans="1:3" x14ac:dyDescent="0.25">
      <c r="A54" s="724"/>
      <c r="B54" s="724"/>
      <c r="C54" s="723"/>
    </row>
    <row r="55" spans="1:3" ht="24" x14ac:dyDescent="0.25">
      <c r="A55" s="722" t="s">
        <v>1570</v>
      </c>
      <c r="B55" s="722" t="s">
        <v>1569</v>
      </c>
      <c r="C55" s="721">
        <f>+C56+C57+C58</f>
        <v>232326347.48000002</v>
      </c>
    </row>
    <row r="56" spans="1:3" x14ac:dyDescent="0.25">
      <c r="A56" s="724" t="s">
        <v>1568</v>
      </c>
      <c r="B56" s="724" t="s">
        <v>1567</v>
      </c>
      <c r="C56" s="723">
        <v>0</v>
      </c>
    </row>
    <row r="57" spans="1:3" x14ac:dyDescent="0.25">
      <c r="A57" s="724" t="s">
        <v>1566</v>
      </c>
      <c r="B57" s="724" t="s">
        <v>1565</v>
      </c>
      <c r="C57" s="723">
        <v>0</v>
      </c>
    </row>
    <row r="58" spans="1:3" x14ac:dyDescent="0.25">
      <c r="A58" s="724" t="s">
        <v>1564</v>
      </c>
      <c r="B58" s="724" t="s">
        <v>1563</v>
      </c>
      <c r="C58" s="728">
        <f>'CPCA-II-01'!G15</f>
        <v>232326347.48000002</v>
      </c>
    </row>
    <row r="59" spans="1:3" x14ac:dyDescent="0.25">
      <c r="A59" s="724"/>
      <c r="B59" s="724"/>
      <c r="C59" s="728"/>
    </row>
    <row r="60" spans="1:3" x14ac:dyDescent="0.25">
      <c r="A60" s="722" t="s">
        <v>1562</v>
      </c>
      <c r="B60" s="722" t="s">
        <v>1561</v>
      </c>
      <c r="C60" s="721">
        <f>+C61+C62</f>
        <v>0</v>
      </c>
    </row>
    <row r="61" spans="1:3" ht="24" x14ac:dyDescent="0.25">
      <c r="A61" s="724" t="s">
        <v>1560</v>
      </c>
      <c r="B61" s="724" t="s">
        <v>1559</v>
      </c>
      <c r="C61" s="723">
        <v>0</v>
      </c>
    </row>
    <row r="62" spans="1:3" ht="24" x14ac:dyDescent="0.25">
      <c r="A62" s="724" t="s">
        <v>1558</v>
      </c>
      <c r="B62" s="724" t="s">
        <v>1557</v>
      </c>
      <c r="C62" s="723">
        <v>0</v>
      </c>
    </row>
    <row r="63" spans="1:3" x14ac:dyDescent="0.25">
      <c r="A63" s="724"/>
      <c r="B63" s="724"/>
      <c r="C63" s="723"/>
    </row>
    <row r="64" spans="1:3" x14ac:dyDescent="0.25">
      <c r="A64" s="722" t="s">
        <v>1556</v>
      </c>
      <c r="B64" s="722" t="s">
        <v>1555</v>
      </c>
      <c r="C64" s="721">
        <f>+C65+C66+C74</f>
        <v>2693269071.2600002</v>
      </c>
    </row>
    <row r="65" spans="1:3" x14ac:dyDescent="0.25">
      <c r="A65" s="724" t="s">
        <v>1554</v>
      </c>
      <c r="B65" s="724" t="s">
        <v>1508</v>
      </c>
      <c r="C65" s="728">
        <v>0</v>
      </c>
    </row>
    <row r="66" spans="1:3" x14ac:dyDescent="0.25">
      <c r="A66" s="724" t="s">
        <v>1553</v>
      </c>
      <c r="B66" s="724" t="s">
        <v>1506</v>
      </c>
      <c r="C66" s="723">
        <f>+C67+C72+C73</f>
        <v>2693269071.2600002</v>
      </c>
    </row>
    <row r="67" spans="1:3" x14ac:dyDescent="0.25">
      <c r="A67" s="724" t="s">
        <v>1552</v>
      </c>
      <c r="B67" s="724" t="s">
        <v>1551</v>
      </c>
      <c r="C67" s="723">
        <f>+C68+C69+C70+C71</f>
        <v>511154850.60000002</v>
      </c>
    </row>
    <row r="68" spans="1:3" x14ac:dyDescent="0.25">
      <c r="A68" s="724" t="s">
        <v>1550</v>
      </c>
      <c r="B68" s="724" t="s">
        <v>1282</v>
      </c>
      <c r="C68" s="723">
        <f>'CPCA-II-01'!F17</f>
        <v>511154850.60000002</v>
      </c>
    </row>
    <row r="69" spans="1:3" x14ac:dyDescent="0.25">
      <c r="A69" s="724" t="s">
        <v>1549</v>
      </c>
      <c r="B69" s="724" t="s">
        <v>1408</v>
      </c>
      <c r="C69" s="723">
        <v>0</v>
      </c>
    </row>
    <row r="70" spans="1:3" x14ac:dyDescent="0.25">
      <c r="A70" s="724" t="s">
        <v>1548</v>
      </c>
      <c r="B70" s="724" t="s">
        <v>217</v>
      </c>
      <c r="C70" s="723">
        <v>0</v>
      </c>
    </row>
    <row r="71" spans="1:3" x14ac:dyDescent="0.25">
      <c r="A71" s="724" t="s">
        <v>1547</v>
      </c>
      <c r="B71" s="724" t="s">
        <v>1404</v>
      </c>
      <c r="C71" s="723">
        <v>0</v>
      </c>
    </row>
    <row r="72" spans="1:3" x14ac:dyDescent="0.25">
      <c r="A72" s="724" t="s">
        <v>1546</v>
      </c>
      <c r="B72" s="724" t="s">
        <v>1498</v>
      </c>
      <c r="C72" s="729">
        <f>'CPCA-II-01'!F16</f>
        <v>2182114220.6600003</v>
      </c>
    </row>
    <row r="73" spans="1:3" x14ac:dyDescent="0.25">
      <c r="A73" s="724" t="s">
        <v>1545</v>
      </c>
      <c r="B73" s="724" t="s">
        <v>1496</v>
      </c>
      <c r="C73" s="723">
        <v>0</v>
      </c>
    </row>
    <row r="74" spans="1:3" x14ac:dyDescent="0.25">
      <c r="A74" s="724" t="s">
        <v>1544</v>
      </c>
      <c r="B74" s="724" t="s">
        <v>1494</v>
      </c>
      <c r="C74" s="723">
        <f>+C75+C76+C77</f>
        <v>0</v>
      </c>
    </row>
    <row r="75" spans="1:3" x14ac:dyDescent="0.25">
      <c r="A75" s="724" t="s">
        <v>1543</v>
      </c>
      <c r="B75" s="724" t="s">
        <v>1492</v>
      </c>
      <c r="C75" s="723">
        <v>0</v>
      </c>
    </row>
    <row r="76" spans="1:3" x14ac:dyDescent="0.25">
      <c r="A76" s="724" t="s">
        <v>1542</v>
      </c>
      <c r="B76" s="724" t="s">
        <v>1490</v>
      </c>
      <c r="C76" s="723">
        <v>0</v>
      </c>
    </row>
    <row r="77" spans="1:3" x14ac:dyDescent="0.25">
      <c r="A77" s="724" t="s">
        <v>1541</v>
      </c>
      <c r="B77" s="724" t="s">
        <v>1488</v>
      </c>
      <c r="C77" s="723">
        <v>0</v>
      </c>
    </row>
    <row r="78" spans="1:3" x14ac:dyDescent="0.25">
      <c r="A78" s="724"/>
      <c r="B78" s="724"/>
      <c r="C78" s="723"/>
    </row>
    <row r="79" spans="1:3" x14ac:dyDescent="0.25">
      <c r="A79" s="722" t="s">
        <v>1540</v>
      </c>
      <c r="B79" s="722" t="s">
        <v>223</v>
      </c>
      <c r="C79" s="723">
        <v>0</v>
      </c>
    </row>
    <row r="80" spans="1:3" x14ac:dyDescent="0.25">
      <c r="A80" s="724"/>
      <c r="B80" s="724"/>
      <c r="C80" s="723"/>
    </row>
    <row r="81" spans="1:3" x14ac:dyDescent="0.25">
      <c r="A81" s="722">
        <v>1.2</v>
      </c>
      <c r="B81" s="722" t="s">
        <v>1539</v>
      </c>
      <c r="C81" s="723">
        <f>+C83+C88+C98+C104+C120</f>
        <v>0</v>
      </c>
    </row>
    <row r="82" spans="1:3" x14ac:dyDescent="0.25">
      <c r="A82" s="722"/>
      <c r="B82" s="722"/>
      <c r="C82" s="723"/>
    </row>
    <row r="83" spans="1:3" x14ac:dyDescent="0.25">
      <c r="A83" s="722" t="s">
        <v>1538</v>
      </c>
      <c r="B83" s="722" t="s">
        <v>1537</v>
      </c>
      <c r="C83" s="723">
        <f>+C84+C85+C86</f>
        <v>0</v>
      </c>
    </row>
    <row r="84" spans="1:3" x14ac:dyDescent="0.25">
      <c r="A84" s="724" t="s">
        <v>1536</v>
      </c>
      <c r="B84" s="724" t="s">
        <v>1535</v>
      </c>
      <c r="C84" s="723">
        <v>0</v>
      </c>
    </row>
    <row r="85" spans="1:3" x14ac:dyDescent="0.25">
      <c r="A85" s="724" t="s">
        <v>1534</v>
      </c>
      <c r="B85" s="724" t="s">
        <v>1533</v>
      </c>
      <c r="C85" s="723">
        <v>0</v>
      </c>
    </row>
    <row r="86" spans="1:3" x14ac:dyDescent="0.25">
      <c r="A86" s="724" t="s">
        <v>1532</v>
      </c>
      <c r="B86" s="724" t="s">
        <v>1531</v>
      </c>
      <c r="C86" s="723">
        <v>0</v>
      </c>
    </row>
    <row r="87" spans="1:3" x14ac:dyDescent="0.25">
      <c r="A87" s="722"/>
      <c r="B87" s="722"/>
      <c r="C87" s="721"/>
    </row>
    <row r="88" spans="1:3" x14ac:dyDescent="0.25">
      <c r="A88" s="722" t="s">
        <v>1530</v>
      </c>
      <c r="B88" s="722" t="s">
        <v>1529</v>
      </c>
      <c r="C88" s="731">
        <f>+C89+C90+C91+C92+C93+C94+C95</f>
        <v>0</v>
      </c>
    </row>
    <row r="89" spans="1:3" x14ac:dyDescent="0.25">
      <c r="A89" s="724" t="s">
        <v>1528</v>
      </c>
      <c r="B89" s="724" t="s">
        <v>211</v>
      </c>
      <c r="C89" s="723">
        <v>0</v>
      </c>
    </row>
    <row r="90" spans="1:3" x14ac:dyDescent="0.25">
      <c r="A90" s="724" t="s">
        <v>1527</v>
      </c>
      <c r="B90" s="724" t="s">
        <v>1341</v>
      </c>
      <c r="C90" s="723">
        <v>0</v>
      </c>
    </row>
    <row r="91" spans="1:3" x14ac:dyDescent="0.25">
      <c r="A91" s="724" t="s">
        <v>1526</v>
      </c>
      <c r="B91" s="724" t="s">
        <v>1339</v>
      </c>
      <c r="C91" s="723">
        <v>0</v>
      </c>
    </row>
    <row r="92" spans="1:3" x14ac:dyDescent="0.25">
      <c r="A92" s="724" t="s">
        <v>1525</v>
      </c>
      <c r="B92" s="724" t="s">
        <v>1337</v>
      </c>
      <c r="C92" s="723">
        <v>0</v>
      </c>
    </row>
    <row r="93" spans="1:3" x14ac:dyDescent="0.25">
      <c r="A93" s="724" t="s">
        <v>1524</v>
      </c>
      <c r="B93" s="724" t="s">
        <v>1523</v>
      </c>
      <c r="C93" s="723">
        <v>0</v>
      </c>
    </row>
    <row r="94" spans="1:3" x14ac:dyDescent="0.25">
      <c r="A94" s="724" t="s">
        <v>1522</v>
      </c>
      <c r="B94" s="724" t="s">
        <v>1521</v>
      </c>
      <c r="C94" s="723">
        <v>0</v>
      </c>
    </row>
    <row r="95" spans="1:3" x14ac:dyDescent="0.25">
      <c r="A95" s="1393" t="s">
        <v>1520</v>
      </c>
      <c r="B95" s="1393" t="s">
        <v>1519</v>
      </c>
      <c r="C95" s="723">
        <v>0</v>
      </c>
    </row>
    <row r="96" spans="1:3" x14ac:dyDescent="0.25">
      <c r="A96" s="1393"/>
      <c r="B96" s="1393"/>
      <c r="C96" s="723"/>
    </row>
    <row r="97" spans="1:3" x14ac:dyDescent="0.25">
      <c r="A97" s="722"/>
      <c r="B97" s="722"/>
      <c r="C97" s="721"/>
    </row>
    <row r="98" spans="1:3" ht="24" x14ac:dyDescent="0.25">
      <c r="A98" s="722" t="s">
        <v>1518</v>
      </c>
      <c r="B98" s="722" t="s">
        <v>1517</v>
      </c>
      <c r="C98" s="730">
        <f>+C99+C100+C101+C102</f>
        <v>0</v>
      </c>
    </row>
    <row r="99" spans="1:3" x14ac:dyDescent="0.25">
      <c r="A99" s="724" t="s">
        <v>1516</v>
      </c>
      <c r="B99" s="724" t="s">
        <v>1459</v>
      </c>
      <c r="C99" s="729">
        <v>0</v>
      </c>
    </row>
    <row r="100" spans="1:3" x14ac:dyDescent="0.25">
      <c r="A100" s="724" t="s">
        <v>1515</v>
      </c>
      <c r="B100" s="724" t="s">
        <v>1457</v>
      </c>
      <c r="C100" s="723">
        <v>0</v>
      </c>
    </row>
    <row r="101" spans="1:3" x14ac:dyDescent="0.25">
      <c r="A101" s="724" t="s">
        <v>1514</v>
      </c>
      <c r="B101" s="724" t="s">
        <v>1513</v>
      </c>
      <c r="C101" s="723">
        <v>0</v>
      </c>
    </row>
    <row r="102" spans="1:3" x14ac:dyDescent="0.25">
      <c r="A102" s="724" t="s">
        <v>1512</v>
      </c>
      <c r="B102" s="724" t="s">
        <v>233</v>
      </c>
      <c r="C102" s="723">
        <v>0</v>
      </c>
    </row>
    <row r="103" spans="1:3" x14ac:dyDescent="0.25">
      <c r="A103" s="724"/>
      <c r="B103" s="724"/>
      <c r="C103" s="723"/>
    </row>
    <row r="104" spans="1:3" x14ac:dyDescent="0.25">
      <c r="A104" s="722" t="s">
        <v>1511</v>
      </c>
      <c r="B104" s="722" t="s">
        <v>1510</v>
      </c>
      <c r="C104" s="721">
        <f>+C105+C107+C115</f>
        <v>0</v>
      </c>
    </row>
    <row r="105" spans="1:3" x14ac:dyDescent="0.25">
      <c r="A105" s="1393" t="s">
        <v>1509</v>
      </c>
      <c r="B105" s="1393" t="s">
        <v>1508</v>
      </c>
      <c r="C105" s="728">
        <v>0</v>
      </c>
    </row>
    <row r="106" spans="1:3" x14ac:dyDescent="0.25">
      <c r="A106" s="1393"/>
      <c r="B106" s="1393"/>
      <c r="C106" s="723">
        <v>0</v>
      </c>
    </row>
    <row r="107" spans="1:3" x14ac:dyDescent="0.25">
      <c r="A107" s="724" t="s">
        <v>1507</v>
      </c>
      <c r="B107" s="724" t="s">
        <v>1506</v>
      </c>
      <c r="C107" s="723">
        <f>+C108+C113+C114</f>
        <v>0</v>
      </c>
    </row>
    <row r="108" spans="1:3" x14ac:dyDescent="0.25">
      <c r="A108" s="724" t="s">
        <v>1505</v>
      </c>
      <c r="B108" s="724" t="s">
        <v>1504</v>
      </c>
      <c r="C108" s="723">
        <f>+C109+C110+C111+C112</f>
        <v>0</v>
      </c>
    </row>
    <row r="109" spans="1:3" x14ac:dyDescent="0.25">
      <c r="A109" s="724" t="s">
        <v>1503</v>
      </c>
      <c r="B109" s="724" t="s">
        <v>1282</v>
      </c>
      <c r="C109" s="723">
        <v>0</v>
      </c>
    </row>
    <row r="110" spans="1:3" x14ac:dyDescent="0.25">
      <c r="A110" s="724" t="s">
        <v>1502</v>
      </c>
      <c r="B110" s="724" t="s">
        <v>1408</v>
      </c>
      <c r="C110" s="723">
        <v>0</v>
      </c>
    </row>
    <row r="111" spans="1:3" x14ac:dyDescent="0.25">
      <c r="A111" s="724" t="s">
        <v>1501</v>
      </c>
      <c r="B111" s="724" t="s">
        <v>217</v>
      </c>
      <c r="C111" s="723">
        <v>0</v>
      </c>
    </row>
    <row r="112" spans="1:3" x14ac:dyDescent="0.25">
      <c r="A112" s="724" t="s">
        <v>1500</v>
      </c>
      <c r="B112" s="724" t="s">
        <v>1404</v>
      </c>
      <c r="C112" s="723">
        <v>0</v>
      </c>
    </row>
    <row r="113" spans="1:3" x14ac:dyDescent="0.25">
      <c r="A113" s="724" t="s">
        <v>1499</v>
      </c>
      <c r="B113" s="724" t="s">
        <v>1498</v>
      </c>
      <c r="C113" s="723">
        <v>0</v>
      </c>
    </row>
    <row r="114" spans="1:3" x14ac:dyDescent="0.25">
      <c r="A114" s="724" t="s">
        <v>1497</v>
      </c>
      <c r="B114" s="724" t="s">
        <v>1496</v>
      </c>
      <c r="C114" s="723">
        <v>0</v>
      </c>
    </row>
    <row r="115" spans="1:3" x14ac:dyDescent="0.25">
      <c r="A115" s="724" t="s">
        <v>1495</v>
      </c>
      <c r="B115" s="724" t="s">
        <v>1494</v>
      </c>
      <c r="C115" s="723">
        <f>+C116+C117+C118</f>
        <v>0</v>
      </c>
    </row>
    <row r="116" spans="1:3" x14ac:dyDescent="0.25">
      <c r="A116" s="724" t="s">
        <v>1493</v>
      </c>
      <c r="B116" s="724" t="s">
        <v>1492</v>
      </c>
      <c r="C116" s="723">
        <v>0</v>
      </c>
    </row>
    <row r="117" spans="1:3" x14ac:dyDescent="0.25">
      <c r="A117" s="724" t="s">
        <v>1491</v>
      </c>
      <c r="B117" s="724" t="s">
        <v>1490</v>
      </c>
      <c r="C117" s="723">
        <v>0</v>
      </c>
    </row>
    <row r="118" spans="1:3" x14ac:dyDescent="0.25">
      <c r="A118" s="724" t="s">
        <v>1489</v>
      </c>
      <c r="B118" s="724" t="s">
        <v>1488</v>
      </c>
      <c r="C118" s="723">
        <v>0</v>
      </c>
    </row>
    <row r="119" spans="1:3" x14ac:dyDescent="0.25">
      <c r="A119" s="722"/>
      <c r="B119" s="722"/>
      <c r="C119" s="721"/>
    </row>
    <row r="120" spans="1:3" x14ac:dyDescent="0.25">
      <c r="A120" s="722" t="s">
        <v>1487</v>
      </c>
      <c r="B120" s="722" t="s">
        <v>1486</v>
      </c>
      <c r="C120" s="723">
        <f>+C121+C122+C123+C124</f>
        <v>0</v>
      </c>
    </row>
    <row r="121" spans="1:3" ht="24" x14ac:dyDescent="0.25">
      <c r="A121" s="724" t="s">
        <v>1485</v>
      </c>
      <c r="B121" s="724" t="s">
        <v>1484</v>
      </c>
      <c r="C121" s="723">
        <v>0</v>
      </c>
    </row>
    <row r="122" spans="1:3" x14ac:dyDescent="0.25">
      <c r="A122" s="724" t="s">
        <v>1483</v>
      </c>
      <c r="B122" s="724" t="s">
        <v>1482</v>
      </c>
      <c r="C122" s="723">
        <v>0</v>
      </c>
    </row>
    <row r="123" spans="1:3" x14ac:dyDescent="0.25">
      <c r="A123" s="724" t="s">
        <v>1481</v>
      </c>
      <c r="B123" s="724" t="s">
        <v>1480</v>
      </c>
      <c r="C123" s="723">
        <v>0</v>
      </c>
    </row>
    <row r="124" spans="1:3" x14ac:dyDescent="0.25">
      <c r="A124" s="724" t="s">
        <v>1479</v>
      </c>
      <c r="B124" s="724" t="s">
        <v>1478</v>
      </c>
      <c r="C124" s="723">
        <v>0</v>
      </c>
    </row>
    <row r="125" spans="1:3" x14ac:dyDescent="0.25">
      <c r="A125" s="722"/>
      <c r="B125" s="722"/>
      <c r="C125" s="721"/>
    </row>
    <row r="126" spans="1:3" x14ac:dyDescent="0.25">
      <c r="A126" s="722"/>
      <c r="B126" s="722" t="s">
        <v>1477</v>
      </c>
      <c r="C126" s="723">
        <f>+C7</f>
        <v>2943478817.1500001</v>
      </c>
    </row>
    <row r="127" spans="1:3" x14ac:dyDescent="0.25">
      <c r="A127" s="722"/>
      <c r="B127" s="722"/>
      <c r="C127" s="721"/>
    </row>
    <row r="128" spans="1:3" s="725" customFormat="1" x14ac:dyDescent="0.25">
      <c r="A128" s="727">
        <v>2</v>
      </c>
      <c r="B128" s="727" t="s">
        <v>1476</v>
      </c>
      <c r="C128" s="726">
        <f>+C130+C192</f>
        <v>998165097.19999993</v>
      </c>
    </row>
    <row r="129" spans="1:3" x14ac:dyDescent="0.25">
      <c r="A129" s="722"/>
      <c r="B129" s="722"/>
      <c r="C129" s="721"/>
    </row>
    <row r="130" spans="1:3" x14ac:dyDescent="0.25">
      <c r="A130" s="722">
        <v>2.1</v>
      </c>
      <c r="B130" s="722" t="s">
        <v>1475</v>
      </c>
      <c r="C130" s="721">
        <f>+C131+C142+C144+C152+C160+C182+C184+C186</f>
        <v>990096570.8499999</v>
      </c>
    </row>
    <row r="131" spans="1:3" ht="24" x14ac:dyDescent="0.25">
      <c r="A131" s="722" t="s">
        <v>1474</v>
      </c>
      <c r="B131" s="722" t="s">
        <v>1473</v>
      </c>
      <c r="C131" s="721">
        <f>+C132+C136+C137+C138+C139+C140</f>
        <v>263492538.46999997</v>
      </c>
    </row>
    <row r="132" spans="1:3" x14ac:dyDescent="0.25">
      <c r="A132" s="724" t="s">
        <v>1472</v>
      </c>
      <c r="B132" s="724" t="s">
        <v>1471</v>
      </c>
      <c r="C132" s="723">
        <f>+C133+C134+C135</f>
        <v>251767077.96999997</v>
      </c>
    </row>
    <row r="133" spans="1:3" x14ac:dyDescent="0.25">
      <c r="A133" s="724" t="s">
        <v>1470</v>
      </c>
      <c r="B133" s="724" t="s">
        <v>1469</v>
      </c>
      <c r="C133" s="723">
        <f>'CPCA-II-13'!F9-'CPCA-II-13'!F37</f>
        <v>203584992.12999997</v>
      </c>
    </row>
    <row r="134" spans="1:3" x14ac:dyDescent="0.25">
      <c r="A134" s="724" t="s">
        <v>1468</v>
      </c>
      <c r="B134" s="724" t="s">
        <v>1467</v>
      </c>
      <c r="C134" s="723">
        <f>'CPCA-II-13'!F38</f>
        <v>42686055.780000001</v>
      </c>
    </row>
    <row r="135" spans="1:3" x14ac:dyDescent="0.25">
      <c r="A135" s="724" t="s">
        <v>1466</v>
      </c>
      <c r="B135" s="724" t="s">
        <v>1465</v>
      </c>
      <c r="C135" s="723">
        <f>'CPCA-II-13'!F283</f>
        <v>5496030.0599999996</v>
      </c>
    </row>
    <row r="136" spans="1:3" x14ac:dyDescent="0.25">
      <c r="A136" s="724" t="s">
        <v>1464</v>
      </c>
      <c r="B136" s="724" t="s">
        <v>1463</v>
      </c>
      <c r="C136" s="723">
        <f>'CPCA-II-13'!F81-'CPCA-II-13'!F182-'CPCA-II-13'!F283</f>
        <v>21672138.599999998</v>
      </c>
    </row>
    <row r="137" spans="1:3" x14ac:dyDescent="0.25">
      <c r="A137" s="724" t="s">
        <v>1462</v>
      </c>
      <c r="B137" s="724" t="s">
        <v>1461</v>
      </c>
      <c r="C137" s="723">
        <v>0</v>
      </c>
    </row>
    <row r="138" spans="1:3" x14ac:dyDescent="0.25">
      <c r="A138" s="724" t="s">
        <v>1460</v>
      </c>
      <c r="B138" s="724" t="s">
        <v>1459</v>
      </c>
      <c r="C138" s="723">
        <f>'CPCA-I-01'!B25-'CPCA-I-01'!C25</f>
        <v>-9946678.1000000089</v>
      </c>
    </row>
    <row r="139" spans="1:3" x14ac:dyDescent="0.25">
      <c r="A139" s="724" t="s">
        <v>1458</v>
      </c>
      <c r="B139" s="724" t="s">
        <v>1457</v>
      </c>
      <c r="C139" s="723">
        <f>'CPCA-I-01'!B27-'CPCA-I-01'!C27</f>
        <v>0</v>
      </c>
    </row>
    <row r="140" spans="1:3" ht="24" x14ac:dyDescent="0.25">
      <c r="A140" s="724" t="s">
        <v>1456</v>
      </c>
      <c r="B140" s="724" t="s">
        <v>1455</v>
      </c>
      <c r="C140" s="723">
        <v>0</v>
      </c>
    </row>
    <row r="141" spans="1:3" x14ac:dyDescent="0.25">
      <c r="A141" s="722"/>
      <c r="B141" s="722"/>
      <c r="C141" s="721"/>
    </row>
    <row r="142" spans="1:3" x14ac:dyDescent="0.25">
      <c r="A142" s="722" t="s">
        <v>1454</v>
      </c>
      <c r="B142" s="722" t="s">
        <v>1453</v>
      </c>
      <c r="C142" s="721"/>
    </row>
    <row r="143" spans="1:3" x14ac:dyDescent="0.25">
      <c r="A143" s="722"/>
      <c r="B143" s="722"/>
      <c r="C143" s="721"/>
    </row>
    <row r="144" spans="1:3" x14ac:dyDescent="0.25">
      <c r="A144" s="722" t="s">
        <v>1452</v>
      </c>
      <c r="B144" s="722" t="s">
        <v>1451</v>
      </c>
      <c r="C144" s="721">
        <f>+C145+C148</f>
        <v>28432546.32</v>
      </c>
    </row>
    <row r="145" spans="1:3" x14ac:dyDescent="0.25">
      <c r="A145" s="724" t="s">
        <v>1450</v>
      </c>
      <c r="B145" s="724" t="s">
        <v>1449</v>
      </c>
      <c r="C145" s="723">
        <f>+C146+C147</f>
        <v>28432546.32</v>
      </c>
    </row>
    <row r="146" spans="1:3" x14ac:dyDescent="0.25">
      <c r="A146" s="724" t="s">
        <v>1448</v>
      </c>
      <c r="B146" s="724" t="s">
        <v>1447</v>
      </c>
      <c r="C146" s="723">
        <f>'CPCA-I-03'!C46</f>
        <v>28432546.32</v>
      </c>
    </row>
    <row r="147" spans="1:3" x14ac:dyDescent="0.25">
      <c r="A147" s="724" t="s">
        <v>1446</v>
      </c>
      <c r="B147" s="724" t="s">
        <v>1445</v>
      </c>
      <c r="C147" s="723">
        <v>0</v>
      </c>
    </row>
    <row r="148" spans="1:3" x14ac:dyDescent="0.25">
      <c r="A148" s="724" t="s">
        <v>1444</v>
      </c>
      <c r="B148" s="724" t="s">
        <v>1443</v>
      </c>
      <c r="C148" s="723">
        <f>+C149+C150</f>
        <v>0</v>
      </c>
    </row>
    <row r="149" spans="1:3" x14ac:dyDescent="0.25">
      <c r="A149" s="724" t="s">
        <v>1442</v>
      </c>
      <c r="B149" s="724" t="s">
        <v>1441</v>
      </c>
      <c r="C149" s="723"/>
    </row>
    <row r="150" spans="1:3" x14ac:dyDescent="0.25">
      <c r="A150" s="724" t="s">
        <v>1440</v>
      </c>
      <c r="B150" s="724" t="s">
        <v>1439</v>
      </c>
      <c r="C150" s="723"/>
    </row>
    <row r="151" spans="1:3" x14ac:dyDescent="0.25">
      <c r="A151" s="722"/>
      <c r="B151" s="722"/>
      <c r="C151" s="721"/>
    </row>
    <row r="152" spans="1:3" x14ac:dyDescent="0.25">
      <c r="A152" s="722" t="s">
        <v>1438</v>
      </c>
      <c r="B152" s="722" t="s">
        <v>1437</v>
      </c>
      <c r="C152" s="721">
        <f>+C153+C156</f>
        <v>0</v>
      </c>
    </row>
    <row r="153" spans="1:3" x14ac:dyDescent="0.25">
      <c r="A153" s="724" t="s">
        <v>1436</v>
      </c>
      <c r="B153" s="724" t="s">
        <v>1435</v>
      </c>
      <c r="C153" s="723">
        <f>+C154+C155</f>
        <v>0</v>
      </c>
    </row>
    <row r="154" spans="1:3" x14ac:dyDescent="0.25">
      <c r="A154" s="724" t="s">
        <v>1434</v>
      </c>
      <c r="B154" s="724" t="s">
        <v>1433</v>
      </c>
      <c r="C154" s="723">
        <v>0</v>
      </c>
    </row>
    <row r="155" spans="1:3" x14ac:dyDescent="0.25">
      <c r="A155" s="724" t="s">
        <v>1432</v>
      </c>
      <c r="B155" s="724" t="s">
        <v>1426</v>
      </c>
      <c r="C155" s="723">
        <v>0</v>
      </c>
    </row>
    <row r="156" spans="1:3" x14ac:dyDescent="0.25">
      <c r="A156" s="724" t="s">
        <v>1431</v>
      </c>
      <c r="B156" s="724" t="s">
        <v>1430</v>
      </c>
      <c r="C156" s="723">
        <f>+C157+C158</f>
        <v>0</v>
      </c>
    </row>
    <row r="157" spans="1:3" x14ac:dyDescent="0.25">
      <c r="A157" s="724" t="s">
        <v>1429</v>
      </c>
      <c r="B157" s="724" t="s">
        <v>1428</v>
      </c>
      <c r="C157" s="723">
        <v>0</v>
      </c>
    </row>
    <row r="158" spans="1:3" x14ac:dyDescent="0.25">
      <c r="A158" s="724" t="s">
        <v>1427</v>
      </c>
      <c r="B158" s="724" t="s">
        <v>1426</v>
      </c>
      <c r="C158" s="723">
        <v>0</v>
      </c>
    </row>
    <row r="159" spans="1:3" x14ac:dyDescent="0.25">
      <c r="A159" s="722"/>
      <c r="B159" s="722"/>
      <c r="C159" s="721"/>
    </row>
    <row r="160" spans="1:3" x14ac:dyDescent="0.25">
      <c r="A160" s="722" t="s">
        <v>1425</v>
      </c>
      <c r="B160" s="722" t="s">
        <v>1424</v>
      </c>
      <c r="C160" s="721">
        <f>+C161+C169+C177</f>
        <v>0</v>
      </c>
    </row>
    <row r="161" spans="1:3" x14ac:dyDescent="0.25">
      <c r="A161" s="722" t="s">
        <v>1423</v>
      </c>
      <c r="B161" s="722" t="s">
        <v>1295</v>
      </c>
      <c r="C161" s="721">
        <f>+C162+C163+C164+C165+C166+C167+C168</f>
        <v>0</v>
      </c>
    </row>
    <row r="162" spans="1:3" x14ac:dyDescent="0.25">
      <c r="A162" s="724" t="s">
        <v>1422</v>
      </c>
      <c r="B162" s="724" t="s">
        <v>1293</v>
      </c>
      <c r="C162" s="723"/>
    </row>
    <row r="163" spans="1:3" x14ac:dyDescent="0.25">
      <c r="A163" s="724" t="s">
        <v>1421</v>
      </c>
      <c r="B163" s="724" t="s">
        <v>1420</v>
      </c>
      <c r="C163" s="723"/>
    </row>
    <row r="164" spans="1:3" x14ac:dyDescent="0.25">
      <c r="A164" s="724" t="s">
        <v>1419</v>
      </c>
      <c r="B164" s="724" t="s">
        <v>1291</v>
      </c>
      <c r="C164" s="723"/>
    </row>
    <row r="165" spans="1:3" x14ac:dyDescent="0.25">
      <c r="A165" s="724" t="s">
        <v>1418</v>
      </c>
      <c r="B165" s="724" t="s">
        <v>1289</v>
      </c>
      <c r="C165" s="723"/>
    </row>
    <row r="166" spans="1:3" x14ac:dyDescent="0.25">
      <c r="A166" s="724" t="s">
        <v>1417</v>
      </c>
      <c r="B166" s="724" t="s">
        <v>773</v>
      </c>
      <c r="C166" s="723"/>
    </row>
    <row r="167" spans="1:3" x14ac:dyDescent="0.25">
      <c r="A167" s="724" t="s">
        <v>1416</v>
      </c>
      <c r="B167" s="724" t="s">
        <v>1415</v>
      </c>
      <c r="C167" s="723"/>
    </row>
    <row r="168" spans="1:3" x14ac:dyDescent="0.25">
      <c r="A168" s="724" t="s">
        <v>1414</v>
      </c>
      <c r="B168" s="724" t="s">
        <v>1413</v>
      </c>
      <c r="C168" s="723"/>
    </row>
    <row r="169" spans="1:3" x14ac:dyDescent="0.25">
      <c r="A169" s="722" t="s">
        <v>1412</v>
      </c>
      <c r="B169" s="722" t="s">
        <v>1286</v>
      </c>
      <c r="C169" s="721">
        <f>+C170+C175+C176</f>
        <v>0</v>
      </c>
    </row>
    <row r="170" spans="1:3" x14ac:dyDescent="0.25">
      <c r="A170" s="724" t="s">
        <v>1411</v>
      </c>
      <c r="B170" s="724" t="s">
        <v>1284</v>
      </c>
      <c r="C170" s="723">
        <f>+C171+C172+C173+C174</f>
        <v>0</v>
      </c>
    </row>
    <row r="171" spans="1:3" x14ac:dyDescent="0.25">
      <c r="A171" s="724" t="s">
        <v>1410</v>
      </c>
      <c r="B171" s="724" t="s">
        <v>1282</v>
      </c>
      <c r="C171" s="723"/>
    </row>
    <row r="172" spans="1:3" x14ac:dyDescent="0.25">
      <c r="A172" s="724" t="s">
        <v>1409</v>
      </c>
      <c r="B172" s="724" t="s">
        <v>1408</v>
      </c>
      <c r="C172" s="723"/>
    </row>
    <row r="173" spans="1:3" x14ac:dyDescent="0.25">
      <c r="A173" s="724" t="s">
        <v>1407</v>
      </c>
      <c r="B173" s="724" t="s">
        <v>1406</v>
      </c>
      <c r="C173" s="723"/>
    </row>
    <row r="174" spans="1:3" x14ac:dyDescent="0.25">
      <c r="A174" s="724" t="s">
        <v>1405</v>
      </c>
      <c r="B174" s="724" t="s">
        <v>1404</v>
      </c>
      <c r="C174" s="723"/>
    </row>
    <row r="175" spans="1:3" x14ac:dyDescent="0.25">
      <c r="A175" s="724" t="s">
        <v>1403</v>
      </c>
      <c r="B175" s="724" t="s">
        <v>1276</v>
      </c>
      <c r="C175" s="723"/>
    </row>
    <row r="176" spans="1:3" x14ac:dyDescent="0.25">
      <c r="A176" s="724" t="s">
        <v>1402</v>
      </c>
      <c r="B176" s="724" t="s">
        <v>1274</v>
      </c>
      <c r="C176" s="723"/>
    </row>
    <row r="177" spans="1:3" s="514" customFormat="1" x14ac:dyDescent="0.25">
      <c r="A177" s="722" t="s">
        <v>1401</v>
      </c>
      <c r="B177" s="722" t="s">
        <v>1272</v>
      </c>
      <c r="C177" s="721">
        <f>+C178+C179+C180</f>
        <v>0</v>
      </c>
    </row>
    <row r="178" spans="1:3" x14ac:dyDescent="0.25">
      <c r="A178" s="724" t="s">
        <v>1400</v>
      </c>
      <c r="B178" s="724" t="s">
        <v>1270</v>
      </c>
      <c r="C178" s="723"/>
    </row>
    <row r="179" spans="1:3" x14ac:dyDescent="0.25">
      <c r="A179" s="724" t="s">
        <v>1399</v>
      </c>
      <c r="B179" s="724" t="s">
        <v>1268</v>
      </c>
      <c r="C179" s="723"/>
    </row>
    <row r="180" spans="1:3" x14ac:dyDescent="0.25">
      <c r="A180" s="724" t="s">
        <v>1398</v>
      </c>
      <c r="B180" s="724" t="s">
        <v>1266</v>
      </c>
      <c r="C180" s="723"/>
    </row>
    <row r="181" spans="1:3" x14ac:dyDescent="0.25">
      <c r="A181" s="722"/>
      <c r="B181" s="722"/>
      <c r="C181" s="721"/>
    </row>
    <row r="182" spans="1:3" ht="24" x14ac:dyDescent="0.25">
      <c r="A182" s="722" t="s">
        <v>1397</v>
      </c>
      <c r="B182" s="722" t="s">
        <v>1396</v>
      </c>
      <c r="C182" s="721"/>
    </row>
    <row r="183" spans="1:3" x14ac:dyDescent="0.25">
      <c r="A183" s="722"/>
      <c r="B183" s="722"/>
      <c r="C183" s="721"/>
    </row>
    <row r="184" spans="1:3" x14ac:dyDescent="0.25">
      <c r="A184" s="722" t="s">
        <v>1395</v>
      </c>
      <c r="B184" s="722" t="s">
        <v>223</v>
      </c>
      <c r="C184" s="721"/>
    </row>
    <row r="185" spans="1:3" x14ac:dyDescent="0.25">
      <c r="A185" s="722"/>
      <c r="B185" s="722"/>
      <c r="C185" s="721"/>
    </row>
    <row r="186" spans="1:3" x14ac:dyDescent="0.25">
      <c r="A186" s="722" t="s">
        <v>1394</v>
      </c>
      <c r="B186" s="722" t="s">
        <v>1393</v>
      </c>
      <c r="C186" s="721">
        <f>+C187+C188+C189+C190</f>
        <v>698171486.05999994</v>
      </c>
    </row>
    <row r="187" spans="1:3" x14ac:dyDescent="0.25">
      <c r="A187" s="724" t="s">
        <v>1392</v>
      </c>
      <c r="B187" s="724" t="s">
        <v>40</v>
      </c>
      <c r="C187" s="723"/>
    </row>
    <row r="188" spans="1:3" x14ac:dyDescent="0.25">
      <c r="A188" s="724" t="s">
        <v>1391</v>
      </c>
      <c r="B188" s="724" t="s">
        <v>57</v>
      </c>
      <c r="C188" s="723">
        <f>'CPCA-I-01'!F25-'CPCA-I-01'!G25</f>
        <v>698171486.05999994</v>
      </c>
    </row>
    <row r="189" spans="1:3" x14ac:dyDescent="0.25">
      <c r="A189" s="724" t="s">
        <v>1390</v>
      </c>
      <c r="B189" s="724" t="s">
        <v>1389</v>
      </c>
      <c r="C189" s="723"/>
    </row>
    <row r="190" spans="1:3" x14ac:dyDescent="0.25">
      <c r="A190" s="724" t="s">
        <v>1388</v>
      </c>
      <c r="B190" s="724" t="s">
        <v>1387</v>
      </c>
      <c r="C190" s="723"/>
    </row>
    <row r="191" spans="1:3" x14ac:dyDescent="0.25">
      <c r="A191" s="722"/>
      <c r="B191" s="722"/>
      <c r="C191" s="721"/>
    </row>
    <row r="192" spans="1:3" x14ac:dyDescent="0.25">
      <c r="A192" s="722">
        <v>2.2000000000000002</v>
      </c>
      <c r="B192" s="722" t="s">
        <v>1386</v>
      </c>
      <c r="C192" s="721">
        <f>+C194+C195+C215+C224+C229+C242+C260</f>
        <v>8068526.3499999996</v>
      </c>
    </row>
    <row r="193" spans="1:3" x14ac:dyDescent="0.25">
      <c r="A193" s="722"/>
      <c r="B193" s="722"/>
      <c r="C193" s="721"/>
    </row>
    <row r="194" spans="1:3" x14ac:dyDescent="0.25">
      <c r="A194" s="722" t="s">
        <v>1385</v>
      </c>
      <c r="B194" s="722" t="s">
        <v>1384</v>
      </c>
      <c r="C194" s="721"/>
    </row>
    <row r="195" spans="1:3" x14ac:dyDescent="0.25">
      <c r="A195" s="722" t="s">
        <v>1383</v>
      </c>
      <c r="B195" s="722" t="s">
        <v>1382</v>
      </c>
      <c r="C195" s="721">
        <f>+C196+C200+C204+C205+C208</f>
        <v>8068526.3499999996</v>
      </c>
    </row>
    <row r="196" spans="1:3" x14ac:dyDescent="0.25">
      <c r="A196" s="724" t="s">
        <v>1381</v>
      </c>
      <c r="B196" s="724" t="s">
        <v>1380</v>
      </c>
      <c r="C196" s="723">
        <f>+C197+C198+C199</f>
        <v>0</v>
      </c>
    </row>
    <row r="197" spans="1:3" x14ac:dyDescent="0.25">
      <c r="A197" s="724" t="s">
        <v>1379</v>
      </c>
      <c r="B197" s="724" t="s">
        <v>1378</v>
      </c>
      <c r="C197" s="723"/>
    </row>
    <row r="198" spans="1:3" x14ac:dyDescent="0.25">
      <c r="A198" s="724" t="s">
        <v>1377</v>
      </c>
      <c r="B198" s="724" t="s">
        <v>1376</v>
      </c>
      <c r="C198" s="723"/>
    </row>
    <row r="199" spans="1:3" x14ac:dyDescent="0.25">
      <c r="A199" s="724" t="s">
        <v>1375</v>
      </c>
      <c r="B199" s="724" t="s">
        <v>1374</v>
      </c>
      <c r="C199" s="723"/>
    </row>
    <row r="200" spans="1:3" x14ac:dyDescent="0.25">
      <c r="A200" s="724" t="s">
        <v>1373</v>
      </c>
      <c r="B200" s="724" t="s">
        <v>1372</v>
      </c>
      <c r="C200" s="723">
        <f>+C201+C202+C203</f>
        <v>8068526.3499999996</v>
      </c>
    </row>
    <row r="201" spans="1:3" x14ac:dyDescent="0.25">
      <c r="A201" s="724" t="s">
        <v>1371</v>
      </c>
      <c r="B201" s="724" t="s">
        <v>1370</v>
      </c>
      <c r="C201" s="723"/>
    </row>
    <row r="202" spans="1:3" x14ac:dyDescent="0.25">
      <c r="A202" s="724" t="s">
        <v>1369</v>
      </c>
      <c r="B202" s="724" t="s">
        <v>1368</v>
      </c>
      <c r="C202" s="723"/>
    </row>
    <row r="203" spans="1:3" x14ac:dyDescent="0.25">
      <c r="A203" s="724" t="s">
        <v>1367</v>
      </c>
      <c r="B203" s="724" t="s">
        <v>1366</v>
      </c>
      <c r="C203" s="729">
        <f>'CPCA-II-13'!F333</f>
        <v>8068526.3499999996</v>
      </c>
    </row>
    <row r="204" spans="1:3" x14ac:dyDescent="0.25">
      <c r="A204" s="724" t="s">
        <v>1365</v>
      </c>
      <c r="B204" s="724" t="s">
        <v>1364</v>
      </c>
      <c r="C204" s="723"/>
    </row>
    <row r="205" spans="1:3" x14ac:dyDescent="0.25">
      <c r="A205" s="724" t="s">
        <v>1363</v>
      </c>
      <c r="B205" s="724" t="s">
        <v>1362</v>
      </c>
      <c r="C205" s="723">
        <f>+C206+C207</f>
        <v>0</v>
      </c>
    </row>
    <row r="206" spans="1:3" x14ac:dyDescent="0.25">
      <c r="A206" s="724" t="s">
        <v>1361</v>
      </c>
      <c r="B206" s="724" t="s">
        <v>1360</v>
      </c>
      <c r="C206" s="723"/>
    </row>
    <row r="207" spans="1:3" x14ac:dyDescent="0.25">
      <c r="A207" s="724" t="s">
        <v>1359</v>
      </c>
      <c r="B207" s="724" t="s">
        <v>1358</v>
      </c>
      <c r="C207" s="723"/>
    </row>
    <row r="208" spans="1:3" x14ac:dyDescent="0.25">
      <c r="A208" s="724" t="s">
        <v>1357</v>
      </c>
      <c r="B208" s="724" t="s">
        <v>1356</v>
      </c>
      <c r="C208" s="723">
        <f>+C209+C210+C211+C212+C213</f>
        <v>0</v>
      </c>
    </row>
    <row r="209" spans="1:3" x14ac:dyDescent="0.25">
      <c r="A209" s="724" t="s">
        <v>1355</v>
      </c>
      <c r="B209" s="724" t="s">
        <v>1354</v>
      </c>
      <c r="C209" s="723"/>
    </row>
    <row r="210" spans="1:3" x14ac:dyDescent="0.25">
      <c r="A210" s="724" t="s">
        <v>1353</v>
      </c>
      <c r="B210" s="724" t="s">
        <v>1352</v>
      </c>
      <c r="C210" s="723"/>
    </row>
    <row r="211" spans="1:3" x14ac:dyDescent="0.25">
      <c r="A211" s="724" t="s">
        <v>1351</v>
      </c>
      <c r="B211" s="724" t="s">
        <v>1350</v>
      </c>
      <c r="C211" s="723"/>
    </row>
    <row r="212" spans="1:3" x14ac:dyDescent="0.25">
      <c r="A212" s="724" t="s">
        <v>1349</v>
      </c>
      <c r="B212" s="724" t="s">
        <v>1348</v>
      </c>
      <c r="C212" s="723"/>
    </row>
    <row r="213" spans="1:3" x14ac:dyDescent="0.25">
      <c r="A213" s="724" t="s">
        <v>1347</v>
      </c>
      <c r="B213" s="724" t="s">
        <v>1346</v>
      </c>
      <c r="C213" s="723"/>
    </row>
    <row r="214" spans="1:3" x14ac:dyDescent="0.25">
      <c r="A214" s="722"/>
      <c r="B214" s="722"/>
      <c r="C214" s="721"/>
    </row>
    <row r="215" spans="1:3" x14ac:dyDescent="0.25">
      <c r="A215" s="724" t="s">
        <v>1345</v>
      </c>
      <c r="B215" s="722" t="s">
        <v>1344</v>
      </c>
      <c r="C215" s="721">
        <f>+C216+C217+C218+C219+C220+C221+C222</f>
        <v>0</v>
      </c>
    </row>
    <row r="216" spans="1:3" x14ac:dyDescent="0.25">
      <c r="A216" s="724" t="s">
        <v>1343</v>
      </c>
      <c r="B216" s="724" t="s">
        <v>211</v>
      </c>
      <c r="C216" s="723"/>
    </row>
    <row r="217" spans="1:3" x14ac:dyDescent="0.25">
      <c r="A217" s="724" t="s">
        <v>1342</v>
      </c>
      <c r="B217" s="724" t="s">
        <v>1341</v>
      </c>
      <c r="C217" s="723"/>
    </row>
    <row r="218" spans="1:3" x14ac:dyDescent="0.25">
      <c r="A218" s="724" t="s">
        <v>1340</v>
      </c>
      <c r="B218" s="724" t="s">
        <v>1339</v>
      </c>
      <c r="C218" s="723"/>
    </row>
    <row r="219" spans="1:3" x14ac:dyDescent="0.25">
      <c r="A219" s="724" t="s">
        <v>1338</v>
      </c>
      <c r="B219" s="724" t="s">
        <v>1337</v>
      </c>
      <c r="C219" s="723"/>
    </row>
    <row r="220" spans="1:3" x14ac:dyDescent="0.25">
      <c r="A220" s="724" t="s">
        <v>1336</v>
      </c>
      <c r="B220" s="724" t="s">
        <v>1335</v>
      </c>
      <c r="C220" s="723"/>
    </row>
    <row r="221" spans="1:3" x14ac:dyDescent="0.25">
      <c r="A221" s="724" t="s">
        <v>1334</v>
      </c>
      <c r="B221" s="724" t="s">
        <v>1333</v>
      </c>
      <c r="C221" s="723"/>
    </row>
    <row r="222" spans="1:3" x14ac:dyDescent="0.25">
      <c r="A222" s="724" t="s">
        <v>1332</v>
      </c>
      <c r="B222" s="724" t="s">
        <v>1331</v>
      </c>
      <c r="C222" s="723"/>
    </row>
    <row r="223" spans="1:3" x14ac:dyDescent="0.25">
      <c r="A223" s="722"/>
      <c r="B223" s="722"/>
      <c r="C223" s="721"/>
    </row>
    <row r="224" spans="1:3" x14ac:dyDescent="0.25">
      <c r="A224" s="722" t="s">
        <v>1330</v>
      </c>
      <c r="B224" s="722" t="s">
        <v>1329</v>
      </c>
      <c r="C224" s="721">
        <f>+C225+C226+C227</f>
        <v>0</v>
      </c>
    </row>
    <row r="225" spans="1:3" x14ac:dyDescent="0.25">
      <c r="A225" s="724" t="s">
        <v>1328</v>
      </c>
      <c r="B225" s="724" t="s">
        <v>1327</v>
      </c>
      <c r="C225" s="723"/>
    </row>
    <row r="226" spans="1:3" x14ac:dyDescent="0.25">
      <c r="A226" s="724" t="s">
        <v>1326</v>
      </c>
      <c r="B226" s="724" t="s">
        <v>1325</v>
      </c>
      <c r="C226" s="723"/>
    </row>
    <row r="227" spans="1:3" x14ac:dyDescent="0.25">
      <c r="A227" s="724" t="s">
        <v>1324</v>
      </c>
      <c r="B227" s="724" t="s">
        <v>1323</v>
      </c>
      <c r="C227" s="723"/>
    </row>
    <row r="228" spans="1:3" x14ac:dyDescent="0.25">
      <c r="A228" s="722"/>
      <c r="B228" s="722"/>
      <c r="C228" s="721"/>
    </row>
    <row r="229" spans="1:3" x14ac:dyDescent="0.25">
      <c r="A229" s="722" t="s">
        <v>1322</v>
      </c>
      <c r="B229" s="722" t="s">
        <v>1321</v>
      </c>
      <c r="C229" s="721">
        <f>+C230+C236</f>
        <v>0</v>
      </c>
    </row>
    <row r="230" spans="1:3" x14ac:dyDescent="0.25">
      <c r="A230" s="724" t="s">
        <v>1320</v>
      </c>
      <c r="B230" s="724" t="s">
        <v>1319</v>
      </c>
      <c r="C230" s="723">
        <f>+C231+C232+C233+C234+C235</f>
        <v>0</v>
      </c>
    </row>
    <row r="231" spans="1:3" x14ac:dyDescent="0.25">
      <c r="A231" s="724" t="s">
        <v>1318</v>
      </c>
      <c r="B231" s="724" t="s">
        <v>1317</v>
      </c>
      <c r="C231" s="723"/>
    </row>
    <row r="232" spans="1:3" x14ac:dyDescent="0.25">
      <c r="A232" s="724" t="s">
        <v>1316</v>
      </c>
      <c r="B232" s="724" t="s">
        <v>1315</v>
      </c>
      <c r="C232" s="723"/>
    </row>
    <row r="233" spans="1:3" x14ac:dyDescent="0.25">
      <c r="A233" s="724" t="s">
        <v>1314</v>
      </c>
      <c r="B233" s="724" t="s">
        <v>1313</v>
      </c>
      <c r="C233" s="723"/>
    </row>
    <row r="234" spans="1:3" x14ac:dyDescent="0.25">
      <c r="A234" s="724" t="s">
        <v>1312</v>
      </c>
      <c r="B234" s="724" t="s">
        <v>1311</v>
      </c>
      <c r="C234" s="723"/>
    </row>
    <row r="235" spans="1:3" x14ac:dyDescent="0.25">
      <c r="A235" s="724" t="s">
        <v>1310</v>
      </c>
      <c r="B235" s="724" t="s">
        <v>1309</v>
      </c>
      <c r="C235" s="723"/>
    </row>
    <row r="236" spans="1:3" x14ac:dyDescent="0.25">
      <c r="A236" s="724" t="s">
        <v>1308</v>
      </c>
      <c r="B236" s="724" t="s">
        <v>1307</v>
      </c>
      <c r="C236" s="723">
        <f>+C237+C238+C239+C240</f>
        <v>0</v>
      </c>
    </row>
    <row r="237" spans="1:3" x14ac:dyDescent="0.25">
      <c r="A237" s="724" t="s">
        <v>1306</v>
      </c>
      <c r="B237" s="724" t="s">
        <v>1305</v>
      </c>
      <c r="C237" s="723"/>
    </row>
    <row r="238" spans="1:3" x14ac:dyDescent="0.25">
      <c r="A238" s="724" t="s">
        <v>1304</v>
      </c>
      <c r="B238" s="724" t="s">
        <v>1303</v>
      </c>
      <c r="C238" s="723"/>
    </row>
    <row r="239" spans="1:3" x14ac:dyDescent="0.25">
      <c r="A239" s="724" t="s">
        <v>1302</v>
      </c>
      <c r="B239" s="724" t="s">
        <v>1301</v>
      </c>
      <c r="C239" s="723"/>
    </row>
    <row r="240" spans="1:3" x14ac:dyDescent="0.25">
      <c r="A240" s="724" t="s">
        <v>1300</v>
      </c>
      <c r="B240" s="724" t="s">
        <v>1299</v>
      </c>
      <c r="C240" s="723"/>
    </row>
    <row r="241" spans="1:3" x14ac:dyDescent="0.25">
      <c r="A241" s="722"/>
      <c r="B241" s="722"/>
      <c r="C241" s="721"/>
    </row>
    <row r="242" spans="1:3" x14ac:dyDescent="0.25">
      <c r="A242" s="722" t="s">
        <v>1298</v>
      </c>
      <c r="B242" s="722" t="s">
        <v>1297</v>
      </c>
      <c r="C242" s="721">
        <f>+C243+C248+C255</f>
        <v>0</v>
      </c>
    </row>
    <row r="243" spans="1:3" x14ac:dyDescent="0.25">
      <c r="A243" s="724" t="s">
        <v>1296</v>
      </c>
      <c r="B243" s="724" t="s">
        <v>1295</v>
      </c>
      <c r="C243" s="723">
        <f>+C244+C245+C246+C247</f>
        <v>0</v>
      </c>
    </row>
    <row r="244" spans="1:3" x14ac:dyDescent="0.25">
      <c r="A244" s="724" t="s">
        <v>1294</v>
      </c>
      <c r="B244" s="724" t="s">
        <v>1293</v>
      </c>
      <c r="C244" s="723"/>
    </row>
    <row r="245" spans="1:3" x14ac:dyDescent="0.25">
      <c r="A245" s="724" t="s">
        <v>1292</v>
      </c>
      <c r="B245" s="724" t="s">
        <v>1291</v>
      </c>
      <c r="C245" s="723"/>
    </row>
    <row r="246" spans="1:3" x14ac:dyDescent="0.25">
      <c r="A246" s="724" t="s">
        <v>1290</v>
      </c>
      <c r="B246" s="724" t="s">
        <v>1289</v>
      </c>
      <c r="C246" s="723"/>
    </row>
    <row r="247" spans="1:3" x14ac:dyDescent="0.25">
      <c r="A247" s="724" t="s">
        <v>1288</v>
      </c>
      <c r="B247" s="724" t="s">
        <v>773</v>
      </c>
      <c r="C247" s="723"/>
    </row>
    <row r="248" spans="1:3" x14ac:dyDescent="0.25">
      <c r="A248" s="724" t="s">
        <v>1287</v>
      </c>
      <c r="B248" s="724" t="s">
        <v>1286</v>
      </c>
      <c r="C248" s="723">
        <f>+C249+C253+C254</f>
        <v>0</v>
      </c>
    </row>
    <row r="249" spans="1:3" x14ac:dyDescent="0.25">
      <c r="A249" s="724" t="s">
        <v>1285</v>
      </c>
      <c r="B249" s="724" t="s">
        <v>1284</v>
      </c>
      <c r="C249" s="723">
        <f>+C250+C251+C252</f>
        <v>0</v>
      </c>
    </row>
    <row r="250" spans="1:3" x14ac:dyDescent="0.25">
      <c r="A250" s="724" t="s">
        <v>1283</v>
      </c>
      <c r="B250" s="724" t="s">
        <v>1282</v>
      </c>
      <c r="C250" s="723"/>
    </row>
    <row r="251" spans="1:3" x14ac:dyDescent="0.25">
      <c r="A251" s="724" t="s">
        <v>1281</v>
      </c>
      <c r="B251" s="724" t="s">
        <v>1280</v>
      </c>
      <c r="C251" s="723"/>
    </row>
    <row r="252" spans="1:3" x14ac:dyDescent="0.25">
      <c r="A252" s="724" t="s">
        <v>1279</v>
      </c>
      <c r="B252" s="724" t="s">
        <v>1278</v>
      </c>
      <c r="C252" s="723"/>
    </row>
    <row r="253" spans="1:3" x14ac:dyDescent="0.25">
      <c r="A253" s="724" t="s">
        <v>1277</v>
      </c>
      <c r="B253" s="724" t="s">
        <v>1276</v>
      </c>
      <c r="C253" s="723"/>
    </row>
    <row r="254" spans="1:3" x14ac:dyDescent="0.25">
      <c r="A254" s="724" t="s">
        <v>1275</v>
      </c>
      <c r="B254" s="724" t="s">
        <v>1274</v>
      </c>
      <c r="C254" s="723"/>
    </row>
    <row r="255" spans="1:3" x14ac:dyDescent="0.25">
      <c r="A255" s="724" t="s">
        <v>1273</v>
      </c>
      <c r="B255" s="724" t="s">
        <v>1272</v>
      </c>
      <c r="C255" s="723">
        <f>+C256+C257+C258</f>
        <v>0</v>
      </c>
    </row>
    <row r="256" spans="1:3" x14ac:dyDescent="0.25">
      <c r="A256" s="724" t="s">
        <v>1271</v>
      </c>
      <c r="B256" s="724" t="s">
        <v>1270</v>
      </c>
      <c r="C256" s="723"/>
    </row>
    <row r="257" spans="1:3" x14ac:dyDescent="0.25">
      <c r="A257" s="724" t="s">
        <v>1269</v>
      </c>
      <c r="B257" s="724" t="s">
        <v>1268</v>
      </c>
      <c r="C257" s="723"/>
    </row>
    <row r="258" spans="1:3" x14ac:dyDescent="0.25">
      <c r="A258" s="724" t="s">
        <v>1267</v>
      </c>
      <c r="B258" s="724" t="s">
        <v>1266</v>
      </c>
      <c r="C258" s="723"/>
    </row>
    <row r="259" spans="1:3" x14ac:dyDescent="0.25">
      <c r="A259" s="722"/>
      <c r="B259" s="722"/>
      <c r="C259" s="721"/>
    </row>
    <row r="260" spans="1:3" x14ac:dyDescent="0.25">
      <c r="A260" s="722" t="s">
        <v>1265</v>
      </c>
      <c r="B260" s="722" t="s">
        <v>1264</v>
      </c>
      <c r="C260" s="721">
        <f>+C261+C266+C267+C268</f>
        <v>0</v>
      </c>
    </row>
    <row r="261" spans="1:3" x14ac:dyDescent="0.25">
      <c r="A261" s="724" t="s">
        <v>1263</v>
      </c>
      <c r="B261" s="724" t="s">
        <v>520</v>
      </c>
      <c r="C261" s="723">
        <f>+C262+C265</f>
        <v>0</v>
      </c>
    </row>
    <row r="262" spans="1:3" x14ac:dyDescent="0.25">
      <c r="A262" s="724" t="s">
        <v>1262</v>
      </c>
      <c r="B262" s="724" t="s">
        <v>1252</v>
      </c>
      <c r="C262" s="723">
        <f>+C263+C264</f>
        <v>0</v>
      </c>
    </row>
    <row r="263" spans="1:3" x14ac:dyDescent="0.25">
      <c r="A263" s="724" t="s">
        <v>1261</v>
      </c>
      <c r="B263" s="724" t="s">
        <v>1250</v>
      </c>
      <c r="C263" s="723"/>
    </row>
    <row r="264" spans="1:3" x14ac:dyDescent="0.25">
      <c r="A264" s="724" t="s">
        <v>1260</v>
      </c>
      <c r="B264" s="724" t="s">
        <v>1248</v>
      </c>
      <c r="C264" s="723"/>
    </row>
    <row r="265" spans="1:3" x14ac:dyDescent="0.25">
      <c r="A265" s="724" t="s">
        <v>1259</v>
      </c>
      <c r="B265" s="724" t="s">
        <v>1246</v>
      </c>
      <c r="C265" s="723"/>
    </row>
    <row r="266" spans="1:3" ht="24" x14ac:dyDescent="0.25">
      <c r="A266" s="724" t="s">
        <v>1258</v>
      </c>
      <c r="B266" s="724" t="s">
        <v>1257</v>
      </c>
      <c r="C266" s="723"/>
    </row>
    <row r="267" spans="1:3" x14ac:dyDescent="0.25">
      <c r="A267" s="724" t="s">
        <v>1256</v>
      </c>
      <c r="B267" s="724" t="s">
        <v>1255</v>
      </c>
      <c r="C267" s="723"/>
    </row>
    <row r="268" spans="1:3" x14ac:dyDescent="0.25">
      <c r="A268" s="724" t="s">
        <v>1254</v>
      </c>
      <c r="B268" s="724" t="s">
        <v>522</v>
      </c>
      <c r="C268" s="723">
        <f>+C269+C272</f>
        <v>0</v>
      </c>
    </row>
    <row r="269" spans="1:3" x14ac:dyDescent="0.25">
      <c r="A269" s="724" t="s">
        <v>1253</v>
      </c>
      <c r="B269" s="724" t="s">
        <v>1252</v>
      </c>
      <c r="C269" s="723">
        <f>+C270+C271</f>
        <v>0</v>
      </c>
    </row>
    <row r="270" spans="1:3" x14ac:dyDescent="0.25">
      <c r="A270" s="724" t="s">
        <v>1251</v>
      </c>
      <c r="B270" s="724" t="s">
        <v>1250</v>
      </c>
      <c r="C270" s="723"/>
    </row>
    <row r="271" spans="1:3" x14ac:dyDescent="0.25">
      <c r="A271" s="724" t="s">
        <v>1249</v>
      </c>
      <c r="B271" s="724" t="s">
        <v>1248</v>
      </c>
      <c r="C271" s="723"/>
    </row>
    <row r="272" spans="1:3" x14ac:dyDescent="0.25">
      <c r="A272" s="724" t="s">
        <v>1247</v>
      </c>
      <c r="B272" s="724" t="s">
        <v>1246</v>
      </c>
      <c r="C272" s="723"/>
    </row>
    <row r="273" spans="1:3" x14ac:dyDescent="0.25">
      <c r="A273" s="722"/>
      <c r="B273" s="722"/>
      <c r="C273" s="721"/>
    </row>
    <row r="274" spans="1:3" x14ac:dyDescent="0.25">
      <c r="A274" s="722"/>
      <c r="B274" s="722" t="s">
        <v>1245</v>
      </c>
      <c r="C274" s="721">
        <f>+C128</f>
        <v>998165097.19999993</v>
      </c>
    </row>
    <row r="275" spans="1:3" x14ac:dyDescent="0.25">
      <c r="A275" s="722"/>
      <c r="B275" s="722"/>
      <c r="C275" s="721"/>
    </row>
    <row r="276" spans="1:3" x14ac:dyDescent="0.25">
      <c r="A276" s="722"/>
      <c r="B276" s="722"/>
      <c r="C276" s="721"/>
    </row>
    <row r="277" spans="1:3" x14ac:dyDescent="0.25">
      <c r="A277" s="722"/>
      <c r="B277" s="722"/>
      <c r="C277" s="721"/>
    </row>
    <row r="278" spans="1:3" s="725" customFormat="1" x14ac:dyDescent="0.25">
      <c r="A278" s="727">
        <v>3</v>
      </c>
      <c r="B278" s="727" t="s">
        <v>1244</v>
      </c>
      <c r="C278" s="726">
        <f>+C280+C398</f>
        <v>3307332889.5199995</v>
      </c>
    </row>
    <row r="279" spans="1:3" x14ac:dyDescent="0.25">
      <c r="A279" s="722"/>
      <c r="B279" s="722"/>
      <c r="C279" s="721"/>
    </row>
    <row r="280" spans="1:3" x14ac:dyDescent="0.25">
      <c r="A280" s="722">
        <v>3.1</v>
      </c>
      <c r="B280" s="722" t="s">
        <v>1243</v>
      </c>
      <c r="C280" s="721">
        <f>+C282+C335+C393</f>
        <v>1489497155.6699998</v>
      </c>
    </row>
    <row r="281" spans="1:3" x14ac:dyDescent="0.25">
      <c r="A281" s="722"/>
      <c r="B281" s="722"/>
      <c r="C281" s="721"/>
    </row>
    <row r="282" spans="1:3" x14ac:dyDescent="0.25">
      <c r="A282" s="722" t="s">
        <v>1242</v>
      </c>
      <c r="B282" s="722" t="s">
        <v>1241</v>
      </c>
      <c r="C282" s="721">
        <f>+C283+C316</f>
        <v>759431993.54999983</v>
      </c>
    </row>
    <row r="283" spans="1:3" x14ac:dyDescent="0.25">
      <c r="A283" s="724" t="s">
        <v>1240</v>
      </c>
      <c r="B283" s="724" t="s">
        <v>1239</v>
      </c>
      <c r="C283" s="723">
        <f>+C284+C292+C297+C303+C306+C307</f>
        <v>759434558.54999983</v>
      </c>
    </row>
    <row r="284" spans="1:3" ht="42.75" customHeight="1" x14ac:dyDescent="0.25">
      <c r="A284" s="724" t="s">
        <v>1238</v>
      </c>
      <c r="B284" s="724" t="s">
        <v>1237</v>
      </c>
      <c r="C284" s="723">
        <f>SUM(C285:C291)</f>
        <v>133268926.36999992</v>
      </c>
    </row>
    <row r="285" spans="1:3" x14ac:dyDescent="0.25">
      <c r="A285" s="724" t="s">
        <v>1236</v>
      </c>
      <c r="B285" s="724" t="s">
        <v>1092</v>
      </c>
      <c r="C285" s="723">
        <f>'CPCA-I-02'!B9-'CPCA-I-02'!C9</f>
        <v>18000</v>
      </c>
    </row>
    <row r="286" spans="1:3" x14ac:dyDescent="0.25">
      <c r="A286" s="724" t="s">
        <v>1235</v>
      </c>
      <c r="B286" s="724" t="s">
        <v>1090</v>
      </c>
      <c r="C286" s="723">
        <f>'CPCA-I-02'!B10-'CPCA-I-02'!C10</f>
        <v>157961439.95999992</v>
      </c>
    </row>
    <row r="287" spans="1:3" x14ac:dyDescent="0.25">
      <c r="A287" s="724" t="s">
        <v>1234</v>
      </c>
      <c r="B287" s="724" t="s">
        <v>1088</v>
      </c>
      <c r="C287" s="723">
        <f>'CPCA-I-02'!B11-'CPCA-I-02'!C11</f>
        <v>0</v>
      </c>
    </row>
    <row r="288" spans="1:3" x14ac:dyDescent="0.25">
      <c r="A288" s="724" t="s">
        <v>1233</v>
      </c>
      <c r="B288" s="724" t="s">
        <v>1232</v>
      </c>
      <c r="C288" s="723">
        <f>'CPCA-I-02'!B12-'CPCA-I-02'!C12</f>
        <v>-24710513.589999996</v>
      </c>
    </row>
    <row r="289" spans="1:3" x14ac:dyDescent="0.25">
      <c r="A289" s="724" t="s">
        <v>1231</v>
      </c>
      <c r="B289" s="724" t="s">
        <v>1084</v>
      </c>
      <c r="C289" s="723">
        <v>0</v>
      </c>
    </row>
    <row r="290" spans="1:3" x14ac:dyDescent="0.25">
      <c r="A290" s="724" t="s">
        <v>1230</v>
      </c>
      <c r="B290" s="724" t="s">
        <v>1229</v>
      </c>
      <c r="C290" s="723">
        <v>0</v>
      </c>
    </row>
    <row r="291" spans="1:3" x14ac:dyDescent="0.25">
      <c r="A291" s="724" t="s">
        <v>1228</v>
      </c>
      <c r="B291" s="724" t="s">
        <v>1080</v>
      </c>
      <c r="C291" s="723">
        <v>0</v>
      </c>
    </row>
    <row r="292" spans="1:3" x14ac:dyDescent="0.25">
      <c r="A292" s="1393" t="s">
        <v>1227</v>
      </c>
      <c r="B292" s="1393" t="s">
        <v>1226</v>
      </c>
      <c r="C292" s="723">
        <f>SUM(C294:C296)</f>
        <v>0</v>
      </c>
    </row>
    <row r="293" spans="1:3" x14ac:dyDescent="0.25">
      <c r="A293" s="1393"/>
      <c r="B293" s="1393"/>
      <c r="C293" s="723"/>
    </row>
    <row r="294" spans="1:3" x14ac:dyDescent="0.25">
      <c r="A294" s="724" t="s">
        <v>1225</v>
      </c>
      <c r="B294" s="724" t="s">
        <v>275</v>
      </c>
      <c r="C294" s="723"/>
    </row>
    <row r="295" spans="1:3" x14ac:dyDescent="0.25">
      <c r="A295" s="724" t="s">
        <v>1224</v>
      </c>
      <c r="B295" s="724" t="s">
        <v>1223</v>
      </c>
      <c r="C295" s="723"/>
    </row>
    <row r="296" spans="1:3" x14ac:dyDescent="0.25">
      <c r="A296" s="724" t="s">
        <v>1222</v>
      </c>
      <c r="B296" s="724" t="s">
        <v>524</v>
      </c>
      <c r="C296" s="723"/>
    </row>
    <row r="297" spans="1:3" x14ac:dyDescent="0.25">
      <c r="A297" s="1393" t="s">
        <v>1221</v>
      </c>
      <c r="B297" s="1393" t="s">
        <v>1220</v>
      </c>
      <c r="C297" s="723">
        <f>SUM(C299:C302)</f>
        <v>327868380.49999994</v>
      </c>
    </row>
    <row r="298" spans="1:3" x14ac:dyDescent="0.25">
      <c r="A298" s="1393"/>
      <c r="B298" s="1393"/>
      <c r="C298" s="723"/>
    </row>
    <row r="299" spans="1:3" x14ac:dyDescent="0.25">
      <c r="A299" s="724" t="s">
        <v>1219</v>
      </c>
      <c r="B299" s="724" t="s">
        <v>1071</v>
      </c>
      <c r="C299" s="723">
        <f>'CPCA-I-02'!B18-'CPCA-I-02'!C18</f>
        <v>39087149.089999914</v>
      </c>
    </row>
    <row r="300" spans="1:3" x14ac:dyDescent="0.25">
      <c r="A300" s="724" t="s">
        <v>1218</v>
      </c>
      <c r="B300" s="724" t="s">
        <v>1069</v>
      </c>
      <c r="C300" s="723">
        <f>'CPCA-I-02'!B19-'CPCA-I-02'!C19</f>
        <v>288781231.41000003</v>
      </c>
    </row>
    <row r="301" spans="1:3" x14ac:dyDescent="0.25">
      <c r="A301" s="724" t="s">
        <v>1217</v>
      </c>
      <c r="B301" s="724" t="s">
        <v>1067</v>
      </c>
      <c r="C301" s="723"/>
    </row>
    <row r="302" spans="1:3" x14ac:dyDescent="0.25">
      <c r="A302" s="724" t="s">
        <v>1216</v>
      </c>
      <c r="B302" s="724" t="s">
        <v>1215</v>
      </c>
      <c r="C302" s="723"/>
    </row>
    <row r="303" spans="1:3" x14ac:dyDescent="0.25">
      <c r="A303" s="1393" t="s">
        <v>1214</v>
      </c>
      <c r="B303" s="1393" t="s">
        <v>1213</v>
      </c>
      <c r="C303" s="723">
        <f>+C305</f>
        <v>51643860.719999991</v>
      </c>
    </row>
    <row r="304" spans="1:3" x14ac:dyDescent="0.25">
      <c r="A304" s="1393"/>
      <c r="B304" s="1393"/>
      <c r="C304" s="723"/>
    </row>
    <row r="305" spans="1:3" x14ac:dyDescent="0.25">
      <c r="A305" s="724" t="s">
        <v>1212</v>
      </c>
      <c r="B305" s="724" t="s">
        <v>1061</v>
      </c>
      <c r="C305" s="723">
        <f>'CPCA-I-02'!B23-'CPCA-I-02'!C23</f>
        <v>51643860.719999991</v>
      </c>
    </row>
    <row r="306" spans="1:3" x14ac:dyDescent="0.25">
      <c r="A306" s="724" t="s">
        <v>1211</v>
      </c>
      <c r="B306" s="724" t="s">
        <v>1210</v>
      </c>
      <c r="C306" s="723"/>
    </row>
    <row r="307" spans="1:3" x14ac:dyDescent="0.25">
      <c r="A307" s="1393" t="s">
        <v>1209</v>
      </c>
      <c r="B307" s="1393" t="s">
        <v>1208</v>
      </c>
      <c r="C307" s="723">
        <f>+C310+C311+C312+C313+C314+C315</f>
        <v>246653390.96000001</v>
      </c>
    </row>
    <row r="308" spans="1:3" x14ac:dyDescent="0.25">
      <c r="A308" s="1393"/>
      <c r="B308" s="1393"/>
      <c r="C308" s="723"/>
    </row>
    <row r="309" spans="1:3" x14ac:dyDescent="0.25">
      <c r="A309" s="1393"/>
      <c r="B309" s="1393"/>
      <c r="C309" s="723"/>
    </row>
    <row r="310" spans="1:3" x14ac:dyDescent="0.25">
      <c r="A310" s="724" t="s">
        <v>1207</v>
      </c>
      <c r="B310" s="724" t="s">
        <v>1055</v>
      </c>
      <c r="C310" s="723">
        <f>'CPCA-I-02'!B25-'CPCA-I-02'!C25</f>
        <v>5087.0199999999995</v>
      </c>
    </row>
    <row r="311" spans="1:3" x14ac:dyDescent="0.25">
      <c r="A311" s="724" t="s">
        <v>1206</v>
      </c>
      <c r="B311" s="724" t="s">
        <v>1053</v>
      </c>
      <c r="C311" s="723">
        <f>'CPCA-I-02'!B26-'CPCA-I-02'!C26</f>
        <v>0</v>
      </c>
    </row>
    <row r="312" spans="1:3" x14ac:dyDescent="0.25">
      <c r="A312" s="724" t="s">
        <v>1205</v>
      </c>
      <c r="B312" s="724" t="s">
        <v>1051</v>
      </c>
      <c r="C312" s="723">
        <f>'CPCA-I-02'!B27-'CPCA-I-02'!C27</f>
        <v>0</v>
      </c>
    </row>
    <row r="313" spans="1:3" x14ac:dyDescent="0.25">
      <c r="A313" s="724" t="s">
        <v>1204</v>
      </c>
      <c r="B313" s="724" t="s">
        <v>1049</v>
      </c>
      <c r="C313" s="723">
        <f>'CPCA-I-02'!B28-'CPCA-I-02'!C28</f>
        <v>246648303.94</v>
      </c>
    </row>
    <row r="314" spans="1:3" x14ac:dyDescent="0.25">
      <c r="A314" s="724" t="s">
        <v>1203</v>
      </c>
      <c r="B314" s="724" t="s">
        <v>1202</v>
      </c>
      <c r="C314" s="723">
        <f>'CPCA-I-02'!B29-'CPCA-I-02'!C29</f>
        <v>0</v>
      </c>
    </row>
    <row r="315" spans="1:3" x14ac:dyDescent="0.25">
      <c r="A315" s="724" t="s">
        <v>1201</v>
      </c>
      <c r="B315" s="724" t="s">
        <v>1200</v>
      </c>
      <c r="C315" s="723"/>
    </row>
    <row r="316" spans="1:3" x14ac:dyDescent="0.25">
      <c r="A316" s="724" t="s">
        <v>1199</v>
      </c>
      <c r="B316" s="724" t="s">
        <v>1198</v>
      </c>
      <c r="C316" s="723">
        <f>+C317+C326</f>
        <v>-2565</v>
      </c>
    </row>
    <row r="317" spans="1:3" x14ac:dyDescent="0.25">
      <c r="A317" s="724" t="s">
        <v>1197</v>
      </c>
      <c r="B317" s="724" t="s">
        <v>1196</v>
      </c>
      <c r="C317" s="723">
        <f>+C318+C321+C322+C323</f>
        <v>0</v>
      </c>
    </row>
    <row r="318" spans="1:3" x14ac:dyDescent="0.25">
      <c r="A318" s="724" t="s">
        <v>1195</v>
      </c>
      <c r="B318" s="724" t="s">
        <v>1194</v>
      </c>
      <c r="C318" s="723">
        <f>+C319+C320</f>
        <v>0</v>
      </c>
    </row>
    <row r="319" spans="1:3" x14ac:dyDescent="0.25">
      <c r="A319" s="724" t="s">
        <v>1193</v>
      </c>
      <c r="B319" s="724" t="s">
        <v>1031</v>
      </c>
      <c r="C319" s="723"/>
    </row>
    <row r="320" spans="1:3" x14ac:dyDescent="0.25">
      <c r="A320" s="724" t="s">
        <v>1192</v>
      </c>
      <c r="B320" s="724" t="s">
        <v>1029</v>
      </c>
      <c r="C320" s="723"/>
    </row>
    <row r="321" spans="1:3" x14ac:dyDescent="0.25">
      <c r="A321" s="724" t="s">
        <v>1191</v>
      </c>
      <c r="B321" s="724" t="s">
        <v>1190</v>
      </c>
      <c r="C321" s="723"/>
    </row>
    <row r="322" spans="1:3" x14ac:dyDescent="0.25">
      <c r="A322" s="724" t="s">
        <v>1189</v>
      </c>
      <c r="B322" s="724" t="s">
        <v>1188</v>
      </c>
      <c r="C322" s="723"/>
    </row>
    <row r="323" spans="1:3" x14ac:dyDescent="0.25">
      <c r="A323" s="724" t="s">
        <v>1187</v>
      </c>
      <c r="B323" s="724" t="s">
        <v>1186</v>
      </c>
      <c r="C323" s="723">
        <f>+C324+C325</f>
        <v>0</v>
      </c>
    </row>
    <row r="324" spans="1:3" x14ac:dyDescent="0.25">
      <c r="A324" s="724" t="s">
        <v>1185</v>
      </c>
      <c r="B324" s="724" t="s">
        <v>1031</v>
      </c>
      <c r="C324" s="723"/>
    </row>
    <row r="325" spans="1:3" x14ac:dyDescent="0.25">
      <c r="A325" s="724" t="s">
        <v>1184</v>
      </c>
      <c r="B325" s="724" t="s">
        <v>1029</v>
      </c>
      <c r="C325" s="723"/>
    </row>
    <row r="326" spans="1:3" x14ac:dyDescent="0.25">
      <c r="A326" s="1393" t="s">
        <v>1183</v>
      </c>
      <c r="B326" s="1393" t="s">
        <v>1182</v>
      </c>
      <c r="C326" s="723">
        <f>+C328+C329+C330+C331+C332</f>
        <v>-2565</v>
      </c>
    </row>
    <row r="327" spans="1:3" x14ac:dyDescent="0.25">
      <c r="A327" s="1393"/>
      <c r="B327" s="1393"/>
      <c r="C327" s="723"/>
    </row>
    <row r="328" spans="1:3" x14ac:dyDescent="0.25">
      <c r="A328" s="724" t="s">
        <v>1181</v>
      </c>
      <c r="B328" s="724" t="s">
        <v>1025</v>
      </c>
      <c r="C328" s="723"/>
    </row>
    <row r="329" spans="1:3" x14ac:dyDescent="0.25">
      <c r="A329" s="724" t="s">
        <v>1180</v>
      </c>
      <c r="B329" s="724" t="s">
        <v>1023</v>
      </c>
      <c r="C329" s="723">
        <v>0</v>
      </c>
    </row>
    <row r="330" spans="1:3" x14ac:dyDescent="0.25">
      <c r="A330" s="724" t="s">
        <v>1179</v>
      </c>
      <c r="B330" s="724" t="s">
        <v>1061</v>
      </c>
      <c r="C330" s="723">
        <v>0</v>
      </c>
    </row>
    <row r="331" spans="1:3" x14ac:dyDescent="0.25">
      <c r="A331" s="724" t="s">
        <v>1178</v>
      </c>
      <c r="B331" s="724" t="s">
        <v>58</v>
      </c>
      <c r="C331" s="723">
        <f>'CPCA-I-02'!B53-'CPCA-I-02'!C53</f>
        <v>-2565</v>
      </c>
    </row>
    <row r="332" spans="1:3" x14ac:dyDescent="0.25">
      <c r="A332" s="724" t="s">
        <v>1177</v>
      </c>
      <c r="B332" s="724" t="s">
        <v>1018</v>
      </c>
      <c r="C332" s="723"/>
    </row>
    <row r="333" spans="1:3" x14ac:dyDescent="0.25">
      <c r="A333" s="724"/>
      <c r="B333" s="724"/>
      <c r="C333" s="723"/>
    </row>
    <row r="334" spans="1:3" x14ac:dyDescent="0.25">
      <c r="A334" s="722"/>
      <c r="B334" s="722"/>
      <c r="C334" s="721"/>
    </row>
    <row r="335" spans="1:3" x14ac:dyDescent="0.25">
      <c r="A335" s="722" t="s">
        <v>1176</v>
      </c>
      <c r="B335" s="722" t="s">
        <v>1175</v>
      </c>
      <c r="C335" s="721">
        <f>+C336+C368</f>
        <v>730065162.12</v>
      </c>
    </row>
    <row r="336" spans="1:3" x14ac:dyDescent="0.25">
      <c r="A336" s="724" t="s">
        <v>1174</v>
      </c>
      <c r="B336" s="724" t="s">
        <v>1173</v>
      </c>
      <c r="C336" s="723">
        <f>+C337+C348+C355+C362</f>
        <v>62827154.830000006</v>
      </c>
    </row>
    <row r="337" spans="1:3" x14ac:dyDescent="0.25">
      <c r="A337" s="1393" t="s">
        <v>1172</v>
      </c>
      <c r="B337" s="1393" t="s">
        <v>1171</v>
      </c>
      <c r="C337" s="723">
        <f>SUM(C339:C347)</f>
        <v>64117075.360000007</v>
      </c>
    </row>
    <row r="338" spans="1:3" x14ac:dyDescent="0.25">
      <c r="A338" s="1393"/>
      <c r="B338" s="1393"/>
      <c r="C338" s="723"/>
    </row>
    <row r="339" spans="1:3" x14ac:dyDescent="0.25">
      <c r="A339" s="724" t="s">
        <v>1170</v>
      </c>
      <c r="B339" s="724" t="s">
        <v>210</v>
      </c>
      <c r="C339" s="723">
        <f>'CPCA-I-02'!F9-'CPCA-I-02'!G9</f>
        <v>-525816.64999999991</v>
      </c>
    </row>
    <row r="340" spans="1:3" x14ac:dyDescent="0.25">
      <c r="A340" s="724" t="s">
        <v>1169</v>
      </c>
      <c r="B340" s="724" t="s">
        <v>962</v>
      </c>
      <c r="C340" s="723">
        <f>'CPCA-I-02'!F10-'CPCA-I-02'!G10</f>
        <v>404893.74000000209</v>
      </c>
    </row>
    <row r="341" spans="1:3" x14ac:dyDescent="0.25">
      <c r="A341" s="724" t="s">
        <v>1168</v>
      </c>
      <c r="B341" s="724" t="s">
        <v>960</v>
      </c>
      <c r="C341" s="723">
        <f>'CPCA-I-02'!F11-'CPCA-I-02'!G11</f>
        <v>3702460.8200000003</v>
      </c>
    </row>
    <row r="342" spans="1:3" x14ac:dyDescent="0.25">
      <c r="A342" s="724" t="s">
        <v>1167</v>
      </c>
      <c r="B342" s="724" t="s">
        <v>1006</v>
      </c>
      <c r="C342" s="723">
        <f>'CPCA-I-02'!F12-'CPCA-I-02'!G12</f>
        <v>0</v>
      </c>
    </row>
    <row r="343" spans="1:3" x14ac:dyDescent="0.25">
      <c r="A343" s="724" t="s">
        <v>1166</v>
      </c>
      <c r="B343" s="724" t="s">
        <v>1004</v>
      </c>
      <c r="C343" s="723">
        <f>'CPCA-I-02'!F13-'CPCA-I-02'!G13</f>
        <v>-3435321.8000000045</v>
      </c>
    </row>
    <row r="344" spans="1:3" x14ac:dyDescent="0.25">
      <c r="A344" s="724" t="s">
        <v>1165</v>
      </c>
      <c r="B344" s="724" t="s">
        <v>1164</v>
      </c>
      <c r="C344" s="723">
        <f>'CPCA-I-02'!F14-'CPCA-I-02'!G14</f>
        <v>48486612</v>
      </c>
    </row>
    <row r="345" spans="1:3" x14ac:dyDescent="0.25">
      <c r="A345" s="724" t="s">
        <v>1163</v>
      </c>
      <c r="B345" s="724" t="s">
        <v>1000</v>
      </c>
      <c r="C345" s="723">
        <f>'CPCA-I-02'!F15-'CPCA-I-02'!G15</f>
        <v>10635717.82</v>
      </c>
    </row>
    <row r="346" spans="1:3" x14ac:dyDescent="0.25">
      <c r="A346" s="724" t="s">
        <v>1162</v>
      </c>
      <c r="B346" s="724" t="s">
        <v>1161</v>
      </c>
      <c r="C346" s="723"/>
    </row>
    <row r="347" spans="1:3" x14ac:dyDescent="0.25">
      <c r="A347" s="724" t="s">
        <v>1160</v>
      </c>
      <c r="B347" s="724" t="s">
        <v>996</v>
      </c>
      <c r="C347" s="723">
        <f>'CPCA-I-02'!F17-'CPCA-I-02'!G17</f>
        <v>4848529.4300000072</v>
      </c>
    </row>
    <row r="348" spans="1:3" x14ac:dyDescent="0.25">
      <c r="A348" s="1393" t="s">
        <v>1159</v>
      </c>
      <c r="B348" s="1393" t="s">
        <v>1158</v>
      </c>
      <c r="C348" s="723">
        <f>SUM(C350:C354)</f>
        <v>-1289920.51</v>
      </c>
    </row>
    <row r="349" spans="1:3" x14ac:dyDescent="0.25">
      <c r="A349" s="1393"/>
      <c r="B349" s="1393"/>
      <c r="C349" s="723"/>
    </row>
    <row r="350" spans="1:3" x14ac:dyDescent="0.25">
      <c r="A350" s="724" t="s">
        <v>1157</v>
      </c>
      <c r="B350" s="724" t="s">
        <v>956</v>
      </c>
      <c r="C350" s="723"/>
    </row>
    <row r="351" spans="1:3" x14ac:dyDescent="0.25">
      <c r="A351" s="724" t="s">
        <v>1156</v>
      </c>
      <c r="B351" s="724" t="s">
        <v>954</v>
      </c>
      <c r="C351" s="723"/>
    </row>
    <row r="352" spans="1:3" x14ac:dyDescent="0.25">
      <c r="A352" s="724" t="s">
        <v>1155</v>
      </c>
      <c r="B352" s="724" t="s">
        <v>952</v>
      </c>
      <c r="C352" s="723">
        <f>'CPCA-I-02'!F21-'CPCA-I-02'!G21</f>
        <v>-1289920.51</v>
      </c>
    </row>
    <row r="353" spans="1:3" x14ac:dyDescent="0.25">
      <c r="A353" s="724" t="s">
        <v>1154</v>
      </c>
      <c r="B353" s="724" t="s">
        <v>989</v>
      </c>
      <c r="C353" s="723"/>
    </row>
    <row r="354" spans="1:3" x14ac:dyDescent="0.25">
      <c r="A354" s="724" t="s">
        <v>1153</v>
      </c>
      <c r="B354" s="724" t="s">
        <v>987</v>
      </c>
      <c r="C354" s="723"/>
    </row>
    <row r="355" spans="1:3" x14ac:dyDescent="0.25">
      <c r="A355" s="724" t="s">
        <v>1152</v>
      </c>
      <c r="B355" s="724" t="s">
        <v>1151</v>
      </c>
      <c r="C355" s="723">
        <f>+C356+C359</f>
        <v>-0.02</v>
      </c>
    </row>
    <row r="356" spans="1:3" x14ac:dyDescent="0.25">
      <c r="A356" s="724" t="s">
        <v>1150</v>
      </c>
      <c r="B356" s="724" t="s">
        <v>1149</v>
      </c>
      <c r="C356" s="723">
        <f>+C357+C358</f>
        <v>0</v>
      </c>
    </row>
    <row r="357" spans="1:3" x14ac:dyDescent="0.25">
      <c r="A357" s="724" t="s">
        <v>1148</v>
      </c>
      <c r="B357" s="724" t="s">
        <v>1147</v>
      </c>
      <c r="C357" s="723"/>
    </row>
    <row r="358" spans="1:3" x14ac:dyDescent="0.25">
      <c r="A358" s="724" t="s">
        <v>1146</v>
      </c>
      <c r="B358" s="724" t="s">
        <v>1145</v>
      </c>
      <c r="C358" s="723"/>
    </row>
    <row r="359" spans="1:3" x14ac:dyDescent="0.25">
      <c r="A359" s="724" t="s">
        <v>1144</v>
      </c>
      <c r="B359" s="724" t="s">
        <v>942</v>
      </c>
      <c r="C359" s="723">
        <f>+C360+C361</f>
        <v>-0.02</v>
      </c>
    </row>
    <row r="360" spans="1:3" x14ac:dyDescent="0.25">
      <c r="A360" s="724" t="s">
        <v>1143</v>
      </c>
      <c r="B360" s="724" t="s">
        <v>1142</v>
      </c>
      <c r="C360" s="723">
        <f>'CPCA-I-02'!F23-'CPCA-I-02'!G23</f>
        <v>-0.02</v>
      </c>
    </row>
    <row r="361" spans="1:3" x14ac:dyDescent="0.25">
      <c r="A361" s="724" t="s">
        <v>1141</v>
      </c>
      <c r="B361" s="724" t="s">
        <v>1140</v>
      </c>
      <c r="C361" s="723"/>
    </row>
    <row r="362" spans="1:3" x14ac:dyDescent="0.25">
      <c r="A362" s="1393" t="s">
        <v>1139</v>
      </c>
      <c r="B362" s="1393" t="s">
        <v>1138</v>
      </c>
      <c r="C362" s="723">
        <f>+C364+C365+C366</f>
        <v>0</v>
      </c>
    </row>
    <row r="363" spans="1:3" x14ac:dyDescent="0.25">
      <c r="A363" s="1393"/>
      <c r="B363" s="1393"/>
      <c r="C363" s="723"/>
    </row>
    <row r="364" spans="1:3" x14ac:dyDescent="0.25">
      <c r="A364" s="724" t="s">
        <v>1137</v>
      </c>
      <c r="B364" s="724" t="s">
        <v>934</v>
      </c>
      <c r="C364" s="723"/>
    </row>
    <row r="365" spans="1:3" x14ac:dyDescent="0.25">
      <c r="A365" s="724" t="s">
        <v>1136</v>
      </c>
      <c r="B365" s="724" t="s">
        <v>1105</v>
      </c>
      <c r="C365" s="723"/>
    </row>
    <row r="366" spans="1:3" x14ac:dyDescent="0.25">
      <c r="A366" s="724" t="s">
        <v>1135</v>
      </c>
      <c r="B366" s="724" t="s">
        <v>281</v>
      </c>
      <c r="C366" s="723"/>
    </row>
    <row r="367" spans="1:3" x14ac:dyDescent="0.25">
      <c r="A367" s="724"/>
      <c r="B367" s="724"/>
      <c r="C367" s="723"/>
    </row>
    <row r="368" spans="1:3" x14ac:dyDescent="0.25">
      <c r="A368" s="724" t="s">
        <v>1134</v>
      </c>
      <c r="B368" s="724" t="s">
        <v>1133</v>
      </c>
      <c r="C368" s="723">
        <f>+C370+C374+C380+C383+C387</f>
        <v>667238007.28999996</v>
      </c>
    </row>
    <row r="369" spans="1:3" x14ac:dyDescent="0.25">
      <c r="A369" s="724"/>
      <c r="B369" s="724"/>
      <c r="C369" s="723"/>
    </row>
    <row r="370" spans="1:3" x14ac:dyDescent="0.25">
      <c r="A370" s="1393" t="s">
        <v>1132</v>
      </c>
      <c r="B370" s="1393" t="s">
        <v>1131</v>
      </c>
      <c r="C370" s="723">
        <f>+C372+C373</f>
        <v>0</v>
      </c>
    </row>
    <row r="371" spans="1:3" x14ac:dyDescent="0.25">
      <c r="A371" s="1393"/>
      <c r="B371" s="1393"/>
      <c r="C371" s="723"/>
    </row>
    <row r="372" spans="1:3" x14ac:dyDescent="0.25">
      <c r="A372" s="724" t="s">
        <v>1130</v>
      </c>
      <c r="B372" s="724" t="s">
        <v>1129</v>
      </c>
      <c r="C372" s="723"/>
    </row>
    <row r="373" spans="1:3" x14ac:dyDescent="0.25">
      <c r="A373" s="724" t="s">
        <v>1128</v>
      </c>
      <c r="B373" s="724" t="s">
        <v>960</v>
      </c>
      <c r="C373" s="723"/>
    </row>
    <row r="374" spans="1:3" x14ac:dyDescent="0.25">
      <c r="A374" s="1393" t="s">
        <v>1127</v>
      </c>
      <c r="B374" s="1393" t="s">
        <v>1126</v>
      </c>
      <c r="C374" s="723">
        <f>+C376+C377+C378</f>
        <v>0</v>
      </c>
    </row>
    <row r="375" spans="1:3" x14ac:dyDescent="0.25">
      <c r="A375" s="1393"/>
      <c r="B375" s="1393"/>
      <c r="C375" s="723"/>
    </row>
    <row r="376" spans="1:3" x14ac:dyDescent="0.25">
      <c r="A376" s="724" t="s">
        <v>1125</v>
      </c>
      <c r="B376" s="724" t="s">
        <v>956</v>
      </c>
      <c r="C376" s="723"/>
    </row>
    <row r="377" spans="1:3" x14ac:dyDescent="0.25">
      <c r="A377" s="724" t="s">
        <v>1124</v>
      </c>
      <c r="B377" s="724" t="s">
        <v>954</v>
      </c>
      <c r="C377" s="723"/>
    </row>
    <row r="378" spans="1:3" x14ac:dyDescent="0.25">
      <c r="A378" s="724" t="s">
        <v>1123</v>
      </c>
      <c r="B378" s="724" t="s">
        <v>1122</v>
      </c>
      <c r="C378" s="723"/>
    </row>
    <row r="379" spans="1:3" x14ac:dyDescent="0.25">
      <c r="A379" s="724"/>
      <c r="B379" s="724"/>
      <c r="C379" s="723"/>
    </row>
    <row r="380" spans="1:3" x14ac:dyDescent="0.25">
      <c r="A380" s="724" t="s">
        <v>1121</v>
      </c>
      <c r="B380" s="724" t="s">
        <v>1120</v>
      </c>
      <c r="C380" s="723">
        <f>+C381+C382</f>
        <v>0</v>
      </c>
    </row>
    <row r="381" spans="1:3" x14ac:dyDescent="0.25">
      <c r="A381" s="724" t="s">
        <v>1119</v>
      </c>
      <c r="B381" s="724" t="s">
        <v>1118</v>
      </c>
      <c r="C381" s="723"/>
    </row>
    <row r="382" spans="1:3" x14ac:dyDescent="0.25">
      <c r="A382" s="724" t="s">
        <v>1117</v>
      </c>
      <c r="B382" s="724" t="s">
        <v>1116</v>
      </c>
      <c r="C382" s="723"/>
    </row>
    <row r="383" spans="1:3" x14ac:dyDescent="0.25">
      <c r="A383" s="724" t="s">
        <v>1115</v>
      </c>
      <c r="B383" s="724" t="s">
        <v>1114</v>
      </c>
      <c r="C383" s="723">
        <f>+C384+C385</f>
        <v>-30933478.770000011</v>
      </c>
    </row>
    <row r="384" spans="1:3" x14ac:dyDescent="0.25">
      <c r="A384" s="724" t="s">
        <v>1113</v>
      </c>
      <c r="B384" s="724" t="s">
        <v>1112</v>
      </c>
      <c r="C384" s="723">
        <f>'CPCA-I-02'!F49-'CPCA-I-02'!G49</f>
        <v>-30933478.770000011</v>
      </c>
    </row>
    <row r="385" spans="1:3" x14ac:dyDescent="0.25">
      <c r="A385" s="724" t="s">
        <v>1111</v>
      </c>
      <c r="B385" s="724" t="s">
        <v>1110</v>
      </c>
      <c r="C385" s="723"/>
    </row>
    <row r="386" spans="1:3" x14ac:dyDescent="0.25">
      <c r="A386" s="724"/>
      <c r="B386" s="724"/>
      <c r="C386" s="723"/>
    </row>
    <row r="387" spans="1:3" x14ac:dyDescent="0.25">
      <c r="A387" s="1393" t="s">
        <v>1109</v>
      </c>
      <c r="B387" s="1393" t="s">
        <v>1108</v>
      </c>
      <c r="C387" s="723">
        <f>+C389+C390+C391</f>
        <v>698171486.05999994</v>
      </c>
    </row>
    <row r="388" spans="1:3" x14ac:dyDescent="0.25">
      <c r="A388" s="1393"/>
      <c r="B388" s="1393"/>
      <c r="C388" s="723"/>
    </row>
    <row r="389" spans="1:3" x14ac:dyDescent="0.25">
      <c r="A389" s="724" t="s">
        <v>1107</v>
      </c>
      <c r="B389" s="724" t="s">
        <v>934</v>
      </c>
      <c r="C389" s="723"/>
    </row>
    <row r="390" spans="1:3" x14ac:dyDescent="0.25">
      <c r="A390" s="724" t="s">
        <v>1106</v>
      </c>
      <c r="B390" s="724" t="s">
        <v>1105</v>
      </c>
      <c r="C390" s="723"/>
    </row>
    <row r="391" spans="1:3" x14ac:dyDescent="0.25">
      <c r="A391" s="724" t="s">
        <v>1104</v>
      </c>
      <c r="B391" s="724" t="s">
        <v>281</v>
      </c>
      <c r="C391" s="723">
        <f>'CPCA-I-02'!F52-'CPCA-I-02'!G52</f>
        <v>698171486.05999994</v>
      </c>
    </row>
    <row r="392" spans="1:3" x14ac:dyDescent="0.25">
      <c r="A392" s="724"/>
      <c r="B392" s="724"/>
      <c r="C392" s="723"/>
    </row>
    <row r="393" spans="1:3" x14ac:dyDescent="0.25">
      <c r="A393" s="722" t="s">
        <v>1103</v>
      </c>
      <c r="B393" s="722" t="s">
        <v>1102</v>
      </c>
      <c r="C393" s="721"/>
    </row>
    <row r="394" spans="1:3" x14ac:dyDescent="0.25">
      <c r="A394" s="724"/>
      <c r="B394" s="722"/>
      <c r="C394" s="721"/>
    </row>
    <row r="395" spans="1:3" x14ac:dyDescent="0.25">
      <c r="A395" s="724"/>
      <c r="B395" s="722" t="s">
        <v>1101</v>
      </c>
      <c r="C395" s="721">
        <f>+C280</f>
        <v>1489497155.6699998</v>
      </c>
    </row>
    <row r="396" spans="1:3" x14ac:dyDescent="0.25">
      <c r="A396" s="724"/>
      <c r="B396" s="724"/>
      <c r="C396" s="723"/>
    </row>
    <row r="397" spans="1:3" x14ac:dyDescent="0.25">
      <c r="A397" s="722"/>
      <c r="B397" s="722"/>
      <c r="C397" s="721"/>
    </row>
    <row r="398" spans="1:3" x14ac:dyDescent="0.25">
      <c r="A398" s="722">
        <v>3.2</v>
      </c>
      <c r="B398" s="722" t="s">
        <v>1100</v>
      </c>
      <c r="C398" s="721">
        <f>+C400+C452+C504</f>
        <v>1817835733.8499999</v>
      </c>
    </row>
    <row r="399" spans="1:3" x14ac:dyDescent="0.25">
      <c r="A399" s="722"/>
      <c r="B399" s="722"/>
      <c r="C399" s="721"/>
    </row>
    <row r="400" spans="1:3" x14ac:dyDescent="0.25">
      <c r="A400" s="722" t="s">
        <v>1099</v>
      </c>
      <c r="B400" s="722" t="s">
        <v>1098</v>
      </c>
      <c r="C400" s="721">
        <f>+C401+C434</f>
        <v>1142395633.6700001</v>
      </c>
    </row>
    <row r="401" spans="1:3" x14ac:dyDescent="0.25">
      <c r="A401" s="724" t="s">
        <v>1097</v>
      </c>
      <c r="B401" s="724" t="s">
        <v>1096</v>
      </c>
      <c r="C401" s="723">
        <f>+C402+C411+C422+C425+C426</f>
        <v>431566178.04999995</v>
      </c>
    </row>
    <row r="402" spans="1:3" x14ac:dyDescent="0.25">
      <c r="A402" s="1393" t="s">
        <v>1095</v>
      </c>
      <c r="B402" s="1393" t="s">
        <v>1094</v>
      </c>
      <c r="C402" s="723">
        <f>SUM(C404:C410)</f>
        <v>133268926.36999992</v>
      </c>
    </row>
    <row r="403" spans="1:3" x14ac:dyDescent="0.25">
      <c r="A403" s="1393"/>
      <c r="B403" s="1393"/>
      <c r="C403" s="723"/>
    </row>
    <row r="404" spans="1:3" x14ac:dyDescent="0.25">
      <c r="A404" s="724" t="s">
        <v>1093</v>
      </c>
      <c r="B404" s="724" t="s">
        <v>1092</v>
      </c>
      <c r="C404" s="723">
        <f>'CPCA-I-02'!B9-'CPCA-I-02'!C9</f>
        <v>18000</v>
      </c>
    </row>
    <row r="405" spans="1:3" x14ac:dyDescent="0.25">
      <c r="A405" s="724" t="s">
        <v>1091</v>
      </c>
      <c r="B405" s="724" t="s">
        <v>1090</v>
      </c>
      <c r="C405" s="723">
        <f>'CPCA-I-02'!B10-'CPCA-I-02'!C10</f>
        <v>157961439.95999992</v>
      </c>
    </row>
    <row r="406" spans="1:3" x14ac:dyDescent="0.25">
      <c r="A406" s="724" t="s">
        <v>1089</v>
      </c>
      <c r="B406" s="724" t="s">
        <v>1088</v>
      </c>
      <c r="C406" s="723">
        <f>'CPCA-I-02'!B11-'CPCA-I-02'!C11</f>
        <v>0</v>
      </c>
    </row>
    <row r="407" spans="1:3" x14ac:dyDescent="0.25">
      <c r="A407" s="724" t="s">
        <v>1087</v>
      </c>
      <c r="B407" s="724" t="s">
        <v>1086</v>
      </c>
      <c r="C407" s="723">
        <f>'CPCA-I-02'!B12-'CPCA-I-02'!C12</f>
        <v>-24710513.589999996</v>
      </c>
    </row>
    <row r="408" spans="1:3" x14ac:dyDescent="0.25">
      <c r="A408" s="724" t="s">
        <v>1085</v>
      </c>
      <c r="B408" s="724" t="s">
        <v>1084</v>
      </c>
      <c r="C408" s="723"/>
    </row>
    <row r="409" spans="1:3" x14ac:dyDescent="0.25">
      <c r="A409" s="724" t="s">
        <v>1083</v>
      </c>
      <c r="B409" s="724" t="s">
        <v>1082</v>
      </c>
      <c r="C409" s="723"/>
    </row>
    <row r="410" spans="1:3" x14ac:dyDescent="0.25">
      <c r="A410" s="724" t="s">
        <v>1081</v>
      </c>
      <c r="B410" s="724" t="s">
        <v>1080</v>
      </c>
      <c r="C410" s="723"/>
    </row>
    <row r="411" spans="1:3" x14ac:dyDescent="0.25">
      <c r="A411" s="1393" t="s">
        <v>1079</v>
      </c>
      <c r="B411" s="1393" t="s">
        <v>1078</v>
      </c>
      <c r="C411" s="723">
        <f>SUM(C413:C415)</f>
        <v>0</v>
      </c>
    </row>
    <row r="412" spans="1:3" x14ac:dyDescent="0.25">
      <c r="A412" s="1393"/>
      <c r="B412" s="1393"/>
      <c r="C412" s="723"/>
    </row>
    <row r="413" spans="1:3" x14ac:dyDescent="0.25">
      <c r="A413" s="724" t="s">
        <v>1077</v>
      </c>
      <c r="B413" s="724" t="s">
        <v>275</v>
      </c>
      <c r="C413" s="723"/>
    </row>
    <row r="414" spans="1:3" x14ac:dyDescent="0.25">
      <c r="A414" s="724" t="s">
        <v>1076</v>
      </c>
      <c r="B414" s="724" t="s">
        <v>520</v>
      </c>
      <c r="C414" s="723"/>
    </row>
    <row r="415" spans="1:3" x14ac:dyDescent="0.25">
      <c r="A415" s="724" t="s">
        <v>1075</v>
      </c>
      <c r="B415" s="724" t="s">
        <v>524</v>
      </c>
      <c r="C415" s="723"/>
    </row>
    <row r="416" spans="1:3" x14ac:dyDescent="0.25">
      <c r="A416" s="1393" t="s">
        <v>1074</v>
      </c>
      <c r="B416" s="1393" t="s">
        <v>1073</v>
      </c>
      <c r="C416" s="723">
        <f>SUM(C418:C421)</f>
        <v>327868380.49999994</v>
      </c>
    </row>
    <row r="417" spans="1:3" x14ac:dyDescent="0.25">
      <c r="A417" s="1393"/>
      <c r="B417" s="1393"/>
      <c r="C417" s="723"/>
    </row>
    <row r="418" spans="1:3" x14ac:dyDescent="0.25">
      <c r="A418" s="724" t="s">
        <v>1072</v>
      </c>
      <c r="B418" s="724" t="s">
        <v>1071</v>
      </c>
      <c r="C418" s="723">
        <f>'CPCA-I-02'!B18-'CPCA-I-02'!C18</f>
        <v>39087149.089999914</v>
      </c>
    </row>
    <row r="419" spans="1:3" x14ac:dyDescent="0.25">
      <c r="A419" s="724" t="s">
        <v>1070</v>
      </c>
      <c r="B419" s="724" t="s">
        <v>1069</v>
      </c>
      <c r="C419" s="723">
        <f>'CPCA-I-02'!B19-'CPCA-I-02'!C19</f>
        <v>288781231.41000003</v>
      </c>
    </row>
    <row r="420" spans="1:3" x14ac:dyDescent="0.25">
      <c r="A420" s="724" t="s">
        <v>1068</v>
      </c>
      <c r="B420" s="724" t="s">
        <v>1067</v>
      </c>
      <c r="C420" s="723"/>
    </row>
    <row r="421" spans="1:3" x14ac:dyDescent="0.25">
      <c r="A421" s="724" t="s">
        <v>1066</v>
      </c>
      <c r="B421" s="724" t="s">
        <v>1065</v>
      </c>
      <c r="C421" s="723"/>
    </row>
    <row r="422" spans="1:3" x14ac:dyDescent="0.25">
      <c r="A422" s="1393" t="s">
        <v>1064</v>
      </c>
      <c r="B422" s="1393" t="s">
        <v>1063</v>
      </c>
      <c r="C422" s="723">
        <f>+C424</f>
        <v>51643860.719999991</v>
      </c>
    </row>
    <row r="423" spans="1:3" x14ac:dyDescent="0.25">
      <c r="A423" s="1393"/>
      <c r="B423" s="1393"/>
      <c r="C423" s="723"/>
    </row>
    <row r="424" spans="1:3" x14ac:dyDescent="0.25">
      <c r="A424" s="724" t="s">
        <v>1062</v>
      </c>
      <c r="B424" s="724" t="s">
        <v>1061</v>
      </c>
      <c r="C424" s="723">
        <f>'CPCA-I-02'!B23-'CPCA-I-02'!C23</f>
        <v>51643860.719999991</v>
      </c>
    </row>
    <row r="425" spans="1:3" x14ac:dyDescent="0.25">
      <c r="A425" s="724" t="s">
        <v>1060</v>
      </c>
      <c r="B425" s="724" t="s">
        <v>1059</v>
      </c>
      <c r="C425" s="723"/>
    </row>
    <row r="426" spans="1:3" x14ac:dyDescent="0.25">
      <c r="A426" s="1393" t="s">
        <v>1058</v>
      </c>
      <c r="B426" s="1393" t="s">
        <v>1057</v>
      </c>
      <c r="C426" s="723">
        <f>SUM(C428:C433)</f>
        <v>246653390.96000001</v>
      </c>
    </row>
    <row r="427" spans="1:3" x14ac:dyDescent="0.25">
      <c r="A427" s="1393"/>
      <c r="B427" s="1393"/>
      <c r="C427" s="723"/>
    </row>
    <row r="428" spans="1:3" x14ac:dyDescent="0.25">
      <c r="A428" s="724" t="s">
        <v>1056</v>
      </c>
      <c r="B428" s="724" t="s">
        <v>1055</v>
      </c>
      <c r="C428" s="723">
        <f>'CPCA-I-02'!B25-'CPCA-I-02'!C25</f>
        <v>5087.0199999999995</v>
      </c>
    </row>
    <row r="429" spans="1:3" x14ac:dyDescent="0.25">
      <c r="A429" s="724" t="s">
        <v>1054</v>
      </c>
      <c r="B429" s="724" t="s">
        <v>1053</v>
      </c>
      <c r="C429" s="723">
        <f>'CPCA-I-02'!B26-'CPCA-I-02'!C26</f>
        <v>0</v>
      </c>
    </row>
    <row r="430" spans="1:3" x14ac:dyDescent="0.25">
      <c r="A430" s="724" t="s">
        <v>1052</v>
      </c>
      <c r="B430" s="724" t="s">
        <v>1051</v>
      </c>
      <c r="C430" s="723"/>
    </row>
    <row r="431" spans="1:3" x14ac:dyDescent="0.25">
      <c r="A431" s="724" t="s">
        <v>1050</v>
      </c>
      <c r="B431" s="724" t="s">
        <v>1049</v>
      </c>
      <c r="C431" s="723">
        <f>'CPCA-I-02'!B28-'CPCA-I-02'!C28</f>
        <v>246648303.94</v>
      </c>
    </row>
    <row r="432" spans="1:3" x14ac:dyDescent="0.25">
      <c r="A432" s="724" t="s">
        <v>1048</v>
      </c>
      <c r="B432" s="724" t="s">
        <v>1047</v>
      </c>
      <c r="C432" s="723"/>
    </row>
    <row r="433" spans="1:3" x14ac:dyDescent="0.25">
      <c r="A433" s="724" t="s">
        <v>1046</v>
      </c>
      <c r="B433" s="724" t="s">
        <v>39</v>
      </c>
      <c r="C433" s="723"/>
    </row>
    <row r="434" spans="1:3" ht="18" customHeight="1" x14ac:dyDescent="0.25">
      <c r="A434" s="724" t="s">
        <v>1045</v>
      </c>
      <c r="B434" s="724" t="s">
        <v>1044</v>
      </c>
      <c r="C434" s="723">
        <f>+C435+C444</f>
        <v>710829455.62</v>
      </c>
    </row>
    <row r="435" spans="1:3" x14ac:dyDescent="0.25">
      <c r="A435" s="724" t="s">
        <v>1043</v>
      </c>
      <c r="B435" s="724" t="s">
        <v>1042</v>
      </c>
      <c r="C435" s="723">
        <f>+C436+C439+C440+C441</f>
        <v>0</v>
      </c>
    </row>
    <row r="436" spans="1:3" x14ac:dyDescent="0.25">
      <c r="A436" s="724" t="s">
        <v>1041</v>
      </c>
      <c r="B436" s="724" t="s">
        <v>1040</v>
      </c>
      <c r="C436" s="723">
        <f>+C437+C438</f>
        <v>0</v>
      </c>
    </row>
    <row r="437" spans="1:3" x14ac:dyDescent="0.25">
      <c r="A437" s="724" t="s">
        <v>1039</v>
      </c>
      <c r="B437" s="724" t="s">
        <v>1031</v>
      </c>
      <c r="C437" s="723"/>
    </row>
    <row r="438" spans="1:3" x14ac:dyDescent="0.25">
      <c r="A438" s="724" t="s">
        <v>1038</v>
      </c>
      <c r="B438" s="724" t="s">
        <v>1029</v>
      </c>
      <c r="C438" s="723"/>
    </row>
    <row r="439" spans="1:3" x14ac:dyDescent="0.25">
      <c r="A439" s="724" t="s">
        <v>1037</v>
      </c>
      <c r="B439" s="724" t="s">
        <v>1036</v>
      </c>
      <c r="C439" s="723"/>
    </row>
    <row r="440" spans="1:3" x14ac:dyDescent="0.25">
      <c r="A440" s="724" t="s">
        <v>1035</v>
      </c>
      <c r="B440" s="724" t="s">
        <v>1034</v>
      </c>
      <c r="C440" s="723"/>
    </row>
    <row r="441" spans="1:3" x14ac:dyDescent="0.25">
      <c r="A441" s="724" t="s">
        <v>1033</v>
      </c>
      <c r="B441" s="724" t="s">
        <v>522</v>
      </c>
      <c r="C441" s="723">
        <f>+C442+C443</f>
        <v>0</v>
      </c>
    </row>
    <row r="442" spans="1:3" x14ac:dyDescent="0.25">
      <c r="A442" s="724" t="s">
        <v>1032</v>
      </c>
      <c r="B442" s="724" t="s">
        <v>1031</v>
      </c>
      <c r="C442" s="723"/>
    </row>
    <row r="443" spans="1:3" x14ac:dyDescent="0.25">
      <c r="A443" s="724" t="s">
        <v>1030</v>
      </c>
      <c r="B443" s="724" t="s">
        <v>1029</v>
      </c>
      <c r="C443" s="723"/>
    </row>
    <row r="444" spans="1:3" x14ac:dyDescent="0.25">
      <c r="A444" s="1393" t="s">
        <v>1028</v>
      </c>
      <c r="B444" s="1393" t="s">
        <v>1027</v>
      </c>
      <c r="C444" s="723">
        <f>+C446+C447+C448+C449+C450</f>
        <v>710829455.62</v>
      </c>
    </row>
    <row r="445" spans="1:3" x14ac:dyDescent="0.25">
      <c r="A445" s="1393"/>
      <c r="B445" s="1393"/>
      <c r="C445" s="723"/>
    </row>
    <row r="446" spans="1:3" x14ac:dyDescent="0.25">
      <c r="A446" s="724" t="s">
        <v>1026</v>
      </c>
      <c r="B446" s="724" t="s">
        <v>1025</v>
      </c>
      <c r="C446" s="723"/>
    </row>
    <row r="447" spans="1:3" x14ac:dyDescent="0.25">
      <c r="A447" s="724" t="s">
        <v>1024</v>
      </c>
      <c r="B447" s="724" t="s">
        <v>1023</v>
      </c>
      <c r="C447" s="723"/>
    </row>
    <row r="448" spans="1:3" x14ac:dyDescent="0.25">
      <c r="A448" s="724" t="s">
        <v>1022</v>
      </c>
      <c r="B448" s="724" t="s">
        <v>1021</v>
      </c>
      <c r="C448" s="723">
        <f>'CPCA-I-02'!B48-'CPCA-I-02'!C48</f>
        <v>710832020.62</v>
      </c>
    </row>
    <row r="449" spans="1:3" x14ac:dyDescent="0.25">
      <c r="A449" s="724" t="s">
        <v>1020</v>
      </c>
      <c r="B449" s="724" t="s">
        <v>58</v>
      </c>
      <c r="C449" s="723">
        <f>'CPCA-I-02'!B53-'CPCA-I-02'!C53</f>
        <v>-2565</v>
      </c>
    </row>
    <row r="450" spans="1:3" x14ac:dyDescent="0.25">
      <c r="A450" s="724" t="s">
        <v>1019</v>
      </c>
      <c r="B450" s="724" t="s">
        <v>1018</v>
      </c>
      <c r="C450" s="723"/>
    </row>
    <row r="451" spans="1:3" x14ac:dyDescent="0.25">
      <c r="A451" s="724"/>
      <c r="B451" s="724"/>
      <c r="C451" s="723"/>
    </row>
    <row r="452" spans="1:3" x14ac:dyDescent="0.25">
      <c r="A452" s="722" t="s">
        <v>1017</v>
      </c>
      <c r="B452" s="722" t="s">
        <v>1016</v>
      </c>
      <c r="C452" s="721">
        <f>+C453+C484</f>
        <v>675440100.17999995</v>
      </c>
    </row>
    <row r="453" spans="1:3" x14ac:dyDescent="0.25">
      <c r="A453" s="724" t="s">
        <v>1015</v>
      </c>
      <c r="B453" s="724" t="s">
        <v>1014</v>
      </c>
      <c r="C453" s="723">
        <f>+C454+C465+C472+C479</f>
        <v>8202092.8899999987</v>
      </c>
    </row>
    <row r="454" spans="1:3" x14ac:dyDescent="0.25">
      <c r="A454" s="1393" t="s">
        <v>1013</v>
      </c>
      <c r="B454" s="1393" t="s">
        <v>1012</v>
      </c>
      <c r="C454" s="723">
        <f>SUM(C456:C464)</f>
        <v>9492013.4199999981</v>
      </c>
    </row>
    <row r="455" spans="1:3" x14ac:dyDescent="0.25">
      <c r="A455" s="1393"/>
      <c r="B455" s="1393"/>
      <c r="C455" s="723"/>
    </row>
    <row r="456" spans="1:3" x14ac:dyDescent="0.25">
      <c r="A456" s="724" t="s">
        <v>1011</v>
      </c>
      <c r="B456" s="724" t="s">
        <v>1010</v>
      </c>
      <c r="C456" s="723">
        <f>'CPCA-I-02'!F9-'CPCA-I-02'!G9</f>
        <v>-525816.64999999991</v>
      </c>
    </row>
    <row r="457" spans="1:3" x14ac:dyDescent="0.25">
      <c r="A457" s="724" t="s">
        <v>1009</v>
      </c>
      <c r="B457" s="724" t="s">
        <v>962</v>
      </c>
      <c r="C457" s="723">
        <f>'CPCA-I-02'!F10-'CPCA-I-02'!G10</f>
        <v>404893.74000000209</v>
      </c>
    </row>
    <row r="458" spans="1:3" x14ac:dyDescent="0.25">
      <c r="A458" s="724" t="s">
        <v>1008</v>
      </c>
      <c r="B458" s="724" t="s">
        <v>960</v>
      </c>
      <c r="C458" s="723">
        <f>'CPCA-I-02'!F11-'CPCA-I-02'!G11</f>
        <v>3702460.8200000003</v>
      </c>
    </row>
    <row r="459" spans="1:3" x14ac:dyDescent="0.25">
      <c r="A459" s="724" t="s">
        <v>1007</v>
      </c>
      <c r="B459" s="724" t="s">
        <v>1006</v>
      </c>
      <c r="C459" s="723"/>
    </row>
    <row r="460" spans="1:3" x14ac:dyDescent="0.25">
      <c r="A460" s="724" t="s">
        <v>1005</v>
      </c>
      <c r="B460" s="724" t="s">
        <v>1004</v>
      </c>
      <c r="C460" s="723">
        <f>'CPCA-I-02'!F13-'CPCA-I-02'!G13</f>
        <v>-3435321.8000000045</v>
      </c>
    </row>
    <row r="461" spans="1:3" x14ac:dyDescent="0.25">
      <c r="A461" s="724" t="s">
        <v>1003</v>
      </c>
      <c r="B461" s="724" t="s">
        <v>1002</v>
      </c>
      <c r="C461" s="723"/>
    </row>
    <row r="462" spans="1:3" x14ac:dyDescent="0.25">
      <c r="A462" s="724" t="s">
        <v>1001</v>
      </c>
      <c r="B462" s="724" t="s">
        <v>1000</v>
      </c>
      <c r="C462" s="723">
        <f>'CPCA-I-02'!F15-'CPCA-I-02'!G15</f>
        <v>10635717.82</v>
      </c>
    </row>
    <row r="463" spans="1:3" x14ac:dyDescent="0.25">
      <c r="A463" s="724" t="s">
        <v>999</v>
      </c>
      <c r="B463" s="724" t="s">
        <v>998</v>
      </c>
      <c r="C463" s="723"/>
    </row>
    <row r="464" spans="1:3" x14ac:dyDescent="0.25">
      <c r="A464" s="724" t="s">
        <v>997</v>
      </c>
      <c r="B464" s="724" t="s">
        <v>996</v>
      </c>
      <c r="C464" s="723">
        <f>'CPCA-I-02'!F21-'CPCA-I-02'!G21</f>
        <v>-1289920.51</v>
      </c>
    </row>
    <row r="465" spans="1:3" x14ac:dyDescent="0.25">
      <c r="A465" s="1393" t="s">
        <v>995</v>
      </c>
      <c r="B465" s="1393" t="s">
        <v>994</v>
      </c>
      <c r="C465" s="723">
        <f>+C467+C468+C469+C470+C471</f>
        <v>-1289920.51</v>
      </c>
    </row>
    <row r="466" spans="1:3" x14ac:dyDescent="0.25">
      <c r="A466" s="1393"/>
      <c r="B466" s="1393"/>
      <c r="C466" s="723"/>
    </row>
    <row r="467" spans="1:3" x14ac:dyDescent="0.25">
      <c r="A467" s="724" t="s">
        <v>993</v>
      </c>
      <c r="B467" s="724" t="s">
        <v>956</v>
      </c>
      <c r="C467" s="723"/>
    </row>
    <row r="468" spans="1:3" x14ac:dyDescent="0.25">
      <c r="A468" s="724" t="s">
        <v>992</v>
      </c>
      <c r="B468" s="724" t="s">
        <v>954</v>
      </c>
      <c r="C468" s="723"/>
    </row>
    <row r="469" spans="1:3" x14ac:dyDescent="0.25">
      <c r="A469" s="724" t="s">
        <v>991</v>
      </c>
      <c r="B469" s="724" t="s">
        <v>952</v>
      </c>
      <c r="C469" s="723">
        <f>'CPCA-I-02'!F21-'CPCA-I-02'!G21</f>
        <v>-1289920.51</v>
      </c>
    </row>
    <row r="470" spans="1:3" x14ac:dyDescent="0.25">
      <c r="A470" s="724" t="s">
        <v>990</v>
      </c>
      <c r="B470" s="724" t="s">
        <v>989</v>
      </c>
      <c r="C470" s="723"/>
    </row>
    <row r="471" spans="1:3" x14ac:dyDescent="0.25">
      <c r="A471" s="724" t="s">
        <v>988</v>
      </c>
      <c r="B471" s="724" t="s">
        <v>987</v>
      </c>
      <c r="C471" s="723"/>
    </row>
    <row r="472" spans="1:3" x14ac:dyDescent="0.25">
      <c r="A472" s="724" t="s">
        <v>986</v>
      </c>
      <c r="B472" s="724" t="s">
        <v>985</v>
      </c>
      <c r="C472" s="723">
        <f>+C473+C476</f>
        <v>-0.02</v>
      </c>
    </row>
    <row r="473" spans="1:3" ht="24" x14ac:dyDescent="0.25">
      <c r="A473" s="724" t="s">
        <v>984</v>
      </c>
      <c r="B473" s="724" t="s">
        <v>983</v>
      </c>
      <c r="C473" s="723">
        <f>+C474+C475</f>
        <v>0</v>
      </c>
    </row>
    <row r="474" spans="1:3" ht="24" x14ac:dyDescent="0.25">
      <c r="A474" s="724" t="s">
        <v>982</v>
      </c>
      <c r="B474" s="724" t="s">
        <v>981</v>
      </c>
      <c r="C474" s="723"/>
    </row>
    <row r="475" spans="1:3" ht="24" x14ac:dyDescent="0.25">
      <c r="A475" s="724" t="s">
        <v>980</v>
      </c>
      <c r="B475" s="724" t="s">
        <v>979</v>
      </c>
      <c r="C475" s="723"/>
    </row>
    <row r="476" spans="1:3" ht="24" x14ac:dyDescent="0.25">
      <c r="A476" s="724" t="s">
        <v>978</v>
      </c>
      <c r="B476" s="724" t="s">
        <v>977</v>
      </c>
      <c r="C476" s="723">
        <f>+C477+C478</f>
        <v>-0.02</v>
      </c>
    </row>
    <row r="477" spans="1:3" ht="24" x14ac:dyDescent="0.25">
      <c r="A477" s="724" t="s">
        <v>976</v>
      </c>
      <c r="B477" s="724" t="s">
        <v>975</v>
      </c>
      <c r="C477" s="723">
        <f>'CPCA-I-02'!F23-'CPCA-I-02'!G23</f>
        <v>-0.02</v>
      </c>
    </row>
    <row r="478" spans="1:3" ht="24" x14ac:dyDescent="0.25">
      <c r="A478" s="724" t="s">
        <v>974</v>
      </c>
      <c r="B478" s="724" t="s">
        <v>973</v>
      </c>
      <c r="C478" s="723"/>
    </row>
    <row r="479" spans="1:3" x14ac:dyDescent="0.25">
      <c r="A479" s="724" t="s">
        <v>972</v>
      </c>
      <c r="B479" s="724" t="s">
        <v>971</v>
      </c>
      <c r="C479" s="723">
        <f>+C480+C481+C482</f>
        <v>0</v>
      </c>
    </row>
    <row r="480" spans="1:3" x14ac:dyDescent="0.25">
      <c r="A480" s="724" t="s">
        <v>970</v>
      </c>
      <c r="B480" s="724" t="s">
        <v>934</v>
      </c>
      <c r="C480" s="723"/>
    </row>
    <row r="481" spans="1:3" x14ac:dyDescent="0.25">
      <c r="A481" s="724" t="s">
        <v>969</v>
      </c>
      <c r="B481" s="724" t="s">
        <v>932</v>
      </c>
      <c r="C481" s="723"/>
    </row>
    <row r="482" spans="1:3" x14ac:dyDescent="0.25">
      <c r="A482" s="724" t="s">
        <v>968</v>
      </c>
      <c r="B482" s="724" t="s">
        <v>281</v>
      </c>
      <c r="C482" s="723"/>
    </row>
    <row r="483" spans="1:3" ht="9.75" customHeight="1" x14ac:dyDescent="0.25">
      <c r="A483" s="724"/>
      <c r="B483" s="724"/>
      <c r="C483" s="723"/>
    </row>
    <row r="484" spans="1:3" x14ac:dyDescent="0.25">
      <c r="A484" s="724" t="s">
        <v>967</v>
      </c>
      <c r="B484" s="724" t="s">
        <v>966</v>
      </c>
      <c r="C484" s="723">
        <f>+C485+C488+C492+C499</f>
        <v>667238007.28999996</v>
      </c>
    </row>
    <row r="485" spans="1:3" x14ac:dyDescent="0.25">
      <c r="A485" s="724" t="s">
        <v>965</v>
      </c>
      <c r="B485" s="724" t="s">
        <v>964</v>
      </c>
      <c r="C485" s="723">
        <f>+C486+C487</f>
        <v>0</v>
      </c>
    </row>
    <row r="486" spans="1:3" x14ac:dyDescent="0.25">
      <c r="A486" s="724" t="s">
        <v>963</v>
      </c>
      <c r="B486" s="724" t="s">
        <v>962</v>
      </c>
      <c r="C486" s="723"/>
    </row>
    <row r="487" spans="1:3" x14ac:dyDescent="0.25">
      <c r="A487" s="724" t="s">
        <v>961</v>
      </c>
      <c r="B487" s="724" t="s">
        <v>960</v>
      </c>
      <c r="C487" s="723"/>
    </row>
    <row r="488" spans="1:3" x14ac:dyDescent="0.25">
      <c r="A488" s="724" t="s">
        <v>959</v>
      </c>
      <c r="B488" s="724" t="s">
        <v>958</v>
      </c>
      <c r="C488" s="723">
        <f>+C489+C490+C491</f>
        <v>0</v>
      </c>
    </row>
    <row r="489" spans="1:3" x14ac:dyDescent="0.25">
      <c r="A489" s="724" t="s">
        <v>957</v>
      </c>
      <c r="B489" s="724" t="s">
        <v>956</v>
      </c>
      <c r="C489" s="723"/>
    </row>
    <row r="490" spans="1:3" x14ac:dyDescent="0.25">
      <c r="A490" s="724" t="s">
        <v>955</v>
      </c>
      <c r="B490" s="724" t="s">
        <v>954</v>
      </c>
      <c r="C490" s="723"/>
    </row>
    <row r="491" spans="1:3" x14ac:dyDescent="0.25">
      <c r="A491" s="724" t="s">
        <v>953</v>
      </c>
      <c r="B491" s="724" t="s">
        <v>952</v>
      </c>
      <c r="C491" s="723"/>
    </row>
    <row r="492" spans="1:3" x14ac:dyDescent="0.25">
      <c r="A492" s="724" t="s">
        <v>951</v>
      </c>
      <c r="B492" s="724" t="s">
        <v>950</v>
      </c>
      <c r="C492" s="723">
        <f>+C493+C496</f>
        <v>-30933478.770000011</v>
      </c>
    </row>
    <row r="493" spans="1:3" x14ac:dyDescent="0.25">
      <c r="A493" s="724" t="s">
        <v>949</v>
      </c>
      <c r="B493" s="724" t="s">
        <v>948</v>
      </c>
      <c r="C493" s="723">
        <f>+C494+C495</f>
        <v>0</v>
      </c>
    </row>
    <row r="494" spans="1:3" x14ac:dyDescent="0.25">
      <c r="A494" s="724" t="s">
        <v>947</v>
      </c>
      <c r="B494" s="724" t="s">
        <v>946</v>
      </c>
      <c r="C494" s="723"/>
    </row>
    <row r="495" spans="1:3" x14ac:dyDescent="0.25">
      <c r="A495" s="724" t="s">
        <v>945</v>
      </c>
      <c r="B495" s="724" t="s">
        <v>944</v>
      </c>
      <c r="C495" s="723"/>
    </row>
    <row r="496" spans="1:3" x14ac:dyDescent="0.25">
      <c r="A496" s="724" t="s">
        <v>943</v>
      </c>
      <c r="B496" s="724" t="s">
        <v>942</v>
      </c>
      <c r="C496" s="723">
        <f>+C497+C498</f>
        <v>-30933478.770000011</v>
      </c>
    </row>
    <row r="497" spans="1:3" x14ac:dyDescent="0.25">
      <c r="A497" s="724" t="s">
        <v>941</v>
      </c>
      <c r="B497" s="724" t="s">
        <v>940</v>
      </c>
      <c r="C497" s="723">
        <f>'CPCA-I-02'!F49-'CPCA-I-02'!G49</f>
        <v>-30933478.770000011</v>
      </c>
    </row>
    <row r="498" spans="1:3" x14ac:dyDescent="0.25">
      <c r="A498" s="724" t="s">
        <v>939</v>
      </c>
      <c r="B498" s="724" t="s">
        <v>938</v>
      </c>
      <c r="C498" s="723"/>
    </row>
    <row r="499" spans="1:3" x14ac:dyDescent="0.25">
      <c r="A499" s="724" t="s">
        <v>937</v>
      </c>
      <c r="B499" s="724" t="s">
        <v>936</v>
      </c>
      <c r="C499" s="723">
        <f>+C500+C501+C502</f>
        <v>698171486.05999994</v>
      </c>
    </row>
    <row r="500" spans="1:3" x14ac:dyDescent="0.25">
      <c r="A500" s="724" t="s">
        <v>935</v>
      </c>
      <c r="B500" s="724" t="s">
        <v>934</v>
      </c>
      <c r="C500" s="723"/>
    </row>
    <row r="501" spans="1:3" x14ac:dyDescent="0.25">
      <c r="A501" s="724" t="s">
        <v>933</v>
      </c>
      <c r="B501" s="724" t="s">
        <v>932</v>
      </c>
      <c r="C501" s="723"/>
    </row>
    <row r="502" spans="1:3" x14ac:dyDescent="0.25">
      <c r="A502" s="724" t="s">
        <v>931</v>
      </c>
      <c r="B502" s="724" t="s">
        <v>281</v>
      </c>
      <c r="C502" s="723">
        <f>'CPCA-I-02'!F52-'CPCA-I-02'!G52</f>
        <v>698171486.05999994</v>
      </c>
    </row>
    <row r="503" spans="1:3" x14ac:dyDescent="0.25">
      <c r="A503" s="724"/>
      <c r="B503" s="724"/>
      <c r="C503" s="723"/>
    </row>
    <row r="504" spans="1:3" x14ac:dyDescent="0.25">
      <c r="A504" s="722" t="s">
        <v>930</v>
      </c>
      <c r="B504" s="722" t="s">
        <v>929</v>
      </c>
      <c r="C504" s="721"/>
    </row>
    <row r="505" spans="1:3" x14ac:dyDescent="0.25">
      <c r="A505" s="722"/>
      <c r="B505" s="722"/>
      <c r="C505" s="721"/>
    </row>
    <row r="506" spans="1:3" x14ac:dyDescent="0.25">
      <c r="A506" s="722"/>
      <c r="B506" s="722" t="s">
        <v>928</v>
      </c>
      <c r="C506" s="721">
        <f>+C398</f>
        <v>1817835733.8499999</v>
      </c>
    </row>
    <row r="507" spans="1:3" ht="31.5" customHeight="1" x14ac:dyDescent="0.25">
      <c r="A507" s="1394" t="s">
        <v>927</v>
      </c>
      <c r="B507" s="1394"/>
      <c r="C507" s="1394"/>
    </row>
    <row r="508" spans="1:3" ht="33.75" customHeight="1" x14ac:dyDescent="0.25">
      <c r="A508" s="1394" t="s">
        <v>926</v>
      </c>
      <c r="B508" s="1394"/>
      <c r="C508" s="1394"/>
    </row>
  </sheetData>
  <mergeCells count="49">
    <mergeCell ref="A95:A96"/>
    <mergeCell ref="B95:B96"/>
    <mergeCell ref="A1:C1"/>
    <mergeCell ref="A2:C2"/>
    <mergeCell ref="A3:C3"/>
    <mergeCell ref="A5:A6"/>
    <mergeCell ref="B5:B6"/>
    <mergeCell ref="A105:A106"/>
    <mergeCell ref="B105:B106"/>
    <mergeCell ref="A292:A293"/>
    <mergeCell ref="B292:B293"/>
    <mergeCell ref="A297:A298"/>
    <mergeCell ref="B297:B298"/>
    <mergeCell ref="A303:A304"/>
    <mergeCell ref="B303:B304"/>
    <mergeCell ref="A307:A309"/>
    <mergeCell ref="B307:B309"/>
    <mergeCell ref="A326:A327"/>
    <mergeCell ref="B326:B327"/>
    <mergeCell ref="A337:A338"/>
    <mergeCell ref="B337:B338"/>
    <mergeCell ref="A348:A349"/>
    <mergeCell ref="B348:B349"/>
    <mergeCell ref="A362:A363"/>
    <mergeCell ref="B362:B363"/>
    <mergeCell ref="A370:A371"/>
    <mergeCell ref="B370:B371"/>
    <mergeCell ref="A374:A375"/>
    <mergeCell ref="B374:B375"/>
    <mergeCell ref="A387:A388"/>
    <mergeCell ref="B387:B388"/>
    <mergeCell ref="A402:A403"/>
    <mergeCell ref="B402:B403"/>
    <mergeCell ref="A411:A412"/>
    <mergeCell ref="B411:B412"/>
    <mergeCell ref="A416:A417"/>
    <mergeCell ref="B416:B417"/>
    <mergeCell ref="B465:B466"/>
    <mergeCell ref="A507:C507"/>
    <mergeCell ref="A508:C508"/>
    <mergeCell ref="A422:A423"/>
    <mergeCell ref="B422:B423"/>
    <mergeCell ref="A426:A427"/>
    <mergeCell ref="B426:B427"/>
    <mergeCell ref="A444:A445"/>
    <mergeCell ref="B444:B445"/>
    <mergeCell ref="A454:A455"/>
    <mergeCell ref="B454:B455"/>
    <mergeCell ref="A465:A466"/>
  </mergeCells>
  <hyperlinks>
    <hyperlink ref="C22" location="_ftn1" display="_ftn1" xr:uid="{00000000-0004-0000-2500-000000000000}"/>
  </hyperlinks>
  <pageMargins left="0.70866141732283472" right="0.70866141732283472" top="0.15748031496062992" bottom="0" header="0.31496062992125984" footer="0.31496062992125984"/>
  <pageSetup scale="70"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19">
    <tabColor theme="0" tint="-4.9989318521683403E-2"/>
  </sheetPr>
  <dimension ref="A1:J37"/>
  <sheetViews>
    <sheetView view="pageBreakPreview" topLeftCell="A16" zoomScaleSheetLayoutView="100" workbookViewId="0">
      <selection activeCell="C56" sqref="C56"/>
    </sheetView>
  </sheetViews>
  <sheetFormatPr baseColWidth="10" defaultColWidth="11.28515625" defaultRowHeight="16.5" x14ac:dyDescent="0.3"/>
  <cols>
    <col min="1" max="1" width="4.28515625" style="37" customWidth="1"/>
    <col min="2" max="2" width="41" style="37" customWidth="1"/>
    <col min="3" max="5" width="15.7109375" style="37" customWidth="1"/>
    <col min="6" max="16384" width="11.28515625" style="37"/>
  </cols>
  <sheetData>
    <row r="1" spans="1:10" x14ac:dyDescent="0.3">
      <c r="A1" s="608"/>
      <c r="B1" s="1407" t="str">
        <f>'CPCA-I-01'!A1</f>
        <v xml:space="preserve">Comision Estatal del Agua </v>
      </c>
      <c r="C1" s="1407"/>
      <c r="D1" s="1407"/>
      <c r="E1" s="1407"/>
    </row>
    <row r="2" spans="1:10" x14ac:dyDescent="0.3">
      <c r="A2" s="246"/>
      <c r="B2" s="1339" t="s">
        <v>791</v>
      </c>
      <c r="C2" s="1339"/>
      <c r="D2" s="1339"/>
      <c r="E2" s="1339"/>
    </row>
    <row r="3" spans="1:10" x14ac:dyDescent="0.3">
      <c r="A3" s="1408" t="str">
        <f>'CPCA-I-03'!A3</f>
        <v xml:space="preserve">Del  01 de Enero de 2023 al 31 de Diciembre de 2023 </v>
      </c>
      <c r="B3" s="1408"/>
      <c r="C3" s="1408"/>
      <c r="D3" s="1408"/>
      <c r="E3" s="1408"/>
    </row>
    <row r="4" spans="1:10" x14ac:dyDescent="0.3">
      <c r="A4" s="1339" t="s">
        <v>1726</v>
      </c>
      <c r="B4" s="1339"/>
      <c r="C4" s="1339"/>
      <c r="D4" s="1339"/>
      <c r="E4" s="1339"/>
    </row>
    <row r="5" spans="1:10" ht="6.75" customHeight="1" thickBot="1" x14ac:dyDescent="0.35">
      <c r="A5" s="608"/>
      <c r="B5" s="608"/>
      <c r="C5" s="608"/>
      <c r="D5" s="608"/>
      <c r="E5" s="608"/>
    </row>
    <row r="6" spans="1:10" s="164" customFormat="1" x14ac:dyDescent="0.25">
      <c r="A6" s="1399" t="s">
        <v>243</v>
      </c>
      <c r="B6" s="1400"/>
      <c r="C6" s="1403" t="s">
        <v>1648</v>
      </c>
      <c r="D6" s="1403" t="s">
        <v>406</v>
      </c>
      <c r="E6" s="1405" t="s">
        <v>1649</v>
      </c>
    </row>
    <row r="7" spans="1:10" s="164" customFormat="1" ht="17.25" thickBot="1" x14ac:dyDescent="0.3">
      <c r="A7" s="1401"/>
      <c r="B7" s="1402"/>
      <c r="C7" s="1404"/>
      <c r="D7" s="1404"/>
      <c r="E7" s="1406"/>
    </row>
    <row r="8" spans="1:10" s="164" customFormat="1" ht="20.25" customHeight="1" x14ac:dyDescent="0.25">
      <c r="A8" s="292" t="s">
        <v>1654</v>
      </c>
      <c r="B8" s="253"/>
      <c r="C8" s="262">
        <f>C9+C10</f>
        <v>782667131.31859541</v>
      </c>
      <c r="D8" s="262">
        <f>D9+D10</f>
        <v>3029627797.3700004</v>
      </c>
      <c r="E8" s="296">
        <f>E9+E10</f>
        <v>2943478817.1500001</v>
      </c>
      <c r="F8" s="315" t="str">
        <f>IF((C8-'CPCA-II-01'!C44)&gt;0.9,"ERROR!!!!! EL MONTO NO COINCIDE CON LO REPORTADO EN EL FORMATO ETCA-II-01 EN EL TOTAL DEVENGADO DEL ANALÍTICO DE INGRESOS","")</f>
        <v/>
      </c>
    </row>
    <row r="9" spans="1:10" s="164" customFormat="1" ht="20.25" customHeight="1" x14ac:dyDescent="0.25">
      <c r="A9" s="252"/>
      <c r="B9" s="294" t="s">
        <v>1650</v>
      </c>
      <c r="C9" s="254"/>
      <c r="D9" s="254"/>
      <c r="E9" s="293"/>
    </row>
    <row r="10" spans="1:10" s="164" customFormat="1" ht="20.25" customHeight="1" x14ac:dyDescent="0.25">
      <c r="A10" s="252"/>
      <c r="B10" s="294" t="s">
        <v>1651</v>
      </c>
      <c r="C10" s="254">
        <v>782667131.31859541</v>
      </c>
      <c r="D10" s="254">
        <v>3029627797.3700004</v>
      </c>
      <c r="E10" s="293">
        <v>2943478817.1500001</v>
      </c>
    </row>
    <row r="11" spans="1:10" s="164" customFormat="1" ht="20.25" customHeight="1" x14ac:dyDescent="0.25">
      <c r="A11" s="292" t="s">
        <v>1727</v>
      </c>
      <c r="B11" s="294"/>
      <c r="C11" s="262">
        <f>C12+C13</f>
        <v>782667131.31859541</v>
      </c>
      <c r="D11" s="262">
        <f>D12+D13</f>
        <v>2510482862.2199998</v>
      </c>
      <c r="E11" s="296">
        <f>E12+E13</f>
        <v>2441395531.71</v>
      </c>
      <c r="F11" s="315"/>
      <c r="J11" s="875"/>
    </row>
    <row r="12" spans="1:10" s="164" customFormat="1" ht="20.25" customHeight="1" x14ac:dyDescent="0.25">
      <c r="A12" s="252"/>
      <c r="B12" s="294" t="s">
        <v>1652</v>
      </c>
      <c r="C12" s="254"/>
      <c r="D12" s="254"/>
      <c r="E12" s="293"/>
    </row>
    <row r="13" spans="1:10" s="164" customFormat="1" ht="20.25" customHeight="1" x14ac:dyDescent="0.25">
      <c r="A13" s="252"/>
      <c r="B13" s="294" t="s">
        <v>1653</v>
      </c>
      <c r="C13" s="254">
        <v>782667131.31859541</v>
      </c>
      <c r="D13" s="254">
        <v>2510482862.2199998</v>
      </c>
      <c r="E13" s="293">
        <v>2441395531.71</v>
      </c>
    </row>
    <row r="14" spans="1:10" s="164" customFormat="1" ht="20.25" customHeight="1" x14ac:dyDescent="0.25">
      <c r="A14" s="292" t="s">
        <v>792</v>
      </c>
      <c r="B14" s="294"/>
      <c r="C14" s="262">
        <f>C8-C11</f>
        <v>0</v>
      </c>
      <c r="D14" s="262">
        <f>D8-D11</f>
        <v>519144935.15000057</v>
      </c>
      <c r="E14" s="296">
        <f>E8-E11</f>
        <v>502083285.44000006</v>
      </c>
    </row>
    <row r="15" spans="1:10" s="164" customFormat="1" ht="20.25" customHeight="1" thickBot="1" x14ac:dyDescent="0.3">
      <c r="A15" s="252"/>
      <c r="B15" s="253"/>
      <c r="C15" s="254"/>
      <c r="D15" s="254"/>
      <c r="E15" s="256"/>
    </row>
    <row r="16" spans="1:10" s="164" customFormat="1" x14ac:dyDescent="0.25">
      <c r="A16" s="1399" t="s">
        <v>243</v>
      </c>
      <c r="B16" s="1400"/>
      <c r="C16" s="1403" t="s">
        <v>1648</v>
      </c>
      <c r="D16" s="1403" t="s">
        <v>406</v>
      </c>
      <c r="E16" s="1405" t="s">
        <v>1649</v>
      </c>
    </row>
    <row r="17" spans="1:10" s="164" customFormat="1" ht="12" customHeight="1" thickBot="1" x14ac:dyDescent="0.3">
      <c r="A17" s="1401"/>
      <c r="B17" s="1402"/>
      <c r="C17" s="1404"/>
      <c r="D17" s="1404"/>
      <c r="E17" s="1406"/>
    </row>
    <row r="18" spans="1:10" s="164" customFormat="1" ht="20.25" customHeight="1" x14ac:dyDescent="0.25">
      <c r="A18" s="292" t="s">
        <v>793</v>
      </c>
      <c r="B18" s="253"/>
      <c r="C18" s="262">
        <f>C14</f>
        <v>0</v>
      </c>
      <c r="D18" s="262">
        <f>D14</f>
        <v>519144935.15000057</v>
      </c>
      <c r="E18" s="458">
        <f>E14</f>
        <v>502083285.44000006</v>
      </c>
    </row>
    <row r="19" spans="1:10" s="164" customFormat="1" ht="20.25" customHeight="1" x14ac:dyDescent="0.25">
      <c r="A19" s="292" t="s">
        <v>794</v>
      </c>
      <c r="B19" s="253"/>
      <c r="C19" s="254"/>
      <c r="D19" s="254">
        <v>28432546.32</v>
      </c>
      <c r="E19" s="293">
        <v>28432546.32</v>
      </c>
      <c r="F19" s="315" t="str">
        <f>IF((D19-'CPCA-I-03'!C45)&gt;0.9,"ERROR!!!!! EL MONTO NO COINCIDE CON LO REPORTADO EN EL FORMATO ETCA-I-03 POR CONCEPTO DE INTERESES, COMISIONES Y GASTOS DE LA DEUDA","")</f>
        <v/>
      </c>
    </row>
    <row r="20" spans="1:10" s="164" customFormat="1" ht="20.25" customHeight="1" x14ac:dyDescent="0.25">
      <c r="A20" s="292" t="s">
        <v>1660</v>
      </c>
      <c r="B20" s="253"/>
      <c r="C20" s="262">
        <f>C18+C19</f>
        <v>0</v>
      </c>
      <c r="D20" s="262">
        <f>D18+D19</f>
        <v>547577481.47000062</v>
      </c>
      <c r="E20" s="296">
        <f>E18+E19</f>
        <v>530515831.76000005</v>
      </c>
    </row>
    <row r="21" spans="1:10" s="164" customFormat="1" ht="20.25" customHeight="1" thickBot="1" x14ac:dyDescent="0.3">
      <c r="A21" s="252"/>
      <c r="B21" s="253"/>
      <c r="C21" s="268"/>
      <c r="D21" s="268"/>
      <c r="E21" s="638"/>
    </row>
    <row r="22" spans="1:10" s="164" customFormat="1" ht="28.5" customHeight="1" x14ac:dyDescent="0.25">
      <c r="A22" s="1399" t="s">
        <v>243</v>
      </c>
      <c r="B22" s="1400"/>
      <c r="C22" s="1403" t="s">
        <v>1648</v>
      </c>
      <c r="D22" s="1403" t="s">
        <v>406</v>
      </c>
      <c r="E22" s="1405" t="s">
        <v>1649</v>
      </c>
    </row>
    <row r="23" spans="1:10" s="164" customFormat="1" ht="0.75" customHeight="1" thickBot="1" x14ac:dyDescent="0.3">
      <c r="A23" s="1401"/>
      <c r="B23" s="1402"/>
      <c r="C23" s="1404"/>
      <c r="D23" s="1404"/>
      <c r="E23" s="1406"/>
    </row>
    <row r="24" spans="1:10" s="164" customFormat="1" ht="20.25" customHeight="1" x14ac:dyDescent="0.25">
      <c r="A24" s="292" t="s">
        <v>795</v>
      </c>
      <c r="B24" s="253"/>
      <c r="C24" s="254"/>
      <c r="D24" s="254"/>
      <c r="E24" s="256"/>
    </row>
    <row r="25" spans="1:10" s="164" customFormat="1" ht="20.25" customHeight="1" x14ac:dyDescent="0.25">
      <c r="A25" s="292" t="s">
        <v>796</v>
      </c>
      <c r="B25" s="253"/>
      <c r="C25" s="254"/>
      <c r="D25" s="254">
        <v>30933478.769999996</v>
      </c>
      <c r="E25" s="256">
        <v>30933478.769999996</v>
      </c>
    </row>
    <row r="26" spans="1:10" s="164" customFormat="1" ht="20.25" customHeight="1" x14ac:dyDescent="0.25">
      <c r="A26" s="292" t="s">
        <v>1655</v>
      </c>
      <c r="B26" s="253"/>
      <c r="C26" s="262">
        <f>C24-C25</f>
        <v>0</v>
      </c>
      <c r="D26" s="262">
        <f>D24-D25</f>
        <v>-30933478.769999996</v>
      </c>
      <c r="E26" s="296">
        <f>E24-E25</f>
        <v>-30933478.769999996</v>
      </c>
    </row>
    <row r="27" spans="1:10" s="164" customFormat="1" ht="20.25" customHeight="1" thickBot="1" x14ac:dyDescent="0.3">
      <c r="A27" s="635"/>
      <c r="B27" s="636"/>
      <c r="C27" s="637"/>
      <c r="D27" s="637"/>
      <c r="E27" s="295"/>
    </row>
    <row r="28" spans="1:10" s="164" customFormat="1" ht="18" customHeight="1" x14ac:dyDescent="0.25">
      <c r="A28" s="610"/>
      <c r="B28" s="609"/>
      <c r="C28" s="609"/>
      <c r="D28" s="609"/>
      <c r="E28" s="609"/>
    </row>
    <row r="29" spans="1:10" s="164" customFormat="1" ht="18" customHeight="1" x14ac:dyDescent="0.25">
      <c r="A29" s="383"/>
      <c r="B29" s="383"/>
      <c r="C29" s="383"/>
      <c r="D29" s="383"/>
      <c r="E29" s="383"/>
    </row>
    <row r="30" spans="1:10" s="164" customFormat="1" ht="18" customHeight="1" x14ac:dyDescent="0.25">
      <c r="A30" s="383"/>
      <c r="B30" s="383"/>
      <c r="C30" s="383"/>
      <c r="D30" s="383"/>
      <c r="E30" s="383"/>
    </row>
    <row r="31" spans="1:10" s="164" customFormat="1" ht="18" customHeight="1" x14ac:dyDescent="0.25">
      <c r="A31" s="383"/>
      <c r="B31" s="383"/>
      <c r="C31" s="383"/>
      <c r="D31" s="383"/>
      <c r="E31" s="383"/>
    </row>
    <row r="32" spans="1:10" ht="18" customHeight="1" x14ac:dyDescent="0.3">
      <c r="A32" s="610" t="s">
        <v>241</v>
      </c>
      <c r="B32" s="246" t="s">
        <v>6394</v>
      </c>
      <c r="C32" s="609"/>
      <c r="D32" s="609"/>
      <c r="E32" s="609"/>
      <c r="J32" s="261"/>
    </row>
    <row r="33" spans="1:5" ht="49.5" customHeight="1" x14ac:dyDescent="0.3">
      <c r="A33" s="1397" t="s">
        <v>6395</v>
      </c>
      <c r="B33" s="1397"/>
      <c r="C33" s="1397"/>
      <c r="D33" s="1397"/>
      <c r="E33" s="1397"/>
    </row>
    <row r="34" spans="1:5" x14ac:dyDescent="0.3">
      <c r="A34" s="609"/>
      <c r="B34" s="609"/>
      <c r="C34" s="609"/>
      <c r="D34" s="609"/>
      <c r="E34" s="609"/>
    </row>
    <row r="35" spans="1:5" ht="75" customHeight="1" x14ac:dyDescent="0.3">
      <c r="A35" s="1397" t="s">
        <v>6396</v>
      </c>
      <c r="B35" s="1397"/>
      <c r="C35" s="1397"/>
      <c r="D35" s="1397"/>
      <c r="E35" s="1397"/>
    </row>
    <row r="36" spans="1:5" ht="5.25" customHeight="1" x14ac:dyDescent="0.3">
      <c r="A36" s="609"/>
      <c r="B36" s="609"/>
      <c r="C36" s="609"/>
      <c r="D36" s="609"/>
      <c r="E36" s="609"/>
    </row>
    <row r="37" spans="1:5" ht="30" customHeight="1" x14ac:dyDescent="0.3">
      <c r="A37" s="1398" t="s">
        <v>6397</v>
      </c>
      <c r="B37" s="1398"/>
      <c r="C37" s="1398"/>
      <c r="D37" s="1398"/>
      <c r="E37" s="1398"/>
    </row>
  </sheetData>
  <sheetProtection insertHyperlinks="0"/>
  <mergeCells count="19">
    <mergeCell ref="B1:E1"/>
    <mergeCell ref="B2:E2"/>
    <mergeCell ref="A3:E3"/>
    <mergeCell ref="A33:E33"/>
    <mergeCell ref="A6:B7"/>
    <mergeCell ref="C6:C7"/>
    <mergeCell ref="E6:E7"/>
    <mergeCell ref="C16:C17"/>
    <mergeCell ref="E16:E17"/>
    <mergeCell ref="A16:B17"/>
    <mergeCell ref="D6:D7"/>
    <mergeCell ref="D16:D17"/>
    <mergeCell ref="D22:D23"/>
    <mergeCell ref="A4:E4"/>
    <mergeCell ref="A35:E35"/>
    <mergeCell ref="A37:E37"/>
    <mergeCell ref="A22:B23"/>
    <mergeCell ref="C22:C23"/>
    <mergeCell ref="E22:E23"/>
  </mergeCells>
  <printOptions horizontalCentered="1"/>
  <pageMargins left="0.39370078740157483" right="0.39370078740157483" top="0.74803149606299213" bottom="0.74803149606299213" header="0.31496062992125984" footer="0.31496062992125984"/>
  <pageSetup scale="93"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tint="-4.9989318521683403E-2"/>
  </sheetPr>
  <dimension ref="A1:L88"/>
  <sheetViews>
    <sheetView view="pageBreakPreview" topLeftCell="A37" zoomScaleSheetLayoutView="100" workbookViewId="0">
      <selection activeCell="C56" sqref="C56"/>
    </sheetView>
  </sheetViews>
  <sheetFormatPr baseColWidth="10" defaultColWidth="11.42578125" defaultRowHeight="15" x14ac:dyDescent="0.25"/>
  <cols>
    <col min="1" max="1" width="1.28515625" customWidth="1"/>
    <col min="2" max="2" width="60.28515625" customWidth="1"/>
    <col min="3" max="3" width="13.28515625" customWidth="1"/>
    <col min="4" max="4" width="14.140625" customWidth="1"/>
    <col min="5" max="5" width="13.42578125" customWidth="1"/>
    <col min="6" max="6" width="9.7109375" customWidth="1"/>
    <col min="7" max="7" width="37.5703125" customWidth="1"/>
  </cols>
  <sheetData>
    <row r="1" spans="1:12" ht="15.75" x14ac:dyDescent="0.25">
      <c r="A1" s="1060" t="str">
        <f>'CPCA-I-01'!A1:G1</f>
        <v xml:space="preserve">Comision Estatal del Agua </v>
      </c>
      <c r="B1" s="1060"/>
      <c r="C1" s="1060"/>
      <c r="D1" s="1060"/>
      <c r="E1" s="1060"/>
    </row>
    <row r="2" spans="1:12" ht="15.75" customHeight="1" x14ac:dyDescent="0.25">
      <c r="A2" s="1057" t="s">
        <v>797</v>
      </c>
      <c r="B2" s="1057"/>
      <c r="C2" s="1057"/>
      <c r="D2" s="1057"/>
      <c r="E2" s="1057"/>
    </row>
    <row r="3" spans="1:12" ht="15.75" customHeight="1" x14ac:dyDescent="0.25">
      <c r="A3" s="1115" t="str">
        <f>'CPCA-I-03'!A3:D3</f>
        <v xml:space="preserve">Del  01 de Enero de 2023 al 31 de Diciembre de 2023 </v>
      </c>
      <c r="B3" s="1115"/>
      <c r="C3" s="1115"/>
      <c r="D3" s="1115"/>
      <c r="E3" s="1115"/>
    </row>
    <row r="4" spans="1:12" ht="15.75" customHeight="1" x14ac:dyDescent="0.25">
      <c r="A4" s="1418" t="s">
        <v>82</v>
      </c>
      <c r="B4" s="1418"/>
      <c r="C4" s="1418"/>
      <c r="D4" s="1418"/>
      <c r="E4" s="1418"/>
    </row>
    <row r="5" spans="1:12" ht="15.75" customHeight="1" thickBot="1" x14ac:dyDescent="0.3">
      <c r="A5" s="645"/>
      <c r="B5" s="645"/>
      <c r="C5" s="645"/>
      <c r="D5" s="645"/>
      <c r="E5" s="645"/>
    </row>
    <row r="6" spans="1:12" x14ac:dyDescent="0.25">
      <c r="A6" s="1411" t="s">
        <v>83</v>
      </c>
      <c r="B6" s="1412"/>
      <c r="C6" s="632" t="s">
        <v>798</v>
      </c>
      <c r="D6" s="1325" t="s">
        <v>406</v>
      </c>
      <c r="E6" s="535" t="s">
        <v>799</v>
      </c>
    </row>
    <row r="7" spans="1:12" ht="15.75" thickBot="1" x14ac:dyDescent="0.3">
      <c r="A7" s="1413"/>
      <c r="B7" s="1414"/>
      <c r="C7" s="633" t="s">
        <v>534</v>
      </c>
      <c r="D7" s="1326"/>
      <c r="E7" s="488" t="s">
        <v>537</v>
      </c>
    </row>
    <row r="8" spans="1:12" ht="7.5" customHeight="1" x14ac:dyDescent="0.25">
      <c r="A8" s="646"/>
      <c r="B8" s="489"/>
      <c r="C8" s="489"/>
      <c r="D8" s="489"/>
      <c r="E8" s="489"/>
    </row>
    <row r="9" spans="1:12" x14ac:dyDescent="0.25">
      <c r="A9" s="646"/>
      <c r="B9" s="490" t="s">
        <v>800</v>
      </c>
      <c r="C9" s="600">
        <f>SUM(C10:C12)</f>
        <v>782667131.31859541</v>
      </c>
      <c r="D9" s="600">
        <f>SUM(D10:D12)</f>
        <v>2998694318.6000004</v>
      </c>
      <c r="E9" s="600">
        <f>SUM(E10:E12)</f>
        <v>2912545338.3800001</v>
      </c>
      <c r="F9" s="387" t="str">
        <f>IF(C9&lt;&gt;'CPCA-IV-01'!C8,"ERROR!!!!! EL MONTO NO COINCIDE CON LO REPORTADO EN EL FORMATO ETCA-IV-01 ","")</f>
        <v/>
      </c>
    </row>
    <row r="10" spans="1:12" ht="14.25" customHeight="1" x14ac:dyDescent="0.25">
      <c r="A10" s="646"/>
      <c r="B10" s="489" t="s">
        <v>801</v>
      </c>
      <c r="C10" s="593">
        <v>667667131.31859541</v>
      </c>
      <c r="D10" s="593">
        <v>847513576.71000004</v>
      </c>
      <c r="E10" s="593">
        <v>761364596.48999977</v>
      </c>
      <c r="F10" s="387" t="str">
        <f>IF(D9&lt;&gt;'CPCA-IV-01'!D8,"ERROR!!!!! EL MONTO NO COINCIDE CON LO REPORTADO EN EL FORMATO ETCA-IV-01 ","")</f>
        <v xml:space="preserve">ERROR!!!!! EL MONTO NO COINCIDE CON LO REPORTADO EN EL FORMATO ETCA-IV-01 </v>
      </c>
      <c r="L10" s="876"/>
    </row>
    <row r="11" spans="1:12" ht="14.25" customHeight="1" x14ac:dyDescent="0.25">
      <c r="A11" s="646"/>
      <c r="B11" s="489" t="s">
        <v>802</v>
      </c>
      <c r="C11" s="593">
        <v>115000000</v>
      </c>
      <c r="D11" s="593">
        <v>2182114220.6600003</v>
      </c>
      <c r="E11" s="593">
        <v>2182114220.6600003</v>
      </c>
      <c r="F11" s="387" t="str">
        <f>IF(E9&lt;&gt;'CPCA-IV-01'!E8,"ERROR!!!!! EL MONTO NO COINCIDE CON LO REPORTADO EN EL FORMATO ETCA-IV-01 ","")</f>
        <v xml:space="preserve">ERROR!!!!! EL MONTO NO COINCIDE CON LO REPORTADO EN EL FORMATO ETCA-IV-01 </v>
      </c>
    </row>
    <row r="12" spans="1:12" ht="14.25" customHeight="1" x14ac:dyDescent="0.25">
      <c r="A12" s="646"/>
      <c r="B12" s="489" t="s">
        <v>803</v>
      </c>
      <c r="C12" s="593">
        <v>0</v>
      </c>
      <c r="D12" s="593">
        <v>-30933478.77</v>
      </c>
      <c r="E12" s="593">
        <v>-30933478.77</v>
      </c>
    </row>
    <row r="13" spans="1:12" ht="3.75" customHeight="1" x14ac:dyDescent="0.25">
      <c r="A13" s="644"/>
      <c r="B13" s="490"/>
      <c r="C13" s="595"/>
      <c r="D13" s="595"/>
      <c r="E13" s="595"/>
    </row>
    <row r="14" spans="1:12" x14ac:dyDescent="0.25">
      <c r="A14" s="644"/>
      <c r="B14" s="490" t="s">
        <v>804</v>
      </c>
      <c r="C14" s="600">
        <f>SUM(C15:C16)</f>
        <v>782667131.31859505</v>
      </c>
      <c r="D14" s="600">
        <f>SUM(D15:D16)</f>
        <v>2510482862.2199998</v>
      </c>
      <c r="E14" s="600">
        <f>SUM(E15:E16)</f>
        <v>2441395531.71</v>
      </c>
      <c r="F14" s="387" t="str">
        <f>IF(C14&lt;&gt;'CPCA-IV-01'!C11,"ERROR!!!!! EL MONTO NO COINCIDE CON LO REPORTADO EN EL FORMATO ETCA-IV-01 ","")</f>
        <v/>
      </c>
    </row>
    <row r="15" spans="1:12" ht="21" customHeight="1" x14ac:dyDescent="0.25">
      <c r="A15" s="646"/>
      <c r="B15" s="489" t="s">
        <v>805</v>
      </c>
      <c r="C15" s="593">
        <v>667667131.31859505</v>
      </c>
      <c r="D15" s="593">
        <v>775832542.92999983</v>
      </c>
      <c r="E15" s="593">
        <v>729429045.07000017</v>
      </c>
      <c r="F15" s="387" t="str">
        <f>IF(D14&lt;&gt;'CPCA-IV-01'!D11,"ERROR!!!!! EL MONTO NO COINCIDE CON LO REPORTADO EN EL FORMATO ETCA-IV-01 ","")</f>
        <v/>
      </c>
      <c r="I15" s="879">
        <f>D11-E11</f>
        <v>0</v>
      </c>
    </row>
    <row r="16" spans="1:12" ht="21" customHeight="1" x14ac:dyDescent="0.25">
      <c r="A16" s="646"/>
      <c r="B16" s="489" t="s">
        <v>806</v>
      </c>
      <c r="C16" s="593">
        <v>115000000</v>
      </c>
      <c r="D16" s="593">
        <v>1734650319.29</v>
      </c>
      <c r="E16" s="593">
        <v>1711966486.6399999</v>
      </c>
      <c r="F16" s="387" t="str">
        <f>IF(E14&lt;&gt;'CPCA-IV-01'!E11,"ERROR!!!!! EL MONTO NO COINCIDE CON LO REPORTADO EN EL FORMATO ETCA-IV-01 ","")</f>
        <v/>
      </c>
    </row>
    <row r="17" spans="1:6" ht="8.25" customHeight="1" x14ac:dyDescent="0.25">
      <c r="A17" s="646"/>
      <c r="B17" s="489"/>
      <c r="C17" s="595"/>
      <c r="D17" s="595"/>
      <c r="E17" s="595"/>
    </row>
    <row r="18" spans="1:6" x14ac:dyDescent="0.25">
      <c r="A18" s="646"/>
      <c r="B18" s="490" t="s">
        <v>807</v>
      </c>
      <c r="C18" s="600">
        <f>SUM(C19:C20)</f>
        <v>841408543.70000005</v>
      </c>
      <c r="D18" s="600">
        <f t="shared" ref="D18:E18" si="0">SUM(D19:D20)</f>
        <v>755899431.63999999</v>
      </c>
      <c r="E18" s="600">
        <f t="shared" si="0"/>
        <v>675643838.43999994</v>
      </c>
      <c r="F18" s="387" t="s">
        <v>241</v>
      </c>
    </row>
    <row r="19" spans="1:6" ht="19.5" customHeight="1" x14ac:dyDescent="0.25">
      <c r="A19" s="646"/>
      <c r="B19" s="489" t="s">
        <v>808</v>
      </c>
      <c r="C19" s="602">
        <v>26719450.950000003</v>
      </c>
      <c r="D19" s="593">
        <v>23743446.800000001</v>
      </c>
      <c r="E19" s="593">
        <v>23743446.800000001</v>
      </c>
      <c r="F19" s="387" t="s">
        <v>241</v>
      </c>
    </row>
    <row r="20" spans="1:6" ht="19.5" customHeight="1" x14ac:dyDescent="0.25">
      <c r="A20" s="646"/>
      <c r="B20" s="489" t="s">
        <v>809</v>
      </c>
      <c r="C20" s="602">
        <v>814689092.75</v>
      </c>
      <c r="D20" s="593">
        <v>732155984.84000003</v>
      </c>
      <c r="E20" s="593">
        <v>651900391.63999999</v>
      </c>
      <c r="F20" s="387" t="s">
        <v>241</v>
      </c>
    </row>
    <row r="21" spans="1:6" ht="6.75" customHeight="1" x14ac:dyDescent="0.25">
      <c r="A21" s="646"/>
      <c r="B21" s="489"/>
      <c r="C21" s="595"/>
      <c r="D21" s="595"/>
      <c r="E21" s="595"/>
      <c r="F21" s="387" t="s">
        <v>241</v>
      </c>
    </row>
    <row r="22" spans="1:6" x14ac:dyDescent="0.25">
      <c r="A22" s="1419"/>
      <c r="B22" s="490" t="s">
        <v>810</v>
      </c>
      <c r="C22" s="600">
        <f>+C9-C14+C18</f>
        <v>841408543.70000041</v>
      </c>
      <c r="D22" s="600">
        <f>+D9-D14+D18</f>
        <v>1244110888.0200005</v>
      </c>
      <c r="E22" s="600">
        <f>+E9-E14+E18</f>
        <v>1146793645.1100001</v>
      </c>
    </row>
    <row r="23" spans="1:6" ht="6.75" customHeight="1" x14ac:dyDescent="0.25">
      <c r="A23" s="1419"/>
      <c r="B23" s="490"/>
      <c r="C23" s="595" t="s">
        <v>241</v>
      </c>
      <c r="D23" s="595" t="s">
        <v>241</v>
      </c>
      <c r="E23" s="595" t="s">
        <v>241</v>
      </c>
    </row>
    <row r="24" spans="1:6" ht="16.5" customHeight="1" x14ac:dyDescent="0.25">
      <c r="A24" s="1419"/>
      <c r="B24" s="490" t="s">
        <v>811</v>
      </c>
      <c r="C24" s="600">
        <f>+C22-C12</f>
        <v>841408543.70000041</v>
      </c>
      <c r="D24" s="600">
        <f>+D22-D12</f>
        <v>1275044366.7900004</v>
      </c>
      <c r="E24" s="600">
        <f>+E22-E12</f>
        <v>1177727123.8800001</v>
      </c>
    </row>
    <row r="25" spans="1:6" ht="6" customHeight="1" x14ac:dyDescent="0.25">
      <c r="A25" s="1419"/>
      <c r="B25" s="490"/>
      <c r="C25" s="595" t="s">
        <v>241</v>
      </c>
      <c r="D25" s="595" t="s">
        <v>241</v>
      </c>
      <c r="E25" s="595" t="s">
        <v>241</v>
      </c>
    </row>
    <row r="26" spans="1:6" ht="30" customHeight="1" x14ac:dyDescent="0.25">
      <c r="A26" s="646"/>
      <c r="B26" s="490" t="s">
        <v>812</v>
      </c>
      <c r="C26" s="600">
        <f>+C24-C18</f>
        <v>0</v>
      </c>
      <c r="D26" s="600">
        <f>+D24-D18</f>
        <v>519144935.15000045</v>
      </c>
      <c r="E26" s="600">
        <f>+E24-E18</f>
        <v>502083285.44000018</v>
      </c>
    </row>
    <row r="27" spans="1:6" ht="6" customHeight="1" thickBot="1" x14ac:dyDescent="0.3">
      <c r="A27" s="492"/>
      <c r="B27" s="493"/>
      <c r="C27" s="494"/>
      <c r="D27" s="494"/>
      <c r="E27" s="494"/>
    </row>
    <row r="28" spans="1:6" ht="12" customHeight="1" thickBot="1" x14ac:dyDescent="0.3">
      <c r="A28" s="1420"/>
      <c r="B28" s="1420"/>
      <c r="C28" s="1420"/>
      <c r="D28" s="1420"/>
      <c r="E28" s="1420"/>
    </row>
    <row r="29" spans="1:6" ht="15.75" thickBot="1" x14ac:dyDescent="0.3">
      <c r="A29" s="1421" t="s">
        <v>243</v>
      </c>
      <c r="B29" s="1422"/>
      <c r="C29" s="631" t="s">
        <v>813</v>
      </c>
      <c r="D29" s="631" t="s">
        <v>406</v>
      </c>
      <c r="E29" s="631" t="s">
        <v>632</v>
      </c>
    </row>
    <row r="30" spans="1:6" ht="6" customHeight="1" x14ac:dyDescent="0.25">
      <c r="A30" s="646"/>
      <c r="B30" s="489"/>
      <c r="C30" s="489"/>
      <c r="D30" s="489"/>
      <c r="E30" s="489"/>
    </row>
    <row r="31" spans="1:6" ht="18" customHeight="1" x14ac:dyDescent="0.25">
      <c r="A31" s="1417"/>
      <c r="B31" s="490" t="s">
        <v>814</v>
      </c>
      <c r="C31" s="600">
        <f>SUM(C32:C33)</f>
        <v>0</v>
      </c>
      <c r="D31" s="600">
        <f>SUM(D32:D33)</f>
        <v>28432546.32</v>
      </c>
      <c r="E31" s="600">
        <f>SUM(E32:E33)</f>
        <v>28432546.32</v>
      </c>
      <c r="F31" s="387" t="str">
        <f>IF(C31&lt;&gt;'CPCA-IV-01'!C19,"ERROR!!!!! EL MONTO NO COINCIDE CON LO REPORTADO EN EL FORMATO ETCA-IV-01 ","")</f>
        <v/>
      </c>
    </row>
    <row r="32" spans="1:6" ht="26.25" customHeight="1" x14ac:dyDescent="0.25">
      <c r="A32" s="1417"/>
      <c r="B32" s="491" t="s">
        <v>815</v>
      </c>
      <c r="C32" s="593">
        <v>0</v>
      </c>
      <c r="D32" s="593">
        <v>28432546.32</v>
      </c>
      <c r="E32" s="593">
        <v>28432546.32</v>
      </c>
      <c r="F32" s="387" t="str">
        <f>IF(D31&lt;&gt;'CPCA-IV-01'!D19,"ERROR!!!!! EL MONTO NO COINCIDE CON LO REPORTADO EN EL FORMATO ETCA-IV-01 ","")</f>
        <v/>
      </c>
    </row>
    <row r="33" spans="1:6" ht="26.25" customHeight="1" x14ac:dyDescent="0.25">
      <c r="A33" s="1417"/>
      <c r="B33" s="491" t="s">
        <v>816</v>
      </c>
      <c r="C33" s="595">
        <v>0</v>
      </c>
      <c r="D33" s="595">
        <v>0</v>
      </c>
      <c r="E33" s="595">
        <v>0</v>
      </c>
      <c r="F33" s="387" t="str">
        <f>IF(E31&lt;&gt;'CPCA-IV-01'!E19,"ERROR!!!!! EL MONTO NO COINCIDE CON LO REPORTADO EN EL FORMATO ETCA-IV-01 ","")</f>
        <v/>
      </c>
    </row>
    <row r="34" spans="1:6" ht="4.5" customHeight="1" x14ac:dyDescent="0.25">
      <c r="A34" s="644"/>
      <c r="B34" s="490"/>
      <c r="C34" s="593"/>
      <c r="D34" s="593"/>
      <c r="E34" s="593"/>
    </row>
    <row r="35" spans="1:6" x14ac:dyDescent="0.25">
      <c r="A35" s="644"/>
      <c r="B35" s="490" t="s">
        <v>817</v>
      </c>
      <c r="C35" s="600">
        <f>+C26+C31</f>
        <v>0</v>
      </c>
      <c r="D35" s="600">
        <f>+D26+D31</f>
        <v>547577481.47000051</v>
      </c>
      <c r="E35" s="600">
        <f>+E26+E31</f>
        <v>530515831.76000017</v>
      </c>
    </row>
    <row r="36" spans="1:6" ht="6.75" customHeight="1" thickBot="1" x14ac:dyDescent="0.3">
      <c r="A36" s="487"/>
      <c r="B36" s="486"/>
      <c r="C36" s="486"/>
      <c r="D36" s="486"/>
      <c r="E36" s="486"/>
    </row>
    <row r="37" spans="1:6" ht="9" customHeight="1" thickBot="1" x14ac:dyDescent="0.3"/>
    <row r="38" spans="1:6" x14ac:dyDescent="0.25">
      <c r="A38" s="1411" t="s">
        <v>243</v>
      </c>
      <c r="B38" s="1412"/>
      <c r="C38" s="1415" t="s">
        <v>818</v>
      </c>
      <c r="D38" s="1320" t="s">
        <v>406</v>
      </c>
      <c r="E38" s="497" t="s">
        <v>799</v>
      </c>
    </row>
    <row r="39" spans="1:6" ht="15.75" thickBot="1" x14ac:dyDescent="0.3">
      <c r="A39" s="1413"/>
      <c r="B39" s="1414"/>
      <c r="C39" s="1416"/>
      <c r="D39" s="1321"/>
      <c r="E39" s="498" t="s">
        <v>632</v>
      </c>
    </row>
    <row r="40" spans="1:6" ht="5.25" customHeight="1" x14ac:dyDescent="0.25">
      <c r="A40" s="641"/>
      <c r="B40" s="499"/>
      <c r="C40" s="499"/>
      <c r="D40" s="499"/>
      <c r="E40" s="499"/>
    </row>
    <row r="41" spans="1:6" x14ac:dyDescent="0.25">
      <c r="A41" s="640"/>
      <c r="B41" s="643" t="s">
        <v>819</v>
      </c>
      <c r="C41" s="601">
        <f>SUM(C42:C43)</f>
        <v>0</v>
      </c>
      <c r="D41" s="601">
        <f>SUM(D42:D43)</f>
        <v>0</v>
      </c>
      <c r="E41" s="601">
        <f>SUM(E42:E43)</f>
        <v>0</v>
      </c>
      <c r="F41" s="387" t="str">
        <f>IF(C41&lt;&gt;'CPCA-IV-01'!C24,"ERROR!!!!! EL MONTO NO COINCIDE CON LO REPORTADO EN EL FORMATO ETCA-IV-01 ","")</f>
        <v/>
      </c>
    </row>
    <row r="42" spans="1:6" x14ac:dyDescent="0.25">
      <c r="A42" s="1409"/>
      <c r="B42" s="500" t="s">
        <v>820</v>
      </c>
      <c r="C42" s="593">
        <v>0</v>
      </c>
      <c r="D42" s="593">
        <v>0</v>
      </c>
      <c r="E42" s="593">
        <v>0</v>
      </c>
      <c r="F42" s="387" t="str">
        <f>IF(D41&lt;&gt;'CPCA-IV-01'!D24,"ERROR!!!!! EL MONTO NO COINCIDE CON LO REPORTADO EN EL FORMATO ETCA-IV-01 ","")</f>
        <v/>
      </c>
    </row>
    <row r="43" spans="1:6" x14ac:dyDescent="0.25">
      <c r="A43" s="1409"/>
      <c r="B43" s="500" t="s">
        <v>821</v>
      </c>
      <c r="C43" s="593">
        <v>0</v>
      </c>
      <c r="D43" s="593" t="s">
        <v>241</v>
      </c>
      <c r="E43" s="593">
        <v>0</v>
      </c>
      <c r="F43" s="387" t="str">
        <f>IF(E41&lt;&gt;'CPCA-IV-01'!E24,"ERROR!!!!! EL MONTO NO COINCIDE CON LO REPORTADO EN EL FORMATO ETCA-IV-01 ","")</f>
        <v/>
      </c>
    </row>
    <row r="44" spans="1:6" x14ac:dyDescent="0.25">
      <c r="A44" s="1410"/>
      <c r="B44" s="643" t="s">
        <v>822</v>
      </c>
      <c r="C44" s="601">
        <f>SUM(C45:C46)</f>
        <v>0</v>
      </c>
      <c r="D44" s="601">
        <f>SUM(D45:D46)</f>
        <v>30933478.769999996</v>
      </c>
      <c r="E44" s="601">
        <f>SUM(E45:E46)</f>
        <v>30933478.769999996</v>
      </c>
      <c r="F44" s="387" t="str">
        <f>IF(C44&lt;&gt;'CPCA-IV-01'!C25,"ERROR!!!!! EL MONTO NO COINCIDE CON LO REPORTADO EN EL FORMATO ETCA-IV-01 ","")</f>
        <v/>
      </c>
    </row>
    <row r="45" spans="1:6" x14ac:dyDescent="0.25">
      <c r="A45" s="1410"/>
      <c r="B45" s="500" t="s">
        <v>823</v>
      </c>
      <c r="C45" s="593">
        <v>0</v>
      </c>
      <c r="D45" s="593">
        <v>30933478.769999996</v>
      </c>
      <c r="E45" s="593">
        <v>30933478.769999996</v>
      </c>
      <c r="F45" s="387" t="str">
        <f>IF(D44&lt;&gt;'CPCA-IV-01'!D25,"ERROR!!!!! EL MONTO NO COINCIDE CON LO REPORTADO EN EL FORMATO ETCA-IV-01 ","")</f>
        <v/>
      </c>
    </row>
    <row r="46" spans="1:6" x14ac:dyDescent="0.25">
      <c r="A46" s="1410"/>
      <c r="B46" s="500" t="s">
        <v>824</v>
      </c>
      <c r="C46" s="593">
        <v>0</v>
      </c>
      <c r="D46" s="593">
        <v>0</v>
      </c>
      <c r="E46" s="593">
        <v>0</v>
      </c>
      <c r="F46" s="387" t="str">
        <f>IF(E44&lt;&gt;'CPCA-IV-01'!E25,"ERROR!!!!! EL MONTO NO COINCIDE CON LO REPORTADO EN EL FORMATO ETCA-IV-01 ","")</f>
        <v/>
      </c>
    </row>
    <row r="47" spans="1:6" ht="6.75" customHeight="1" x14ac:dyDescent="0.25">
      <c r="A47" s="640"/>
      <c r="B47" s="643"/>
      <c r="C47" s="515"/>
      <c r="D47" s="515"/>
      <c r="E47" s="515"/>
    </row>
    <row r="48" spans="1:6" x14ac:dyDescent="0.25">
      <c r="A48" s="1410"/>
      <c r="B48" s="1424" t="s">
        <v>825</v>
      </c>
      <c r="C48" s="1426">
        <f>+C41-C44</f>
        <v>0</v>
      </c>
      <c r="D48" s="1426">
        <f>+D41-D44</f>
        <v>-30933478.769999996</v>
      </c>
      <c r="E48" s="1426">
        <f>+E41-E44</f>
        <v>-30933478.769999996</v>
      </c>
    </row>
    <row r="49" spans="1:5" ht="15.75" thickBot="1" x14ac:dyDescent="0.3">
      <c r="A49" s="1423"/>
      <c r="B49" s="1425"/>
      <c r="C49" s="1427"/>
      <c r="D49" s="1427"/>
      <c r="E49" s="1427"/>
    </row>
    <row r="50" spans="1:5" x14ac:dyDescent="0.25">
      <c r="A50" s="504"/>
      <c r="B50" s="504"/>
      <c r="C50" s="504"/>
      <c r="D50" s="504"/>
      <c r="E50" s="504"/>
    </row>
    <row r="51" spans="1:5" x14ac:dyDescent="0.25">
      <c r="A51" s="504"/>
      <c r="B51" s="504"/>
      <c r="C51" s="504"/>
      <c r="D51" s="504"/>
      <c r="E51" s="504"/>
    </row>
    <row r="52" spans="1:5" x14ac:dyDescent="0.25">
      <c r="A52" s="504"/>
      <c r="B52" s="504"/>
      <c r="C52" s="504"/>
      <c r="D52" s="504"/>
      <c r="E52" s="504"/>
    </row>
    <row r="53" spans="1:5" ht="15.75" thickBot="1" x14ac:dyDescent="0.3">
      <c r="A53" s="504"/>
      <c r="B53" s="504"/>
      <c r="C53" s="504"/>
      <c r="D53" s="504"/>
      <c r="E53" s="504"/>
    </row>
    <row r="54" spans="1:5" x14ac:dyDescent="0.25">
      <c r="A54" s="1411" t="s">
        <v>243</v>
      </c>
      <c r="B54" s="1412"/>
      <c r="C54" s="497" t="s">
        <v>798</v>
      </c>
      <c r="D54" s="1320" t="s">
        <v>406</v>
      </c>
      <c r="E54" s="497" t="s">
        <v>799</v>
      </c>
    </row>
    <row r="55" spans="1:5" ht="15.75" thickBot="1" x14ac:dyDescent="0.3">
      <c r="A55" s="1413"/>
      <c r="B55" s="1414"/>
      <c r="C55" s="498" t="s">
        <v>813</v>
      </c>
      <c r="D55" s="1321"/>
      <c r="E55" s="498" t="s">
        <v>632</v>
      </c>
    </row>
    <row r="56" spans="1:5" ht="6" customHeight="1" x14ac:dyDescent="0.25">
      <c r="A56" s="1428"/>
      <c r="B56" s="1429"/>
      <c r="C56" s="499"/>
      <c r="D56" s="499"/>
      <c r="E56" s="499"/>
    </row>
    <row r="57" spans="1:5" x14ac:dyDescent="0.25">
      <c r="A57" s="1409"/>
      <c r="B57" s="1430" t="s">
        <v>826</v>
      </c>
      <c r="C57" s="1431">
        <f>+C10</f>
        <v>667667131.31859541</v>
      </c>
      <c r="D57" s="1431">
        <f>+D10</f>
        <v>847513576.71000004</v>
      </c>
      <c r="E57" s="1431">
        <f>+E10</f>
        <v>761364596.48999977</v>
      </c>
    </row>
    <row r="58" spans="1:5" x14ac:dyDescent="0.25">
      <c r="A58" s="1409"/>
      <c r="B58" s="1430"/>
      <c r="C58" s="1431"/>
      <c r="D58" s="1431"/>
      <c r="E58" s="1431"/>
    </row>
    <row r="59" spans="1:5" ht="19.5" x14ac:dyDescent="0.25">
      <c r="A59" s="1409"/>
      <c r="B59" s="501" t="s">
        <v>827</v>
      </c>
      <c r="C59" s="596">
        <f>+C60-C61</f>
        <v>0</v>
      </c>
      <c r="D59" s="596">
        <f>+D60-D61</f>
        <v>-30933478.769999996</v>
      </c>
      <c r="E59" s="596">
        <f>+E60-E61</f>
        <v>-30933478.769999996</v>
      </c>
    </row>
    <row r="60" spans="1:5" x14ac:dyDescent="0.25">
      <c r="A60" s="1409"/>
      <c r="B60" s="500" t="s">
        <v>820</v>
      </c>
      <c r="C60" s="596">
        <f>+C42</f>
        <v>0</v>
      </c>
      <c r="D60" s="596">
        <f>+D42</f>
        <v>0</v>
      </c>
      <c r="E60" s="596">
        <f>+E42</f>
        <v>0</v>
      </c>
    </row>
    <row r="61" spans="1:5" x14ac:dyDescent="0.25">
      <c r="A61" s="1409"/>
      <c r="B61" s="500" t="s">
        <v>823</v>
      </c>
      <c r="C61" s="596">
        <f>+C45</f>
        <v>0</v>
      </c>
      <c r="D61" s="596">
        <f>+D45</f>
        <v>30933478.769999996</v>
      </c>
      <c r="E61" s="596">
        <f>+E45</f>
        <v>30933478.769999996</v>
      </c>
    </row>
    <row r="62" spans="1:5" ht="5.25" customHeight="1" x14ac:dyDescent="0.25">
      <c r="A62" s="1409"/>
      <c r="B62" s="642"/>
      <c r="C62" s="596"/>
      <c r="D62" s="596"/>
      <c r="E62" s="596"/>
    </row>
    <row r="63" spans="1:5" x14ac:dyDescent="0.25">
      <c r="A63" s="641"/>
      <c r="B63" s="642" t="s">
        <v>805</v>
      </c>
      <c r="C63" s="596">
        <f>+C15</f>
        <v>667667131.31859505</v>
      </c>
      <c r="D63" s="596">
        <f>+D15</f>
        <v>775832542.92999983</v>
      </c>
      <c r="E63" s="596">
        <f>+E15</f>
        <v>729429045.07000017</v>
      </c>
    </row>
    <row r="64" spans="1:5" ht="6.75" customHeight="1" x14ac:dyDescent="0.25">
      <c r="A64" s="641"/>
      <c r="B64" s="642"/>
      <c r="C64" s="596"/>
      <c r="D64" s="596"/>
      <c r="E64" s="596"/>
    </row>
    <row r="65" spans="1:5" x14ac:dyDescent="0.25">
      <c r="A65" s="641"/>
      <c r="B65" s="642" t="s">
        <v>808</v>
      </c>
      <c r="C65" s="597"/>
      <c r="D65" s="603">
        <f>+D19</f>
        <v>23743446.800000001</v>
      </c>
      <c r="E65" s="603">
        <f>+E19</f>
        <v>23743446.800000001</v>
      </c>
    </row>
    <row r="66" spans="1:5" x14ac:dyDescent="0.25">
      <c r="A66" s="641"/>
      <c r="B66" s="642"/>
      <c r="C66" s="596"/>
      <c r="D66" s="596"/>
      <c r="E66" s="596"/>
    </row>
    <row r="67" spans="1:5" ht="19.5" x14ac:dyDescent="0.25">
      <c r="A67" s="1410"/>
      <c r="B67" s="490" t="s">
        <v>828</v>
      </c>
      <c r="C67" s="599">
        <f>+C10+C59-C15+C19</f>
        <v>26719450.950000361</v>
      </c>
      <c r="D67" s="599">
        <f>+D10+D59-D15+D19</f>
        <v>64491001.810000226</v>
      </c>
      <c r="E67" s="599">
        <f>+E10+E59-E15+E19</f>
        <v>24745519.449999619</v>
      </c>
    </row>
    <row r="68" spans="1:5" x14ac:dyDescent="0.25">
      <c r="A68" s="1410"/>
      <c r="B68" s="502"/>
      <c r="C68" s="596" t="s">
        <v>241</v>
      </c>
      <c r="D68" s="596" t="s">
        <v>241</v>
      </c>
      <c r="E68" s="596" t="s">
        <v>241</v>
      </c>
    </row>
    <row r="69" spans="1:5" ht="19.5" x14ac:dyDescent="0.25">
      <c r="A69" s="1410"/>
      <c r="B69" s="490" t="s">
        <v>829</v>
      </c>
      <c r="C69" s="599">
        <f>+C67-C59</f>
        <v>26719450.950000361</v>
      </c>
      <c r="D69" s="599">
        <f>+D67-D59</f>
        <v>95424480.580000222</v>
      </c>
      <c r="E69" s="599">
        <f>+E67-E59</f>
        <v>55678998.219999611</v>
      </c>
    </row>
    <row r="70" spans="1:5" ht="15.75" thickBot="1" x14ac:dyDescent="0.3">
      <c r="A70" s="1423"/>
      <c r="B70" s="503"/>
      <c r="C70" s="516" t="s">
        <v>241</v>
      </c>
      <c r="D70" s="517" t="s">
        <v>241</v>
      </c>
      <c r="E70" s="516" t="s">
        <v>241</v>
      </c>
    </row>
    <row r="71" spans="1:5" ht="5.25" customHeight="1" thickBot="1" x14ac:dyDescent="0.3"/>
    <row r="72" spans="1:5" x14ac:dyDescent="0.25">
      <c r="A72" s="1411" t="s">
        <v>243</v>
      </c>
      <c r="B72" s="1412"/>
      <c r="C72" s="1415" t="s">
        <v>818</v>
      </c>
      <c r="D72" s="1320" t="s">
        <v>406</v>
      </c>
      <c r="E72" s="497" t="s">
        <v>799</v>
      </c>
    </row>
    <row r="73" spans="1:5" ht="15.75" thickBot="1" x14ac:dyDescent="0.3">
      <c r="A73" s="1413"/>
      <c r="B73" s="1414"/>
      <c r="C73" s="1416"/>
      <c r="D73" s="1321"/>
      <c r="E73" s="498" t="s">
        <v>632</v>
      </c>
    </row>
    <row r="74" spans="1:5" x14ac:dyDescent="0.25">
      <c r="A74" s="1428"/>
      <c r="B74" s="1429"/>
      <c r="C74" s="499"/>
      <c r="D74" s="499"/>
      <c r="E74" s="499"/>
    </row>
    <row r="75" spans="1:5" x14ac:dyDescent="0.25">
      <c r="A75" s="1409"/>
      <c r="B75" s="1430" t="s">
        <v>802</v>
      </c>
      <c r="C75" s="1431">
        <f>+C11</f>
        <v>115000000</v>
      </c>
      <c r="D75" s="1431">
        <f>+D11</f>
        <v>2182114220.6600003</v>
      </c>
      <c r="E75" s="1431">
        <f>+E11</f>
        <v>2182114220.6600003</v>
      </c>
    </row>
    <row r="76" spans="1:5" x14ac:dyDescent="0.25">
      <c r="A76" s="1409"/>
      <c r="B76" s="1430"/>
      <c r="C76" s="1431"/>
      <c r="D76" s="1431"/>
      <c r="E76" s="1431"/>
    </row>
    <row r="77" spans="1:5" ht="19.5" x14ac:dyDescent="0.25">
      <c r="A77" s="1409"/>
      <c r="B77" s="501" t="s">
        <v>830</v>
      </c>
      <c r="C77" s="596">
        <f>+C78-C79</f>
        <v>0</v>
      </c>
      <c r="D77" s="596">
        <f>+D78-D79</f>
        <v>0</v>
      </c>
      <c r="E77" s="596">
        <f>+E78-E79</f>
        <v>0</v>
      </c>
    </row>
    <row r="78" spans="1:5" x14ac:dyDescent="0.25">
      <c r="A78" s="1409"/>
      <c r="B78" s="500" t="s">
        <v>821</v>
      </c>
      <c r="C78" s="596">
        <f>+C43</f>
        <v>0</v>
      </c>
      <c r="D78" s="596">
        <v>0</v>
      </c>
      <c r="E78" s="596">
        <v>0</v>
      </c>
    </row>
    <row r="79" spans="1:5" x14ac:dyDescent="0.25">
      <c r="A79" s="1409"/>
      <c r="B79" s="500" t="s">
        <v>824</v>
      </c>
      <c r="C79" s="596">
        <f>+C46</f>
        <v>0</v>
      </c>
      <c r="D79" s="596">
        <v>0</v>
      </c>
      <c r="E79" s="596">
        <v>0</v>
      </c>
    </row>
    <row r="80" spans="1:5" x14ac:dyDescent="0.25">
      <c r="A80" s="1409"/>
      <c r="B80" s="642"/>
      <c r="C80" s="596"/>
      <c r="D80" s="596"/>
      <c r="E80" s="596"/>
    </row>
    <row r="81" spans="1:5" x14ac:dyDescent="0.25">
      <c r="A81" s="641"/>
      <c r="B81" s="642" t="s">
        <v>831</v>
      </c>
      <c r="C81" s="596">
        <f>+C16</f>
        <v>115000000</v>
      </c>
      <c r="D81" s="596">
        <f>+D16</f>
        <v>1734650319.29</v>
      </c>
      <c r="E81" s="596">
        <f>+E16</f>
        <v>1711966486.6399999</v>
      </c>
    </row>
    <row r="82" spans="1:5" x14ac:dyDescent="0.25">
      <c r="A82" s="641"/>
      <c r="B82" s="642"/>
      <c r="C82" s="596" t="s">
        <v>241</v>
      </c>
      <c r="D82" s="596" t="s">
        <v>241</v>
      </c>
      <c r="E82" s="596" t="s">
        <v>241</v>
      </c>
    </row>
    <row r="83" spans="1:5" x14ac:dyDescent="0.25">
      <c r="A83" s="641"/>
      <c r="B83" s="642" t="s">
        <v>809</v>
      </c>
      <c r="C83" s="597"/>
      <c r="D83" s="603">
        <f>+D20</f>
        <v>732155984.84000003</v>
      </c>
      <c r="E83" s="603">
        <f>+E20</f>
        <v>651900391.63999999</v>
      </c>
    </row>
    <row r="84" spans="1:5" x14ac:dyDescent="0.25">
      <c r="A84" s="641"/>
      <c r="B84" s="642"/>
      <c r="C84" s="596"/>
      <c r="D84" s="596"/>
      <c r="E84" s="596"/>
    </row>
    <row r="85" spans="1:5" ht="19.5" x14ac:dyDescent="0.25">
      <c r="A85" s="1410"/>
      <c r="B85" s="490" t="s">
        <v>832</v>
      </c>
      <c r="C85" s="598">
        <f>+C75+C77-C81+C83</f>
        <v>0</v>
      </c>
      <c r="D85" s="598">
        <f>+D75+D77-D81+D83</f>
        <v>1179619886.2100005</v>
      </c>
      <c r="E85" s="598">
        <f>+E75+E77-E81+E83</f>
        <v>1122048125.6600003</v>
      </c>
    </row>
    <row r="86" spans="1:5" x14ac:dyDescent="0.25">
      <c r="A86" s="1410"/>
      <c r="B86" s="502"/>
      <c r="C86" s="599"/>
      <c r="D86" s="599"/>
      <c r="E86" s="599"/>
    </row>
    <row r="87" spans="1:5" ht="19.5" x14ac:dyDescent="0.25">
      <c r="A87" s="1410"/>
      <c r="B87" s="490" t="s">
        <v>833</v>
      </c>
      <c r="C87" s="600">
        <f>+C85-C77</f>
        <v>0</v>
      </c>
      <c r="D87" s="600">
        <f>+D85-D77</f>
        <v>1179619886.2100005</v>
      </c>
      <c r="E87" s="600">
        <f>+E85-E77</f>
        <v>1122048125.6600003</v>
      </c>
    </row>
    <row r="88" spans="1:5" ht="15.75" thickBot="1" x14ac:dyDescent="0.3">
      <c r="A88" s="1423"/>
      <c r="B88" s="503"/>
      <c r="C88" s="503"/>
      <c r="D88" s="503"/>
      <c r="E88" s="503"/>
    </row>
  </sheetData>
  <sheetProtection formatColumns="0" formatRows="0" insertHyperlinks="0"/>
  <mergeCells count="41">
    <mergeCell ref="A85:A88"/>
    <mergeCell ref="E75:E76"/>
    <mergeCell ref="A77:A80"/>
    <mergeCell ref="A74:B74"/>
    <mergeCell ref="A75:A76"/>
    <mergeCell ref="B75:B76"/>
    <mergeCell ref="C75:C76"/>
    <mergeCell ref="D75:D76"/>
    <mergeCell ref="A67:A70"/>
    <mergeCell ref="A72:B73"/>
    <mergeCell ref="C72:C73"/>
    <mergeCell ref="D72:D73"/>
    <mergeCell ref="E57:E58"/>
    <mergeCell ref="A59:A62"/>
    <mergeCell ref="A54:B55"/>
    <mergeCell ref="D54:D55"/>
    <mergeCell ref="A56:B56"/>
    <mergeCell ref="A57:A58"/>
    <mergeCell ref="B57:B58"/>
    <mergeCell ref="C57:C58"/>
    <mergeCell ref="D57:D58"/>
    <mergeCell ref="A48:A49"/>
    <mergeCell ref="B48:B49"/>
    <mergeCell ref="C48:C49"/>
    <mergeCell ref="D48:D49"/>
    <mergeCell ref="E48:E49"/>
    <mergeCell ref="A42:A43"/>
    <mergeCell ref="A44:A46"/>
    <mergeCell ref="A1:E1"/>
    <mergeCell ref="A38:B39"/>
    <mergeCell ref="C38:C39"/>
    <mergeCell ref="D38:D39"/>
    <mergeCell ref="A31:A33"/>
    <mergeCell ref="A4:E4"/>
    <mergeCell ref="A22:A25"/>
    <mergeCell ref="A28:E28"/>
    <mergeCell ref="A29:B29"/>
    <mergeCell ref="A6:B7"/>
    <mergeCell ref="D6:D7"/>
    <mergeCell ref="A3:E3"/>
    <mergeCell ref="A2:E2"/>
  </mergeCells>
  <printOptions horizontalCentered="1"/>
  <pageMargins left="0.23622047244094491" right="0.23622047244094491" top="0.43307086614173229" bottom="0.43307086614173229" header="0.31496062992125984" footer="0.31496062992125984"/>
  <pageSetup scale="97" orientation="portrait" r:id="rId1"/>
  <rowBreaks count="1" manualBreakCount="1">
    <brk id="51" max="4"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22">
    <tabColor theme="0" tint="-4.9989318521683403E-2"/>
  </sheetPr>
  <dimension ref="A1:D30"/>
  <sheetViews>
    <sheetView view="pageBreakPreview" topLeftCell="A7" zoomScale="90" zoomScaleSheetLayoutView="90" workbookViewId="0">
      <selection activeCell="C56" sqref="C56"/>
    </sheetView>
  </sheetViews>
  <sheetFormatPr baseColWidth="10" defaultColWidth="11.28515625" defaultRowHeight="16.5" x14ac:dyDescent="0.3"/>
  <cols>
    <col min="1" max="1" width="2.85546875" style="3" customWidth="1"/>
    <col min="2" max="2" width="40.28515625" style="3" customWidth="1"/>
    <col min="3" max="3" width="31.7109375" style="3" customWidth="1"/>
    <col min="4" max="4" width="23" style="3" customWidth="1"/>
    <col min="5" max="16384" width="11.28515625" style="3"/>
  </cols>
  <sheetData>
    <row r="1" spans="1:4" x14ac:dyDescent="0.3">
      <c r="A1" s="1128" t="str">
        <f>'CPCA-I-01'!A1:G1</f>
        <v xml:space="preserve">Comision Estatal del Agua </v>
      </c>
      <c r="B1" s="1128"/>
      <c r="C1" s="1128"/>
      <c r="D1" s="1128"/>
    </row>
    <row r="2" spans="1:4" x14ac:dyDescent="0.3">
      <c r="A2" s="1357" t="s">
        <v>20</v>
      </c>
      <c r="B2" s="1357"/>
      <c r="C2" s="1357"/>
      <c r="D2" s="1357"/>
    </row>
    <row r="3" spans="1:4" x14ac:dyDescent="0.3">
      <c r="A3" s="1357" t="str">
        <f>'CPCA-I-03'!A3:D3</f>
        <v xml:space="preserve">Del  01 de Enero de 2023 al 31 de Diciembre de 2023 </v>
      </c>
      <c r="B3" s="1357"/>
      <c r="C3" s="1357"/>
      <c r="D3" s="1357"/>
    </row>
    <row r="4" spans="1:4" x14ac:dyDescent="0.3">
      <c r="A4" s="28"/>
      <c r="B4" s="1357" t="s">
        <v>1728</v>
      </c>
      <c r="C4" s="1357"/>
      <c r="D4" s="36"/>
    </row>
    <row r="5" spans="1:4" ht="6.75" customHeight="1" thickBot="1" x14ac:dyDescent="0.35"/>
    <row r="6" spans="1:4" s="23" customFormat="1" ht="30" customHeight="1" x14ac:dyDescent="0.25">
      <c r="A6" s="1438" t="s">
        <v>834</v>
      </c>
      <c r="B6" s="1439"/>
      <c r="C6" s="1436" t="s">
        <v>835</v>
      </c>
      <c r="D6" s="1437"/>
    </row>
    <row r="7" spans="1:4" s="23" customFormat="1" ht="32.25" customHeight="1" thickBot="1" x14ac:dyDescent="0.3">
      <c r="A7" s="1440"/>
      <c r="B7" s="1441"/>
      <c r="C7" s="29" t="s">
        <v>836</v>
      </c>
      <c r="D7" s="30" t="s">
        <v>837</v>
      </c>
    </row>
    <row r="8" spans="1:4" s="23" customFormat="1" ht="31.5" customHeight="1" x14ac:dyDescent="0.25">
      <c r="A8" s="25">
        <v>1</v>
      </c>
      <c r="B8" s="34" t="s">
        <v>2049</v>
      </c>
      <c r="C8" s="26" t="s">
        <v>2050</v>
      </c>
      <c r="D8" s="27" t="s">
        <v>2051</v>
      </c>
    </row>
    <row r="9" spans="1:4" s="23" customFormat="1" ht="31.5" customHeight="1" x14ac:dyDescent="0.25">
      <c r="A9" s="25">
        <v>2</v>
      </c>
      <c r="B9" s="866" t="s">
        <v>2052</v>
      </c>
      <c r="C9" s="26" t="s">
        <v>2050</v>
      </c>
      <c r="D9" s="27" t="s">
        <v>2053</v>
      </c>
    </row>
    <row r="10" spans="1:4" s="23" customFormat="1" ht="31.5" customHeight="1" x14ac:dyDescent="0.25">
      <c r="A10" s="25">
        <v>3</v>
      </c>
      <c r="B10" s="34" t="s">
        <v>2054</v>
      </c>
      <c r="C10" s="26" t="s">
        <v>2050</v>
      </c>
      <c r="D10" s="27" t="s">
        <v>2055</v>
      </c>
    </row>
    <row r="11" spans="1:4" s="23" customFormat="1" ht="31.5" customHeight="1" x14ac:dyDescent="0.25">
      <c r="A11" s="25">
        <v>4</v>
      </c>
      <c r="B11" s="34" t="s">
        <v>2056</v>
      </c>
      <c r="C11" s="26" t="s">
        <v>2050</v>
      </c>
      <c r="D11" s="27" t="s">
        <v>2057</v>
      </c>
    </row>
    <row r="12" spans="1:4" s="23" customFormat="1" ht="31.5" customHeight="1" x14ac:dyDescent="0.25">
      <c r="A12" s="25">
        <v>5</v>
      </c>
      <c r="B12" s="34" t="s">
        <v>2058</v>
      </c>
      <c r="C12" s="26" t="s">
        <v>2059</v>
      </c>
      <c r="D12" s="27">
        <v>1226426942</v>
      </c>
    </row>
    <row r="13" spans="1:4" s="23" customFormat="1" ht="31.5" customHeight="1" x14ac:dyDescent="0.25">
      <c r="A13" s="25">
        <v>6</v>
      </c>
      <c r="B13" s="866" t="s">
        <v>2060</v>
      </c>
      <c r="C13" s="26" t="s">
        <v>2050</v>
      </c>
      <c r="D13" s="27">
        <v>120349119</v>
      </c>
    </row>
    <row r="14" spans="1:4" s="23" customFormat="1" ht="31.5" customHeight="1" x14ac:dyDescent="0.25">
      <c r="A14" s="25">
        <v>7</v>
      </c>
      <c r="B14" s="34" t="s">
        <v>2061</v>
      </c>
      <c r="C14" s="26" t="s">
        <v>2050</v>
      </c>
      <c r="D14" s="27">
        <v>120404969</v>
      </c>
    </row>
    <row r="15" spans="1:4" s="23" customFormat="1" ht="31.5" customHeight="1" x14ac:dyDescent="0.25">
      <c r="A15" s="25">
        <v>8</v>
      </c>
      <c r="B15" s="34" t="s">
        <v>2062</v>
      </c>
      <c r="C15" s="26" t="s">
        <v>2050</v>
      </c>
      <c r="D15" s="27">
        <v>120507067</v>
      </c>
    </row>
    <row r="16" spans="1:4" s="23" customFormat="1" ht="31.5" customHeight="1" x14ac:dyDescent="0.25">
      <c r="A16" s="25"/>
      <c r="B16" s="34"/>
      <c r="C16" s="26"/>
      <c r="D16" s="27"/>
    </row>
    <row r="17" spans="1:4" s="23" customFormat="1" ht="31.5" customHeight="1" x14ac:dyDescent="0.25">
      <c r="A17" s="25"/>
      <c r="B17" s="34"/>
      <c r="C17" s="26"/>
      <c r="D17" s="27"/>
    </row>
    <row r="18" spans="1:4" s="23" customFormat="1" ht="31.5" customHeight="1" x14ac:dyDescent="0.25">
      <c r="A18" s="25"/>
      <c r="B18" s="34"/>
      <c r="C18" s="26"/>
      <c r="D18" s="27"/>
    </row>
    <row r="19" spans="1:4" s="23" customFormat="1" ht="31.5" customHeight="1" x14ac:dyDescent="0.25">
      <c r="A19" s="25"/>
      <c r="B19" s="34"/>
      <c r="C19" s="26"/>
      <c r="D19" s="27"/>
    </row>
    <row r="20" spans="1:4" s="23" customFormat="1" ht="31.5" customHeight="1" x14ac:dyDescent="0.25">
      <c r="A20" s="25"/>
      <c r="B20" s="34"/>
      <c r="C20" s="26"/>
      <c r="D20" s="27"/>
    </row>
    <row r="21" spans="1:4" s="23" customFormat="1" ht="31.5" customHeight="1" x14ac:dyDescent="0.25">
      <c r="A21" s="25"/>
      <c r="B21" s="34"/>
      <c r="C21" s="26"/>
      <c r="D21" s="27"/>
    </row>
    <row r="22" spans="1:4" s="23" customFormat="1" ht="31.5" customHeight="1" x14ac:dyDescent="0.25">
      <c r="A22" s="25"/>
      <c r="B22" s="34"/>
      <c r="C22" s="26"/>
      <c r="D22" s="27"/>
    </row>
    <row r="23" spans="1:4" s="23" customFormat="1" ht="31.5" customHeight="1" x14ac:dyDescent="0.25">
      <c r="A23" s="25"/>
      <c r="B23" s="34"/>
      <c r="C23" s="26"/>
      <c r="D23" s="27"/>
    </row>
    <row r="24" spans="1:4" s="23" customFormat="1" ht="31.5" customHeight="1" x14ac:dyDescent="0.25">
      <c r="A24" s="1432"/>
      <c r="B24" s="1433"/>
      <c r="C24" s="1434"/>
      <c r="D24" s="1435"/>
    </row>
    <row r="25" spans="1:4" x14ac:dyDescent="0.3">
      <c r="A25" s="334" t="s">
        <v>80</v>
      </c>
    </row>
    <row r="26" spans="1:4" x14ac:dyDescent="0.3">
      <c r="A26" s="334"/>
    </row>
    <row r="27" spans="1:4" x14ac:dyDescent="0.3">
      <c r="A27" s="334"/>
    </row>
    <row r="28" spans="1:4" x14ac:dyDescent="0.3">
      <c r="A28" s="334"/>
    </row>
    <row r="30" spans="1:4" ht="18.75" x14ac:dyDescent="0.3">
      <c r="B30" s="297" t="s">
        <v>838</v>
      </c>
    </row>
  </sheetData>
  <mergeCells count="7">
    <mergeCell ref="A24:D24"/>
    <mergeCell ref="A1:D1"/>
    <mergeCell ref="A3:D3"/>
    <mergeCell ref="C6:D6"/>
    <mergeCell ref="A2:D2"/>
    <mergeCell ref="A6:B7"/>
    <mergeCell ref="B4:C4"/>
  </mergeCells>
  <printOptions horizontalCentered="1"/>
  <pageMargins left="0.39370078740157483" right="0.39370078740157483" top="0.74803149606299213" bottom="0.74803149606299213" header="0.31496062992125984" footer="0.31496062992125984"/>
  <pageSetup scale="92"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54E93-FA3D-4C4C-A1D8-ADCBABE42A43}">
  <sheetPr>
    <tabColor theme="0" tint="-4.9989318521683403E-2"/>
    <pageSetUpPr fitToPage="1"/>
  </sheetPr>
  <dimension ref="A1:E2357"/>
  <sheetViews>
    <sheetView view="pageBreakPreview" topLeftCell="A2328" zoomScaleNormal="100" zoomScaleSheetLayoutView="100" workbookViewId="0">
      <selection activeCell="C56" sqref="C56"/>
    </sheetView>
  </sheetViews>
  <sheetFormatPr baseColWidth="10" defaultColWidth="11.28515625" defaultRowHeight="16.5" x14ac:dyDescent="0.3"/>
  <cols>
    <col min="1" max="1" width="5.28515625" style="3" customWidth="1"/>
    <col min="2" max="2" width="37" style="3" customWidth="1"/>
    <col min="3" max="3" width="36.28515625" style="3" customWidth="1"/>
    <col min="4" max="4" width="21.28515625" style="3" customWidth="1"/>
    <col min="5" max="5" width="13.42578125" style="3" bestFit="1" customWidth="1"/>
    <col min="6" max="16384" width="11.28515625" style="3"/>
  </cols>
  <sheetData>
    <row r="1" spans="1:4" x14ac:dyDescent="0.3">
      <c r="A1" s="1128" t="str">
        <f>'CPCA-I-01'!A1:G1</f>
        <v xml:space="preserve">Comision Estatal del Agua </v>
      </c>
      <c r="B1" s="1128"/>
      <c r="C1" s="1128"/>
      <c r="D1" s="1128"/>
    </row>
    <row r="2" spans="1:4" x14ac:dyDescent="0.3">
      <c r="A2" s="1357" t="s">
        <v>839</v>
      </c>
      <c r="B2" s="1357"/>
      <c r="C2" s="1357"/>
      <c r="D2" s="1357"/>
    </row>
    <row r="3" spans="1:4" x14ac:dyDescent="0.3">
      <c r="A3" s="1357" t="str">
        <f>'CPCA-I-01'!A3:G3</f>
        <v>Al 31 de Diciembre del 2023</v>
      </c>
      <c r="B3" s="1357"/>
      <c r="C3" s="1357"/>
      <c r="D3" s="1357"/>
    </row>
    <row r="4" spans="1:4" x14ac:dyDescent="0.3">
      <c r="A4" s="28"/>
      <c r="B4" s="1357" t="s">
        <v>1729</v>
      </c>
      <c r="C4" s="1357"/>
      <c r="D4" s="36"/>
    </row>
    <row r="5" spans="1:4" ht="6.75" customHeight="1" x14ac:dyDescent="0.3"/>
    <row r="6" spans="1:4" s="23" customFormat="1" ht="11.25" customHeight="1" x14ac:dyDescent="0.25">
      <c r="A6" s="1446" t="s">
        <v>840</v>
      </c>
      <c r="B6" s="1446"/>
      <c r="C6" s="1446" t="s">
        <v>841</v>
      </c>
      <c r="D6" s="1446" t="s">
        <v>842</v>
      </c>
    </row>
    <row r="7" spans="1:4" s="23" customFormat="1" ht="11.25" customHeight="1" x14ac:dyDescent="0.25">
      <c r="A7" s="1446"/>
      <c r="B7" s="1446"/>
      <c r="C7" s="1446"/>
      <c r="D7" s="1446"/>
    </row>
    <row r="8" spans="1:4" s="23" customFormat="1" ht="24" customHeight="1" x14ac:dyDescent="0.25">
      <c r="A8" s="667"/>
      <c r="B8" s="668" t="s">
        <v>843</v>
      </c>
      <c r="C8" s="667"/>
      <c r="D8" s="667"/>
    </row>
    <row r="9" spans="1:4" s="23" customFormat="1" ht="30" customHeight="1" x14ac:dyDescent="0.25">
      <c r="A9" s="667">
        <v>1</v>
      </c>
      <c r="B9" s="667" t="s">
        <v>2064</v>
      </c>
      <c r="C9" s="667" t="s">
        <v>2065</v>
      </c>
      <c r="D9" s="669">
        <v>12955.13</v>
      </c>
    </row>
    <row r="10" spans="1:4" s="23" customFormat="1" ht="30" customHeight="1" x14ac:dyDescent="0.25">
      <c r="A10" s="667">
        <v>2</v>
      </c>
      <c r="B10" s="667" t="s">
        <v>2066</v>
      </c>
      <c r="C10" s="885" t="s">
        <v>2067</v>
      </c>
      <c r="D10" s="669">
        <v>12908.99</v>
      </c>
    </row>
    <row r="11" spans="1:4" s="23" customFormat="1" ht="30" customHeight="1" x14ac:dyDescent="0.25">
      <c r="A11" s="667">
        <v>3</v>
      </c>
      <c r="B11" s="667" t="s">
        <v>2068</v>
      </c>
      <c r="C11" s="885" t="s">
        <v>2069</v>
      </c>
      <c r="D11" s="669">
        <v>38838.9</v>
      </c>
    </row>
    <row r="12" spans="1:4" s="23" customFormat="1" ht="30" customHeight="1" x14ac:dyDescent="0.25">
      <c r="A12" s="667">
        <v>4</v>
      </c>
      <c r="B12" s="667" t="s">
        <v>2070</v>
      </c>
      <c r="C12" s="885" t="s">
        <v>2071</v>
      </c>
      <c r="D12" s="669">
        <v>61380</v>
      </c>
    </row>
    <row r="13" spans="1:4" s="23" customFormat="1" ht="30" customHeight="1" x14ac:dyDescent="0.25">
      <c r="A13" s="667">
        <v>5</v>
      </c>
      <c r="B13" s="667" t="s">
        <v>2072</v>
      </c>
      <c r="C13" s="667" t="s">
        <v>2073</v>
      </c>
      <c r="D13" s="669">
        <v>77887.5</v>
      </c>
    </row>
    <row r="14" spans="1:4" s="23" customFormat="1" ht="30" customHeight="1" x14ac:dyDescent="0.25">
      <c r="A14" s="667">
        <v>6</v>
      </c>
      <c r="B14" s="667" t="s">
        <v>2074</v>
      </c>
      <c r="C14" s="667" t="s">
        <v>2073</v>
      </c>
      <c r="D14" s="669">
        <v>77887.5</v>
      </c>
    </row>
    <row r="15" spans="1:4" s="23" customFormat="1" ht="30" customHeight="1" x14ac:dyDescent="0.25">
      <c r="A15" s="667">
        <v>7</v>
      </c>
      <c r="B15" s="667" t="s">
        <v>2075</v>
      </c>
      <c r="C15" s="885" t="s">
        <v>2076</v>
      </c>
      <c r="D15" s="669">
        <v>31185</v>
      </c>
    </row>
    <row r="16" spans="1:4" s="23" customFormat="1" ht="30" customHeight="1" x14ac:dyDescent="0.25">
      <c r="A16" s="667">
        <v>8</v>
      </c>
      <c r="B16" s="667" t="s">
        <v>2077</v>
      </c>
      <c r="C16" s="885" t="s">
        <v>2078</v>
      </c>
      <c r="D16" s="669">
        <v>11915</v>
      </c>
    </row>
    <row r="17" spans="1:4" s="23" customFormat="1" ht="30" customHeight="1" x14ac:dyDescent="0.25">
      <c r="A17" s="667">
        <v>9</v>
      </c>
      <c r="B17" s="667" t="s">
        <v>2079</v>
      </c>
      <c r="C17" s="885" t="s">
        <v>2080</v>
      </c>
      <c r="D17" s="669">
        <v>17390</v>
      </c>
    </row>
    <row r="18" spans="1:4" s="23" customFormat="1" ht="22.5" customHeight="1" x14ac:dyDescent="0.25">
      <c r="A18" s="667">
        <v>10</v>
      </c>
      <c r="B18" s="668" t="s">
        <v>2081</v>
      </c>
      <c r="C18" s="885" t="s">
        <v>2082</v>
      </c>
      <c r="D18" s="669">
        <v>24480</v>
      </c>
    </row>
    <row r="19" spans="1:4" s="23" customFormat="1" ht="30" customHeight="1" x14ac:dyDescent="0.25">
      <c r="A19" s="667">
        <v>11</v>
      </c>
      <c r="B19" s="667" t="s">
        <v>2083</v>
      </c>
      <c r="C19" s="885" t="s">
        <v>2084</v>
      </c>
      <c r="D19" s="669">
        <v>66328.41</v>
      </c>
    </row>
    <row r="20" spans="1:4" s="23" customFormat="1" ht="30" customHeight="1" x14ac:dyDescent="0.25">
      <c r="A20" s="667">
        <v>12</v>
      </c>
      <c r="B20" s="667" t="s">
        <v>2085</v>
      </c>
      <c r="C20" s="885" t="s">
        <v>2086</v>
      </c>
      <c r="D20" s="669">
        <v>12968.89</v>
      </c>
    </row>
    <row r="21" spans="1:4" s="23" customFormat="1" ht="30" customHeight="1" x14ac:dyDescent="0.25">
      <c r="A21" s="667">
        <v>13</v>
      </c>
      <c r="B21" s="667" t="s">
        <v>2087</v>
      </c>
      <c r="C21" s="885" t="s">
        <v>2088</v>
      </c>
      <c r="D21" s="669">
        <v>12968.89</v>
      </c>
    </row>
    <row r="22" spans="1:4" s="23" customFormat="1" ht="30" customHeight="1" x14ac:dyDescent="0.25">
      <c r="A22" s="667">
        <v>14</v>
      </c>
      <c r="B22" s="667" t="s">
        <v>2089</v>
      </c>
      <c r="C22" s="885" t="s">
        <v>2088</v>
      </c>
      <c r="D22" s="669">
        <v>12968.89</v>
      </c>
    </row>
    <row r="23" spans="1:4" s="23" customFormat="1" ht="30" customHeight="1" x14ac:dyDescent="0.25">
      <c r="A23" s="667">
        <v>15</v>
      </c>
      <c r="B23" s="667" t="s">
        <v>2090</v>
      </c>
      <c r="C23" s="885" t="s">
        <v>2091</v>
      </c>
      <c r="D23" s="669">
        <v>14600</v>
      </c>
    </row>
    <row r="24" spans="1:4" s="23" customFormat="1" ht="30" customHeight="1" x14ac:dyDescent="0.25">
      <c r="A24" s="667">
        <v>16</v>
      </c>
      <c r="B24" s="667" t="s">
        <v>2092</v>
      </c>
      <c r="C24" s="885" t="s">
        <v>2093</v>
      </c>
      <c r="D24" s="669">
        <v>12908.99</v>
      </c>
    </row>
    <row r="25" spans="1:4" s="23" customFormat="1" ht="30" customHeight="1" x14ac:dyDescent="0.25">
      <c r="A25" s="667">
        <v>17</v>
      </c>
      <c r="B25" s="667" t="s">
        <v>2094</v>
      </c>
      <c r="C25" s="885" t="s">
        <v>2095</v>
      </c>
      <c r="D25" s="669">
        <v>13443</v>
      </c>
    </row>
    <row r="26" spans="1:4" s="23" customFormat="1" ht="30" customHeight="1" x14ac:dyDescent="0.25">
      <c r="A26" s="667">
        <v>18</v>
      </c>
      <c r="B26" s="667" t="s">
        <v>2096</v>
      </c>
      <c r="C26" s="885" t="s">
        <v>2097</v>
      </c>
      <c r="D26" s="669">
        <v>9290</v>
      </c>
    </row>
    <row r="27" spans="1:4" s="23" customFormat="1" ht="22.5" customHeight="1" x14ac:dyDescent="0.25">
      <c r="A27" s="667">
        <v>19</v>
      </c>
      <c r="B27" s="668" t="s">
        <v>2098</v>
      </c>
      <c r="C27" s="885" t="s">
        <v>2078</v>
      </c>
      <c r="D27" s="669">
        <v>11915</v>
      </c>
    </row>
    <row r="28" spans="1:4" s="23" customFormat="1" ht="22.5" customHeight="1" x14ac:dyDescent="0.25">
      <c r="A28" s="667">
        <v>20</v>
      </c>
      <c r="B28" s="668" t="s">
        <v>2099</v>
      </c>
      <c r="C28" s="885" t="s">
        <v>2100</v>
      </c>
      <c r="D28" s="669">
        <v>18390</v>
      </c>
    </row>
    <row r="29" spans="1:4" s="23" customFormat="1" ht="22.5" customHeight="1" x14ac:dyDescent="0.25">
      <c r="A29" s="667">
        <v>21</v>
      </c>
      <c r="B29" s="668" t="s">
        <v>2101</v>
      </c>
      <c r="C29" s="885" t="s">
        <v>2102</v>
      </c>
      <c r="D29" s="669">
        <v>4559.76</v>
      </c>
    </row>
    <row r="30" spans="1:4" s="23" customFormat="1" ht="22.5" customHeight="1" x14ac:dyDescent="0.25">
      <c r="A30" s="667">
        <v>22</v>
      </c>
      <c r="B30" s="668" t="s">
        <v>2103</v>
      </c>
      <c r="C30" s="885" t="s">
        <v>2102</v>
      </c>
      <c r="D30" s="669">
        <v>4559.76</v>
      </c>
    </row>
    <row r="31" spans="1:4" s="23" customFormat="1" ht="22.5" customHeight="1" x14ac:dyDescent="0.25">
      <c r="A31" s="667">
        <v>23</v>
      </c>
      <c r="B31" s="668" t="s">
        <v>2104</v>
      </c>
      <c r="C31" s="885" t="s">
        <v>2088</v>
      </c>
      <c r="D31" s="669">
        <v>12968.89</v>
      </c>
    </row>
    <row r="32" spans="1:4" s="23" customFormat="1" ht="22.5" customHeight="1" x14ac:dyDescent="0.25">
      <c r="A32" s="667">
        <v>24</v>
      </c>
      <c r="B32" s="668" t="s">
        <v>2105</v>
      </c>
      <c r="C32" s="885" t="s">
        <v>2106</v>
      </c>
      <c r="D32" s="669">
        <v>13490</v>
      </c>
    </row>
    <row r="33" spans="1:4" s="23" customFormat="1" ht="22.5" customHeight="1" x14ac:dyDescent="0.25">
      <c r="A33" s="667">
        <v>25</v>
      </c>
      <c r="B33" s="668" t="s">
        <v>2107</v>
      </c>
      <c r="C33" s="885" t="s">
        <v>2108</v>
      </c>
      <c r="D33" s="669">
        <v>13793.1</v>
      </c>
    </row>
    <row r="34" spans="1:4" s="23" customFormat="1" ht="22.5" customHeight="1" x14ac:dyDescent="0.25">
      <c r="A34" s="667">
        <v>26</v>
      </c>
      <c r="B34" s="668" t="s">
        <v>2109</v>
      </c>
      <c r="C34" s="885" t="s">
        <v>2110</v>
      </c>
      <c r="D34" s="669">
        <v>18390</v>
      </c>
    </row>
    <row r="35" spans="1:4" s="23" customFormat="1" ht="22.5" customHeight="1" x14ac:dyDescent="0.25">
      <c r="A35" s="667">
        <v>27</v>
      </c>
      <c r="B35" s="668" t="s">
        <v>2111</v>
      </c>
      <c r="C35" s="885" t="s">
        <v>2110</v>
      </c>
      <c r="D35" s="669">
        <v>18390</v>
      </c>
    </row>
    <row r="36" spans="1:4" s="23" customFormat="1" ht="22.5" customHeight="1" x14ac:dyDescent="0.25">
      <c r="A36" s="667">
        <v>28</v>
      </c>
      <c r="B36" s="668" t="s">
        <v>2112</v>
      </c>
      <c r="C36" s="885" t="s">
        <v>2110</v>
      </c>
      <c r="D36" s="669">
        <v>18390</v>
      </c>
    </row>
    <row r="37" spans="1:4" s="23" customFormat="1" ht="22.5" customHeight="1" x14ac:dyDescent="0.25">
      <c r="A37" s="667">
        <v>29</v>
      </c>
      <c r="B37" s="668" t="s">
        <v>2113</v>
      </c>
      <c r="C37" s="885" t="s">
        <v>2114</v>
      </c>
      <c r="D37" s="669">
        <v>2140</v>
      </c>
    </row>
    <row r="38" spans="1:4" s="23" customFormat="1" ht="22.5" customHeight="1" x14ac:dyDescent="0.25">
      <c r="A38" s="667">
        <v>30</v>
      </c>
      <c r="B38" s="668" t="s">
        <v>2115</v>
      </c>
      <c r="C38" s="885" t="s">
        <v>2078</v>
      </c>
      <c r="D38" s="669">
        <v>11915</v>
      </c>
    </row>
    <row r="39" spans="1:4" s="23" customFormat="1" ht="22.5" customHeight="1" x14ac:dyDescent="0.25">
      <c r="A39" s="667">
        <v>31</v>
      </c>
      <c r="B39" s="668" t="s">
        <v>2116</v>
      </c>
      <c r="C39" s="885" t="s">
        <v>2078</v>
      </c>
      <c r="D39" s="669">
        <v>11915</v>
      </c>
    </row>
    <row r="40" spans="1:4" s="23" customFormat="1" ht="22.5" customHeight="1" x14ac:dyDescent="0.25">
      <c r="A40" s="667">
        <v>32</v>
      </c>
      <c r="B40" s="668" t="s">
        <v>2117</v>
      </c>
      <c r="C40" s="885" t="s">
        <v>2118</v>
      </c>
      <c r="D40" s="669">
        <v>12968.89</v>
      </c>
    </row>
    <row r="41" spans="1:4" s="23" customFormat="1" ht="22.5" customHeight="1" x14ac:dyDescent="0.25">
      <c r="A41" s="667">
        <v>33</v>
      </c>
      <c r="B41" s="668" t="s">
        <v>2119</v>
      </c>
      <c r="C41" s="885" t="s">
        <v>2120</v>
      </c>
      <c r="D41" s="669">
        <v>9090</v>
      </c>
    </row>
    <row r="42" spans="1:4" s="23" customFormat="1" ht="22.5" customHeight="1" x14ac:dyDescent="0.25">
      <c r="A42" s="667">
        <v>34</v>
      </c>
      <c r="B42" s="668" t="s">
        <v>2121</v>
      </c>
      <c r="C42" s="885" t="s">
        <v>2122</v>
      </c>
      <c r="D42" s="669">
        <v>1022.76</v>
      </c>
    </row>
    <row r="43" spans="1:4" s="23" customFormat="1" ht="22.5" customHeight="1" x14ac:dyDescent="0.25">
      <c r="A43" s="667">
        <v>35</v>
      </c>
      <c r="B43" s="668" t="s">
        <v>2123</v>
      </c>
      <c r="C43" s="885" t="s">
        <v>2124</v>
      </c>
      <c r="D43" s="669">
        <v>2990</v>
      </c>
    </row>
    <row r="44" spans="1:4" s="23" customFormat="1" ht="22.5" customHeight="1" x14ac:dyDescent="0.25">
      <c r="A44" s="667">
        <v>36</v>
      </c>
      <c r="B44" s="668" t="s">
        <v>2125</v>
      </c>
      <c r="C44" s="885" t="s">
        <v>2088</v>
      </c>
      <c r="D44" s="669">
        <v>12968.89</v>
      </c>
    </row>
    <row r="45" spans="1:4" s="23" customFormat="1" ht="22.5" customHeight="1" x14ac:dyDescent="0.25">
      <c r="A45" s="667">
        <v>37</v>
      </c>
      <c r="B45" s="668" t="s">
        <v>2126</v>
      </c>
      <c r="C45" s="885" t="s">
        <v>2127</v>
      </c>
      <c r="D45" s="669">
        <v>3147.06</v>
      </c>
    </row>
    <row r="46" spans="1:4" s="23" customFormat="1" ht="22.5" customHeight="1" x14ac:dyDescent="0.25">
      <c r="A46" s="667">
        <v>38</v>
      </c>
      <c r="B46" s="668" t="s">
        <v>2128</v>
      </c>
      <c r="C46" s="885" t="s">
        <v>2129</v>
      </c>
      <c r="D46" s="669">
        <v>3552.55</v>
      </c>
    </row>
    <row r="47" spans="1:4" s="23" customFormat="1" ht="22.5" customHeight="1" x14ac:dyDescent="0.25">
      <c r="A47" s="667">
        <v>39</v>
      </c>
      <c r="B47" s="668" t="s">
        <v>2130</v>
      </c>
      <c r="C47" s="885" t="s">
        <v>2131</v>
      </c>
      <c r="D47" s="669">
        <v>1207.5</v>
      </c>
    </row>
    <row r="48" spans="1:4" s="23" customFormat="1" ht="22.5" customHeight="1" x14ac:dyDescent="0.25">
      <c r="A48" s="667">
        <v>40</v>
      </c>
      <c r="B48" s="668" t="s">
        <v>2132</v>
      </c>
      <c r="C48" s="885" t="s">
        <v>2133</v>
      </c>
      <c r="D48" s="669">
        <v>3147.06</v>
      </c>
    </row>
    <row r="49" spans="1:4" s="23" customFormat="1" ht="22.5" customHeight="1" x14ac:dyDescent="0.25">
      <c r="A49" s="667">
        <v>41</v>
      </c>
      <c r="B49" s="668" t="s">
        <v>2134</v>
      </c>
      <c r="C49" s="885" t="s">
        <v>2135</v>
      </c>
      <c r="D49" s="669">
        <v>10635.41</v>
      </c>
    </row>
    <row r="50" spans="1:4" s="23" customFormat="1" ht="22.5" customHeight="1" x14ac:dyDescent="0.25">
      <c r="A50" s="667">
        <v>42</v>
      </c>
      <c r="B50" s="668" t="s">
        <v>2136</v>
      </c>
      <c r="C50" s="885" t="s">
        <v>2137</v>
      </c>
      <c r="D50" s="669">
        <v>12908.99</v>
      </c>
    </row>
    <row r="51" spans="1:4" s="23" customFormat="1" ht="22.5" customHeight="1" x14ac:dyDescent="0.25">
      <c r="A51" s="667">
        <v>43</v>
      </c>
      <c r="B51" s="668" t="s">
        <v>2138</v>
      </c>
      <c r="C51" s="885" t="s">
        <v>2129</v>
      </c>
      <c r="D51" s="669">
        <v>3552.55</v>
      </c>
    </row>
    <row r="52" spans="1:4" s="23" customFormat="1" ht="22.5" customHeight="1" x14ac:dyDescent="0.25">
      <c r="A52" s="667">
        <v>44</v>
      </c>
      <c r="B52" s="668" t="s">
        <v>2139</v>
      </c>
      <c r="C52" s="885" t="s">
        <v>2140</v>
      </c>
      <c r="D52" s="669">
        <v>15050</v>
      </c>
    </row>
    <row r="53" spans="1:4" s="23" customFormat="1" ht="22.5" customHeight="1" x14ac:dyDescent="0.25">
      <c r="A53" s="667">
        <v>45</v>
      </c>
      <c r="B53" s="668" t="s">
        <v>2141</v>
      </c>
      <c r="C53" s="885" t="s">
        <v>2078</v>
      </c>
      <c r="D53" s="669">
        <v>11915</v>
      </c>
    </row>
    <row r="54" spans="1:4" s="23" customFormat="1" ht="22.5" customHeight="1" x14ac:dyDescent="0.25">
      <c r="A54" s="667">
        <v>46</v>
      </c>
      <c r="B54" s="668" t="s">
        <v>2142</v>
      </c>
      <c r="C54" s="885" t="s">
        <v>2143</v>
      </c>
      <c r="D54" s="669">
        <v>12908.99</v>
      </c>
    </row>
    <row r="55" spans="1:4" s="23" customFormat="1" ht="22.5" customHeight="1" x14ac:dyDescent="0.25">
      <c r="A55" s="667">
        <v>47</v>
      </c>
      <c r="B55" s="668" t="s">
        <v>2144</v>
      </c>
      <c r="C55" s="885" t="s">
        <v>2145</v>
      </c>
      <c r="D55" s="669">
        <v>12908.99</v>
      </c>
    </row>
    <row r="56" spans="1:4" s="23" customFormat="1" ht="22.5" customHeight="1" x14ac:dyDescent="0.25">
      <c r="A56" s="667">
        <v>48</v>
      </c>
      <c r="B56" s="668" t="s">
        <v>2146</v>
      </c>
      <c r="C56" s="885" t="s">
        <v>2147</v>
      </c>
      <c r="D56" s="669">
        <v>17647.41</v>
      </c>
    </row>
    <row r="57" spans="1:4" s="23" customFormat="1" ht="22.5" customHeight="1" x14ac:dyDescent="0.25">
      <c r="A57" s="667">
        <v>49</v>
      </c>
      <c r="B57" s="886" t="s">
        <v>2148</v>
      </c>
      <c r="C57" s="885" t="s">
        <v>2149</v>
      </c>
      <c r="D57" s="669">
        <v>2787.4</v>
      </c>
    </row>
    <row r="58" spans="1:4" s="23" customFormat="1" ht="22.5" customHeight="1" x14ac:dyDescent="0.25">
      <c r="A58" s="667">
        <v>50</v>
      </c>
      <c r="B58" s="886" t="s">
        <v>2150</v>
      </c>
      <c r="C58" s="885" t="s">
        <v>2151</v>
      </c>
      <c r="D58" s="669">
        <v>18390</v>
      </c>
    </row>
    <row r="59" spans="1:4" s="23" customFormat="1" ht="22.5" customHeight="1" x14ac:dyDescent="0.25">
      <c r="A59" s="667">
        <v>51</v>
      </c>
      <c r="B59" s="668" t="s">
        <v>2152</v>
      </c>
      <c r="C59" s="885" t="s">
        <v>2153</v>
      </c>
      <c r="D59" s="669">
        <v>4280</v>
      </c>
    </row>
    <row r="60" spans="1:4" s="23" customFormat="1" ht="22.5" customHeight="1" x14ac:dyDescent="0.25">
      <c r="A60" s="667">
        <v>52</v>
      </c>
      <c r="B60" s="668" t="s">
        <v>2154</v>
      </c>
      <c r="C60" s="885" t="s">
        <v>2155</v>
      </c>
      <c r="D60" s="669">
        <v>18500</v>
      </c>
    </row>
    <row r="61" spans="1:4" s="23" customFormat="1" ht="22.5" customHeight="1" x14ac:dyDescent="0.25">
      <c r="A61" s="667">
        <v>53</v>
      </c>
      <c r="B61" s="668" t="s">
        <v>2156</v>
      </c>
      <c r="C61" s="885" t="s">
        <v>2157</v>
      </c>
      <c r="D61" s="669">
        <v>1942.5</v>
      </c>
    </row>
    <row r="62" spans="1:4" s="23" customFormat="1" ht="22.5" customHeight="1" x14ac:dyDescent="0.25">
      <c r="A62" s="667">
        <v>54</v>
      </c>
      <c r="B62" s="668" t="s">
        <v>2158</v>
      </c>
      <c r="C62" s="885" t="s">
        <v>2159</v>
      </c>
      <c r="D62" s="669">
        <v>20466.36</v>
      </c>
    </row>
    <row r="63" spans="1:4" s="23" customFormat="1" ht="22.5" customHeight="1" x14ac:dyDescent="0.25">
      <c r="A63" s="667">
        <v>55</v>
      </c>
      <c r="B63" s="668" t="s">
        <v>2160</v>
      </c>
      <c r="C63" s="885" t="s">
        <v>2161</v>
      </c>
      <c r="D63" s="669">
        <v>15237.5</v>
      </c>
    </row>
    <row r="64" spans="1:4" s="23" customFormat="1" ht="22.5" customHeight="1" x14ac:dyDescent="0.25">
      <c r="A64" s="667">
        <v>56</v>
      </c>
      <c r="B64" s="668" t="s">
        <v>2162</v>
      </c>
      <c r="C64" s="885" t="s">
        <v>2163</v>
      </c>
      <c r="D64" s="669">
        <v>1724.13</v>
      </c>
    </row>
    <row r="65" spans="1:4" s="23" customFormat="1" ht="22.5" customHeight="1" x14ac:dyDescent="0.25">
      <c r="A65" s="667">
        <v>57</v>
      </c>
      <c r="B65" s="668" t="s">
        <v>2164</v>
      </c>
      <c r="C65" s="885" t="s">
        <v>2165</v>
      </c>
      <c r="D65" s="669">
        <v>100964</v>
      </c>
    </row>
    <row r="66" spans="1:4" s="23" customFormat="1" ht="22.5" customHeight="1" x14ac:dyDescent="0.25">
      <c r="A66" s="667">
        <v>58</v>
      </c>
      <c r="B66" s="668" t="s">
        <v>2166</v>
      </c>
      <c r="C66" s="885" t="s">
        <v>2167</v>
      </c>
      <c r="D66" s="669">
        <v>13362.07</v>
      </c>
    </row>
    <row r="67" spans="1:4" s="23" customFormat="1" ht="22.5" customHeight="1" x14ac:dyDescent="0.25">
      <c r="A67" s="667">
        <v>59</v>
      </c>
      <c r="B67" s="668" t="s">
        <v>2168</v>
      </c>
      <c r="C67" s="885" t="s">
        <v>2169</v>
      </c>
      <c r="D67" s="669">
        <v>3357.71</v>
      </c>
    </row>
    <row r="68" spans="1:4" s="23" customFormat="1" ht="22.5" customHeight="1" x14ac:dyDescent="0.25">
      <c r="A68" s="667">
        <v>60</v>
      </c>
      <c r="B68" s="668" t="s">
        <v>2170</v>
      </c>
      <c r="C68" s="885" t="s">
        <v>2171</v>
      </c>
      <c r="D68" s="669">
        <v>1794.18</v>
      </c>
    </row>
    <row r="69" spans="1:4" s="23" customFormat="1" ht="22.5" customHeight="1" x14ac:dyDescent="0.25">
      <c r="A69" s="667">
        <v>61</v>
      </c>
      <c r="B69" s="668" t="s">
        <v>2172</v>
      </c>
      <c r="C69" s="885" t="s">
        <v>2171</v>
      </c>
      <c r="D69" s="669">
        <v>1794.18</v>
      </c>
    </row>
    <row r="70" spans="1:4" s="23" customFormat="1" ht="22.5" customHeight="1" x14ac:dyDescent="0.25">
      <c r="A70" s="667">
        <v>62</v>
      </c>
      <c r="B70" s="668" t="s">
        <v>2173</v>
      </c>
      <c r="C70" s="885" t="s">
        <v>2171</v>
      </c>
      <c r="D70" s="669">
        <v>1794.18</v>
      </c>
    </row>
    <row r="71" spans="1:4" s="23" customFormat="1" ht="22.5" customHeight="1" x14ac:dyDescent="0.25">
      <c r="A71" s="667">
        <v>63</v>
      </c>
      <c r="B71" s="668" t="s">
        <v>2174</v>
      </c>
      <c r="C71" s="885" t="s">
        <v>2171</v>
      </c>
      <c r="D71" s="669">
        <v>1794.18</v>
      </c>
    </row>
    <row r="72" spans="1:4" s="23" customFormat="1" ht="22.5" customHeight="1" x14ac:dyDescent="0.25">
      <c r="A72" s="667">
        <v>64</v>
      </c>
      <c r="B72" s="668" t="s">
        <v>2175</v>
      </c>
      <c r="C72" s="885" t="s">
        <v>2176</v>
      </c>
      <c r="D72" s="669">
        <v>1794.18</v>
      </c>
    </row>
    <row r="73" spans="1:4" s="23" customFormat="1" ht="22.5" customHeight="1" x14ac:dyDescent="0.25">
      <c r="A73" s="667">
        <v>65</v>
      </c>
      <c r="B73" s="668" t="s">
        <v>2177</v>
      </c>
      <c r="C73" s="885" t="s">
        <v>2171</v>
      </c>
      <c r="D73" s="669">
        <v>1794.18</v>
      </c>
    </row>
    <row r="74" spans="1:4" s="23" customFormat="1" ht="22.5" customHeight="1" x14ac:dyDescent="0.25">
      <c r="A74" s="667">
        <v>66</v>
      </c>
      <c r="B74" s="668" t="s">
        <v>2178</v>
      </c>
      <c r="C74" s="885" t="s">
        <v>2179</v>
      </c>
      <c r="D74" s="669">
        <v>3990</v>
      </c>
    </row>
    <row r="75" spans="1:4" s="23" customFormat="1" ht="22.5" customHeight="1" x14ac:dyDescent="0.25">
      <c r="A75" s="667">
        <v>67</v>
      </c>
      <c r="B75" s="668" t="s">
        <v>2180</v>
      </c>
      <c r="C75" s="885" t="s">
        <v>2181</v>
      </c>
      <c r="D75" s="669">
        <v>2150</v>
      </c>
    </row>
    <row r="76" spans="1:4" s="23" customFormat="1" ht="22.5" customHeight="1" x14ac:dyDescent="0.25">
      <c r="A76" s="667">
        <v>68</v>
      </c>
      <c r="B76" s="668" t="s">
        <v>2182</v>
      </c>
      <c r="C76" s="885" t="s">
        <v>2183</v>
      </c>
      <c r="D76" s="669">
        <v>9856</v>
      </c>
    </row>
    <row r="77" spans="1:4" s="23" customFormat="1" ht="22.5" customHeight="1" x14ac:dyDescent="0.25">
      <c r="A77" s="667">
        <v>69</v>
      </c>
      <c r="B77" s="668" t="s">
        <v>2184</v>
      </c>
      <c r="C77" s="885" t="s">
        <v>2185</v>
      </c>
      <c r="D77" s="669">
        <v>4860</v>
      </c>
    </row>
    <row r="78" spans="1:4" s="23" customFormat="1" ht="22.5" customHeight="1" x14ac:dyDescent="0.25">
      <c r="A78" s="667">
        <v>70</v>
      </c>
      <c r="B78" s="668" t="s">
        <v>2186</v>
      </c>
      <c r="C78" s="885" t="s">
        <v>2185</v>
      </c>
      <c r="D78" s="669">
        <v>4860</v>
      </c>
    </row>
    <row r="79" spans="1:4" s="23" customFormat="1" ht="22.5" customHeight="1" x14ac:dyDescent="0.25">
      <c r="A79" s="667">
        <v>71</v>
      </c>
      <c r="B79" s="668" t="s">
        <v>2187</v>
      </c>
      <c r="C79" s="885" t="s">
        <v>2188</v>
      </c>
      <c r="D79" s="669">
        <v>13090</v>
      </c>
    </row>
    <row r="80" spans="1:4" s="23" customFormat="1" ht="22.5" customHeight="1" x14ac:dyDescent="0.25">
      <c r="A80" s="667">
        <v>72</v>
      </c>
      <c r="B80" s="668" t="s">
        <v>2189</v>
      </c>
      <c r="C80" s="885" t="s">
        <v>2188</v>
      </c>
      <c r="D80" s="669">
        <v>13090</v>
      </c>
    </row>
    <row r="81" spans="1:4" s="23" customFormat="1" ht="22.5" customHeight="1" x14ac:dyDescent="0.25">
      <c r="A81" s="667">
        <v>73</v>
      </c>
      <c r="B81" s="668" t="s">
        <v>2190</v>
      </c>
      <c r="C81" s="885" t="s">
        <v>2191</v>
      </c>
      <c r="D81" s="669">
        <v>8990</v>
      </c>
    </row>
    <row r="82" spans="1:4" s="23" customFormat="1" ht="22.5" customHeight="1" x14ac:dyDescent="0.25">
      <c r="A82" s="667">
        <v>74</v>
      </c>
      <c r="B82" s="668" t="s">
        <v>2192</v>
      </c>
      <c r="C82" s="885" t="s">
        <v>2193</v>
      </c>
      <c r="D82" s="669">
        <v>11900</v>
      </c>
    </row>
    <row r="83" spans="1:4" s="23" customFormat="1" ht="22.5" customHeight="1" x14ac:dyDescent="0.25">
      <c r="A83" s="667">
        <v>75</v>
      </c>
      <c r="B83" s="668" t="s">
        <v>2194</v>
      </c>
      <c r="C83" s="885" t="s">
        <v>2195</v>
      </c>
      <c r="D83" s="669">
        <v>3405.44</v>
      </c>
    </row>
    <row r="84" spans="1:4" s="23" customFormat="1" ht="22.5" customHeight="1" x14ac:dyDescent="0.25">
      <c r="A84" s="667">
        <v>76</v>
      </c>
      <c r="B84" s="668" t="s">
        <v>2196</v>
      </c>
      <c r="C84" s="885" t="s">
        <v>2195</v>
      </c>
      <c r="D84" s="669">
        <v>3405.44</v>
      </c>
    </row>
    <row r="85" spans="1:4" s="23" customFormat="1" ht="22.5" customHeight="1" x14ac:dyDescent="0.25">
      <c r="A85" s="667">
        <v>77</v>
      </c>
      <c r="B85" s="668" t="s">
        <v>2197</v>
      </c>
      <c r="C85" s="885" t="s">
        <v>2195</v>
      </c>
      <c r="D85" s="669">
        <v>3405.44</v>
      </c>
    </row>
    <row r="86" spans="1:4" s="23" customFormat="1" ht="22.5" customHeight="1" x14ac:dyDescent="0.25">
      <c r="A86" s="667">
        <v>78</v>
      </c>
      <c r="B86" s="668" t="s">
        <v>2198</v>
      </c>
      <c r="C86" s="885" t="s">
        <v>2199</v>
      </c>
      <c r="D86" s="669">
        <v>18560</v>
      </c>
    </row>
    <row r="87" spans="1:4" s="23" customFormat="1" ht="22.5" customHeight="1" x14ac:dyDescent="0.25">
      <c r="A87" s="667">
        <v>79</v>
      </c>
      <c r="B87" s="668" t="s">
        <v>2200</v>
      </c>
      <c r="C87" s="885" t="s">
        <v>2201</v>
      </c>
      <c r="D87" s="669">
        <v>12198.17</v>
      </c>
    </row>
    <row r="88" spans="1:4" s="23" customFormat="1" ht="22.5" customHeight="1" x14ac:dyDescent="0.25">
      <c r="A88" s="667">
        <v>80</v>
      </c>
      <c r="B88" s="668" t="s">
        <v>2202</v>
      </c>
      <c r="C88" s="885" t="s">
        <v>2203</v>
      </c>
      <c r="D88" s="669">
        <v>12360</v>
      </c>
    </row>
    <row r="89" spans="1:4" s="23" customFormat="1" ht="22.5" customHeight="1" x14ac:dyDescent="0.25">
      <c r="A89" s="667">
        <v>81</v>
      </c>
      <c r="B89" s="668" t="s">
        <v>2204</v>
      </c>
      <c r="C89" s="885" t="s">
        <v>2205</v>
      </c>
      <c r="D89" s="669">
        <v>1725</v>
      </c>
    </row>
    <row r="90" spans="1:4" s="23" customFormat="1" ht="22.5" customHeight="1" x14ac:dyDescent="0.25">
      <c r="A90" s="667">
        <v>82</v>
      </c>
      <c r="B90" s="668" t="s">
        <v>2206</v>
      </c>
      <c r="C90" s="885" t="s">
        <v>2207</v>
      </c>
      <c r="D90" s="669">
        <v>1725</v>
      </c>
    </row>
    <row r="91" spans="1:4" s="23" customFormat="1" ht="22.5" customHeight="1" x14ac:dyDescent="0.25">
      <c r="A91" s="667">
        <v>83</v>
      </c>
      <c r="B91" s="668" t="s">
        <v>2208</v>
      </c>
      <c r="C91" s="885" t="s">
        <v>2209</v>
      </c>
      <c r="D91" s="669">
        <v>137500</v>
      </c>
    </row>
    <row r="92" spans="1:4" s="23" customFormat="1" ht="22.5" customHeight="1" x14ac:dyDescent="0.25">
      <c r="A92" s="667">
        <v>84</v>
      </c>
      <c r="B92" s="668" t="s">
        <v>2210</v>
      </c>
      <c r="C92" s="885" t="s">
        <v>2211</v>
      </c>
      <c r="D92" s="669">
        <v>21987.5</v>
      </c>
    </row>
    <row r="93" spans="1:4" s="23" customFormat="1" ht="22.5" customHeight="1" x14ac:dyDescent="0.25">
      <c r="A93" s="667">
        <v>85</v>
      </c>
      <c r="B93" s="668" t="s">
        <v>2212</v>
      </c>
      <c r="C93" s="885" t="s">
        <v>2213</v>
      </c>
      <c r="D93" s="669">
        <v>2757.76</v>
      </c>
    </row>
    <row r="94" spans="1:4" s="23" customFormat="1" ht="22.5" customHeight="1" x14ac:dyDescent="0.25">
      <c r="A94" s="667">
        <v>86</v>
      </c>
      <c r="B94" s="668" t="s">
        <v>2214</v>
      </c>
      <c r="C94" s="885" t="s">
        <v>2215</v>
      </c>
      <c r="D94" s="669">
        <v>15200</v>
      </c>
    </row>
    <row r="95" spans="1:4" s="23" customFormat="1" ht="22.5" customHeight="1" x14ac:dyDescent="0.25">
      <c r="A95" s="667">
        <v>87</v>
      </c>
      <c r="B95" s="668" t="s">
        <v>2216</v>
      </c>
      <c r="C95" s="885" t="s">
        <v>2217</v>
      </c>
      <c r="D95" s="669">
        <v>6298.74</v>
      </c>
    </row>
    <row r="96" spans="1:4" s="23" customFormat="1" ht="22.5" customHeight="1" x14ac:dyDescent="0.25">
      <c r="A96" s="667">
        <v>88</v>
      </c>
      <c r="B96" s="668" t="s">
        <v>2218</v>
      </c>
      <c r="C96" s="885" t="s">
        <v>2219</v>
      </c>
      <c r="D96" s="669">
        <v>4559.76</v>
      </c>
    </row>
    <row r="97" spans="1:4" s="23" customFormat="1" ht="22.5" customHeight="1" x14ac:dyDescent="0.25">
      <c r="A97" s="667">
        <v>89</v>
      </c>
      <c r="B97" s="668" t="s">
        <v>2220</v>
      </c>
      <c r="C97" s="885" t="s">
        <v>2221</v>
      </c>
      <c r="D97" s="669">
        <v>4559.76</v>
      </c>
    </row>
    <row r="98" spans="1:4" s="23" customFormat="1" ht="22.5" customHeight="1" x14ac:dyDescent="0.25">
      <c r="A98" s="667">
        <v>90</v>
      </c>
      <c r="B98" s="668" t="s">
        <v>2222</v>
      </c>
      <c r="C98" s="885" t="s">
        <v>2223</v>
      </c>
      <c r="D98" s="669">
        <v>4559.76</v>
      </c>
    </row>
    <row r="99" spans="1:4" s="23" customFormat="1" ht="22.5" customHeight="1" x14ac:dyDescent="0.25">
      <c r="A99" s="667">
        <v>91</v>
      </c>
      <c r="B99" s="668" t="s">
        <v>2224</v>
      </c>
      <c r="C99" s="885" t="s">
        <v>2223</v>
      </c>
      <c r="D99" s="669">
        <v>4559.76</v>
      </c>
    </row>
    <row r="100" spans="1:4" s="23" customFormat="1" ht="22.5" customHeight="1" x14ac:dyDescent="0.25">
      <c r="A100" s="667">
        <v>92</v>
      </c>
      <c r="B100" s="668" t="s">
        <v>2225</v>
      </c>
      <c r="C100" s="885" t="s">
        <v>2226</v>
      </c>
      <c r="D100" s="669">
        <v>4559.76</v>
      </c>
    </row>
    <row r="101" spans="1:4" s="23" customFormat="1" ht="22.5" customHeight="1" x14ac:dyDescent="0.25">
      <c r="A101" s="667">
        <v>93</v>
      </c>
      <c r="B101" s="668" t="s">
        <v>2227</v>
      </c>
      <c r="C101" s="885" t="s">
        <v>2228</v>
      </c>
      <c r="D101" s="669">
        <v>10395</v>
      </c>
    </row>
    <row r="102" spans="1:4" s="23" customFormat="1" ht="22.5" customHeight="1" x14ac:dyDescent="0.25">
      <c r="A102" s="667">
        <v>94</v>
      </c>
      <c r="B102" s="668" t="s">
        <v>2229</v>
      </c>
      <c r="C102" s="885" t="s">
        <v>2230</v>
      </c>
      <c r="D102" s="669">
        <v>11950</v>
      </c>
    </row>
    <row r="103" spans="1:4" s="23" customFormat="1" ht="22.5" customHeight="1" x14ac:dyDescent="0.25">
      <c r="A103" s="667">
        <v>95</v>
      </c>
      <c r="B103" s="668" t="s">
        <v>2231</v>
      </c>
      <c r="C103" s="885" t="s">
        <v>2232</v>
      </c>
      <c r="D103" s="669">
        <v>1207.5</v>
      </c>
    </row>
    <row r="104" spans="1:4" s="23" customFormat="1" ht="22.5" customHeight="1" x14ac:dyDescent="0.25">
      <c r="A104" s="667">
        <v>96</v>
      </c>
      <c r="B104" s="668" t="s">
        <v>2233</v>
      </c>
      <c r="C104" s="885" t="s">
        <v>2234</v>
      </c>
      <c r="D104" s="669">
        <v>15180</v>
      </c>
    </row>
    <row r="105" spans="1:4" s="23" customFormat="1" ht="22.5" customHeight="1" x14ac:dyDescent="0.25">
      <c r="A105" s="667">
        <v>97</v>
      </c>
      <c r="B105" s="668" t="s">
        <v>2235</v>
      </c>
      <c r="C105" s="885" t="s">
        <v>2236</v>
      </c>
      <c r="D105" s="669">
        <v>4800</v>
      </c>
    </row>
    <row r="106" spans="1:4" s="23" customFormat="1" ht="22.5" customHeight="1" x14ac:dyDescent="0.25">
      <c r="A106" s="667">
        <v>98</v>
      </c>
      <c r="B106" s="668" t="s">
        <v>2237</v>
      </c>
      <c r="C106" s="885" t="s">
        <v>2238</v>
      </c>
      <c r="D106" s="669">
        <v>12490</v>
      </c>
    </row>
    <row r="107" spans="1:4" s="23" customFormat="1" ht="22.5" customHeight="1" x14ac:dyDescent="0.25">
      <c r="A107" s="667">
        <v>99</v>
      </c>
      <c r="B107" s="668" t="s">
        <v>2239</v>
      </c>
      <c r="C107" s="885" t="s">
        <v>2240</v>
      </c>
      <c r="D107" s="669">
        <v>10520</v>
      </c>
    </row>
    <row r="108" spans="1:4" s="23" customFormat="1" ht="22.5" customHeight="1" x14ac:dyDescent="0.25">
      <c r="A108" s="667">
        <v>100</v>
      </c>
      <c r="B108" s="668" t="s">
        <v>2241</v>
      </c>
      <c r="C108" s="885" t="s">
        <v>2242</v>
      </c>
      <c r="D108" s="669">
        <v>3950</v>
      </c>
    </row>
    <row r="109" spans="1:4" s="23" customFormat="1" ht="22.5" customHeight="1" x14ac:dyDescent="0.25">
      <c r="A109" s="667">
        <v>101</v>
      </c>
      <c r="B109" s="668" t="s">
        <v>2243</v>
      </c>
      <c r="C109" s="885" t="s">
        <v>2244</v>
      </c>
      <c r="D109" s="669">
        <v>3950</v>
      </c>
    </row>
    <row r="110" spans="1:4" s="23" customFormat="1" ht="22.5" customHeight="1" x14ac:dyDescent="0.25">
      <c r="A110" s="667">
        <v>102</v>
      </c>
      <c r="B110" s="668" t="s">
        <v>2245</v>
      </c>
      <c r="C110" s="885" t="s">
        <v>2246</v>
      </c>
      <c r="D110" s="669">
        <v>8780</v>
      </c>
    </row>
    <row r="111" spans="1:4" s="23" customFormat="1" ht="22.5" customHeight="1" x14ac:dyDescent="0.25">
      <c r="A111" s="667">
        <v>103</v>
      </c>
      <c r="B111" s="668" t="s">
        <v>2247</v>
      </c>
      <c r="C111" s="885" t="s">
        <v>2248</v>
      </c>
      <c r="D111" s="669">
        <v>4690</v>
      </c>
    </row>
    <row r="112" spans="1:4" s="23" customFormat="1" ht="22.5" customHeight="1" x14ac:dyDescent="0.25">
      <c r="A112" s="667">
        <v>104</v>
      </c>
      <c r="B112" s="668" t="s">
        <v>2249</v>
      </c>
      <c r="C112" s="885" t="s">
        <v>2250</v>
      </c>
      <c r="D112" s="669">
        <v>9765</v>
      </c>
    </row>
    <row r="113" spans="1:4" s="23" customFormat="1" ht="22.5" customHeight="1" x14ac:dyDescent="0.25">
      <c r="A113" s="667">
        <v>105</v>
      </c>
      <c r="B113" s="668" t="s">
        <v>2251</v>
      </c>
      <c r="C113" s="885" t="s">
        <v>2252</v>
      </c>
      <c r="D113" s="669">
        <v>12499.13</v>
      </c>
    </row>
    <row r="114" spans="1:4" s="23" customFormat="1" ht="22.5" customHeight="1" x14ac:dyDescent="0.25">
      <c r="A114" s="667">
        <v>106</v>
      </c>
      <c r="B114" s="668" t="s">
        <v>2253</v>
      </c>
      <c r="C114" s="885" t="s">
        <v>2254</v>
      </c>
      <c r="D114" s="669">
        <v>10498.27</v>
      </c>
    </row>
    <row r="115" spans="1:4" s="23" customFormat="1" ht="22.5" customHeight="1" x14ac:dyDescent="0.25">
      <c r="A115" s="667">
        <v>107</v>
      </c>
      <c r="B115" s="668" t="s">
        <v>2255</v>
      </c>
      <c r="C115" s="885" t="s">
        <v>2256</v>
      </c>
      <c r="D115" s="669">
        <v>4912.07</v>
      </c>
    </row>
    <row r="116" spans="1:4" s="23" customFormat="1" ht="22.5" customHeight="1" x14ac:dyDescent="0.25">
      <c r="A116" s="667">
        <v>108</v>
      </c>
      <c r="B116" s="668" t="s">
        <v>2257</v>
      </c>
      <c r="C116" s="885" t="s">
        <v>2258</v>
      </c>
      <c r="D116" s="669">
        <v>11900</v>
      </c>
    </row>
    <row r="117" spans="1:4" s="23" customFormat="1" ht="22.5" customHeight="1" x14ac:dyDescent="0.25">
      <c r="A117" s="667">
        <v>109</v>
      </c>
      <c r="B117" s="668" t="s">
        <v>2259</v>
      </c>
      <c r="C117" s="885" t="s">
        <v>2260</v>
      </c>
      <c r="D117" s="669">
        <v>5370</v>
      </c>
    </row>
    <row r="118" spans="1:4" s="23" customFormat="1" ht="22.5" customHeight="1" x14ac:dyDescent="0.25">
      <c r="A118" s="667">
        <v>110</v>
      </c>
      <c r="B118" s="668" t="s">
        <v>2261</v>
      </c>
      <c r="C118" s="885" t="s">
        <v>2262</v>
      </c>
      <c r="D118" s="669">
        <v>4529</v>
      </c>
    </row>
    <row r="119" spans="1:4" s="23" customFormat="1" ht="22.5" customHeight="1" x14ac:dyDescent="0.25">
      <c r="A119" s="667">
        <v>111</v>
      </c>
      <c r="B119" s="668" t="s">
        <v>2263</v>
      </c>
      <c r="C119" s="885" t="s">
        <v>2153</v>
      </c>
      <c r="D119" s="669">
        <v>4280</v>
      </c>
    </row>
    <row r="120" spans="1:4" s="23" customFormat="1" ht="22.5" customHeight="1" x14ac:dyDescent="0.25">
      <c r="A120" s="667">
        <v>112</v>
      </c>
      <c r="B120" s="668" t="s">
        <v>2264</v>
      </c>
      <c r="C120" s="885" t="s">
        <v>2265</v>
      </c>
      <c r="D120" s="669">
        <v>2585.34</v>
      </c>
    </row>
    <row r="121" spans="1:4" s="23" customFormat="1" ht="22.5" customHeight="1" x14ac:dyDescent="0.25">
      <c r="A121" s="667">
        <v>113</v>
      </c>
      <c r="B121" s="668" t="s">
        <v>2266</v>
      </c>
      <c r="C121" s="885" t="s">
        <v>2267</v>
      </c>
      <c r="D121" s="669">
        <v>56000</v>
      </c>
    </row>
    <row r="122" spans="1:4" s="23" customFormat="1" ht="22.5" customHeight="1" x14ac:dyDescent="0.25">
      <c r="A122" s="667">
        <v>114</v>
      </c>
      <c r="B122" s="668" t="s">
        <v>2268</v>
      </c>
      <c r="C122" s="885" t="s">
        <v>2269</v>
      </c>
      <c r="D122" s="669">
        <v>1450</v>
      </c>
    </row>
    <row r="123" spans="1:4" s="23" customFormat="1" ht="22.5" customHeight="1" x14ac:dyDescent="0.25">
      <c r="A123" s="667">
        <v>115</v>
      </c>
      <c r="B123" s="668" t="s">
        <v>2270</v>
      </c>
      <c r="C123" s="885" t="s">
        <v>2269</v>
      </c>
      <c r="D123" s="669">
        <v>1450</v>
      </c>
    </row>
    <row r="124" spans="1:4" s="23" customFormat="1" ht="22.5" customHeight="1" x14ac:dyDescent="0.25">
      <c r="A124" s="667">
        <v>116</v>
      </c>
      <c r="B124" s="668" t="s">
        <v>2271</v>
      </c>
      <c r="C124" s="885" t="s">
        <v>2269</v>
      </c>
      <c r="D124" s="669">
        <v>1450</v>
      </c>
    </row>
    <row r="125" spans="1:4" s="23" customFormat="1" ht="22.5" customHeight="1" x14ac:dyDescent="0.25">
      <c r="A125" s="667">
        <v>117</v>
      </c>
      <c r="B125" s="668" t="s">
        <v>2272</v>
      </c>
      <c r="C125" s="885" t="s">
        <v>2269</v>
      </c>
      <c r="D125" s="669">
        <v>1450</v>
      </c>
    </row>
    <row r="126" spans="1:4" s="23" customFormat="1" ht="22.5" customHeight="1" x14ac:dyDescent="0.25">
      <c r="A126" s="667">
        <v>118</v>
      </c>
      <c r="B126" s="668" t="s">
        <v>2273</v>
      </c>
      <c r="C126" s="885" t="s">
        <v>2274</v>
      </c>
      <c r="D126" s="669">
        <v>6195</v>
      </c>
    </row>
    <row r="127" spans="1:4" s="23" customFormat="1" ht="22.5" customHeight="1" x14ac:dyDescent="0.25">
      <c r="A127" s="667">
        <v>119</v>
      </c>
      <c r="B127" s="668" t="s">
        <v>2275</v>
      </c>
      <c r="C127" s="885" t="s">
        <v>2276</v>
      </c>
      <c r="D127" s="669">
        <v>3540</v>
      </c>
    </row>
    <row r="128" spans="1:4" s="23" customFormat="1" ht="22.5" customHeight="1" x14ac:dyDescent="0.25">
      <c r="A128" s="667">
        <v>120</v>
      </c>
      <c r="B128" s="668" t="s">
        <v>2277</v>
      </c>
      <c r="C128" s="885" t="s">
        <v>2278</v>
      </c>
      <c r="D128" s="669">
        <v>1385</v>
      </c>
    </row>
    <row r="129" spans="1:4" s="23" customFormat="1" ht="22.5" customHeight="1" x14ac:dyDescent="0.25">
      <c r="A129" s="667">
        <v>121</v>
      </c>
      <c r="B129" s="668" t="s">
        <v>2279</v>
      </c>
      <c r="C129" s="885" t="s">
        <v>2280</v>
      </c>
      <c r="D129" s="669">
        <v>3576</v>
      </c>
    </row>
    <row r="130" spans="1:4" s="23" customFormat="1" ht="22.5" customHeight="1" x14ac:dyDescent="0.25">
      <c r="A130" s="667">
        <v>122</v>
      </c>
      <c r="B130" s="668" t="s">
        <v>2281</v>
      </c>
      <c r="C130" s="885" t="s">
        <v>2282</v>
      </c>
      <c r="D130" s="669">
        <v>1045</v>
      </c>
    </row>
    <row r="131" spans="1:4" s="23" customFormat="1" ht="22.5" customHeight="1" x14ac:dyDescent="0.25">
      <c r="A131" s="667">
        <v>123</v>
      </c>
      <c r="B131" s="668" t="s">
        <v>2283</v>
      </c>
      <c r="C131" s="885" t="s">
        <v>2284</v>
      </c>
      <c r="D131" s="669">
        <v>14000</v>
      </c>
    </row>
    <row r="132" spans="1:4" s="23" customFormat="1" ht="22.5" customHeight="1" x14ac:dyDescent="0.25">
      <c r="A132" s="667">
        <v>124</v>
      </c>
      <c r="B132" s="668" t="s">
        <v>2285</v>
      </c>
      <c r="C132" s="885" t="s">
        <v>2286</v>
      </c>
      <c r="D132" s="669">
        <v>3965.52</v>
      </c>
    </row>
    <row r="133" spans="1:4" s="23" customFormat="1" ht="22.5" customHeight="1" x14ac:dyDescent="0.25">
      <c r="A133" s="667">
        <v>125</v>
      </c>
      <c r="B133" s="668" t="s">
        <v>2287</v>
      </c>
      <c r="C133" s="885" t="s">
        <v>2288</v>
      </c>
      <c r="D133" s="669">
        <v>2024.95</v>
      </c>
    </row>
    <row r="134" spans="1:4" s="23" customFormat="1" ht="22.5" customHeight="1" x14ac:dyDescent="0.25">
      <c r="A134" s="667">
        <v>126</v>
      </c>
      <c r="B134" s="668" t="s">
        <v>2289</v>
      </c>
      <c r="C134" s="885" t="s">
        <v>2290</v>
      </c>
      <c r="D134" s="669">
        <v>6000</v>
      </c>
    </row>
    <row r="135" spans="1:4" s="23" customFormat="1" ht="22.5" customHeight="1" x14ac:dyDescent="0.25">
      <c r="A135" s="667">
        <v>127</v>
      </c>
      <c r="B135" s="668" t="s">
        <v>2291</v>
      </c>
      <c r="C135" s="885" t="s">
        <v>2292</v>
      </c>
      <c r="D135" s="669">
        <v>2530</v>
      </c>
    </row>
    <row r="136" spans="1:4" s="23" customFormat="1" ht="22.5" customHeight="1" x14ac:dyDescent="0.25">
      <c r="A136" s="667">
        <v>128</v>
      </c>
      <c r="B136" s="668" t="s">
        <v>2293</v>
      </c>
      <c r="C136" s="885" t="s">
        <v>2294</v>
      </c>
      <c r="D136" s="669">
        <v>7770</v>
      </c>
    </row>
    <row r="137" spans="1:4" s="23" customFormat="1" ht="22.5" customHeight="1" x14ac:dyDescent="0.25">
      <c r="A137" s="667">
        <v>129</v>
      </c>
      <c r="B137" s="668" t="s">
        <v>2295</v>
      </c>
      <c r="C137" s="885" t="s">
        <v>2296</v>
      </c>
      <c r="D137" s="669">
        <v>6874</v>
      </c>
    </row>
    <row r="138" spans="1:4" s="23" customFormat="1" ht="22.5" customHeight="1" x14ac:dyDescent="0.25">
      <c r="A138" s="667">
        <v>130</v>
      </c>
      <c r="B138" s="668" t="s">
        <v>2297</v>
      </c>
      <c r="C138" s="885" t="s">
        <v>2298</v>
      </c>
      <c r="D138" s="669">
        <v>1322</v>
      </c>
    </row>
    <row r="139" spans="1:4" s="23" customFormat="1" ht="22.5" customHeight="1" x14ac:dyDescent="0.25">
      <c r="A139" s="667">
        <v>131</v>
      </c>
      <c r="B139" s="668" t="s">
        <v>2299</v>
      </c>
      <c r="C139" s="885" t="s">
        <v>2300</v>
      </c>
      <c r="D139" s="669">
        <v>1450</v>
      </c>
    </row>
    <row r="140" spans="1:4" s="23" customFormat="1" ht="22.5" customHeight="1" x14ac:dyDescent="0.25">
      <c r="A140" s="667">
        <v>132</v>
      </c>
      <c r="B140" s="668" t="s">
        <v>2301</v>
      </c>
      <c r="C140" s="885" t="s">
        <v>2302</v>
      </c>
      <c r="D140" s="669">
        <v>2999</v>
      </c>
    </row>
    <row r="141" spans="1:4" s="23" customFormat="1" ht="22.5" customHeight="1" x14ac:dyDescent="0.25">
      <c r="A141" s="667">
        <v>133</v>
      </c>
      <c r="B141" s="668" t="s">
        <v>2303</v>
      </c>
      <c r="C141" s="885" t="s">
        <v>2304</v>
      </c>
      <c r="D141" s="669">
        <v>180</v>
      </c>
    </row>
    <row r="142" spans="1:4" s="23" customFormat="1" ht="22.5" customHeight="1" x14ac:dyDescent="0.25">
      <c r="A142" s="667">
        <v>134</v>
      </c>
      <c r="B142" s="668" t="s">
        <v>2305</v>
      </c>
      <c r="C142" s="885" t="s">
        <v>2306</v>
      </c>
      <c r="D142" s="669">
        <v>220</v>
      </c>
    </row>
    <row r="143" spans="1:4" s="23" customFormat="1" ht="22.5" customHeight="1" x14ac:dyDescent="0.25">
      <c r="A143" s="667">
        <v>135</v>
      </c>
      <c r="B143" s="668" t="s">
        <v>2307</v>
      </c>
      <c r="C143" s="885" t="s">
        <v>2308</v>
      </c>
      <c r="D143" s="669">
        <v>870</v>
      </c>
    </row>
    <row r="144" spans="1:4" s="23" customFormat="1" ht="22.5" customHeight="1" x14ac:dyDescent="0.25">
      <c r="A144" s="667">
        <v>136</v>
      </c>
      <c r="B144" s="668" t="s">
        <v>2309</v>
      </c>
      <c r="C144" s="885" t="s">
        <v>2310</v>
      </c>
      <c r="D144" s="669">
        <v>1322</v>
      </c>
    </row>
    <row r="145" spans="1:4" s="23" customFormat="1" ht="22.5" customHeight="1" x14ac:dyDescent="0.25">
      <c r="A145" s="667">
        <v>137</v>
      </c>
      <c r="B145" s="668" t="s">
        <v>2311</v>
      </c>
      <c r="C145" s="885" t="s">
        <v>2312</v>
      </c>
      <c r="D145" s="669">
        <v>1850</v>
      </c>
    </row>
    <row r="146" spans="1:4" s="23" customFormat="1" ht="22.5" customHeight="1" x14ac:dyDescent="0.25">
      <c r="A146" s="667">
        <v>138</v>
      </c>
      <c r="B146" s="668" t="s">
        <v>2313</v>
      </c>
      <c r="C146" s="885" t="s">
        <v>2314</v>
      </c>
      <c r="D146" s="669">
        <v>777.83</v>
      </c>
    </row>
    <row r="147" spans="1:4" s="23" customFormat="1" ht="22.5" customHeight="1" x14ac:dyDescent="0.25">
      <c r="A147" s="667">
        <v>139</v>
      </c>
      <c r="B147" s="668" t="s">
        <v>2315</v>
      </c>
      <c r="C147" s="885" t="s">
        <v>2300</v>
      </c>
      <c r="D147" s="669">
        <v>1450</v>
      </c>
    </row>
    <row r="148" spans="1:4" s="23" customFormat="1" ht="22.5" customHeight="1" x14ac:dyDescent="0.25">
      <c r="A148" s="667">
        <v>140</v>
      </c>
      <c r="B148" s="668" t="s">
        <v>2316</v>
      </c>
      <c r="C148" s="885" t="s">
        <v>2317</v>
      </c>
      <c r="D148" s="669">
        <v>2988.85</v>
      </c>
    </row>
    <row r="149" spans="1:4" s="23" customFormat="1" ht="22.5" customHeight="1" x14ac:dyDescent="0.25">
      <c r="A149" s="667">
        <v>141</v>
      </c>
      <c r="B149" s="668" t="s">
        <v>2318</v>
      </c>
      <c r="C149" s="885" t="s">
        <v>2319</v>
      </c>
      <c r="D149" s="669">
        <v>1322</v>
      </c>
    </row>
    <row r="150" spans="1:4" s="23" customFormat="1" ht="22.5" customHeight="1" x14ac:dyDescent="0.25">
      <c r="A150" s="667">
        <v>142</v>
      </c>
      <c r="B150" s="668" t="s">
        <v>2320</v>
      </c>
      <c r="C150" s="885" t="s">
        <v>2321</v>
      </c>
      <c r="D150" s="669">
        <v>11835</v>
      </c>
    </row>
    <row r="151" spans="1:4" s="23" customFormat="1" ht="22.5" customHeight="1" x14ac:dyDescent="0.25">
      <c r="A151" s="667">
        <v>143</v>
      </c>
      <c r="B151" s="668" t="s">
        <v>2322</v>
      </c>
      <c r="C151" s="885" t="s">
        <v>2300</v>
      </c>
      <c r="D151" s="669">
        <v>1450</v>
      </c>
    </row>
    <row r="152" spans="1:4" s="23" customFormat="1" ht="22.5" customHeight="1" x14ac:dyDescent="0.25">
      <c r="A152" s="667">
        <v>144</v>
      </c>
      <c r="B152" s="668" t="s">
        <v>2323</v>
      </c>
      <c r="C152" s="885" t="s">
        <v>2324</v>
      </c>
      <c r="D152" s="669">
        <v>1385</v>
      </c>
    </row>
    <row r="153" spans="1:4" s="23" customFormat="1" ht="22.5" customHeight="1" x14ac:dyDescent="0.25">
      <c r="A153" s="667">
        <v>145</v>
      </c>
      <c r="B153" s="668" t="s">
        <v>2325</v>
      </c>
      <c r="C153" s="885" t="s">
        <v>2326</v>
      </c>
      <c r="D153" s="669">
        <v>1450</v>
      </c>
    </row>
    <row r="154" spans="1:4" s="23" customFormat="1" ht="22.5" customHeight="1" x14ac:dyDescent="0.25">
      <c r="A154" s="667">
        <v>146</v>
      </c>
      <c r="B154" s="668" t="s">
        <v>2327</v>
      </c>
      <c r="C154" s="885" t="s">
        <v>2328</v>
      </c>
      <c r="D154" s="669">
        <v>32500</v>
      </c>
    </row>
    <row r="155" spans="1:4" s="23" customFormat="1" ht="22.5" customHeight="1" x14ac:dyDescent="0.25">
      <c r="A155" s="667">
        <v>147</v>
      </c>
      <c r="B155" s="668" t="s">
        <v>2329</v>
      </c>
      <c r="C155" s="885" t="s">
        <v>2330</v>
      </c>
      <c r="D155" s="669">
        <v>5427</v>
      </c>
    </row>
    <row r="156" spans="1:4" s="23" customFormat="1" ht="63.75" x14ac:dyDescent="0.25">
      <c r="A156" s="667">
        <v>148</v>
      </c>
      <c r="B156" s="668" t="s">
        <v>2331</v>
      </c>
      <c r="C156" s="885" t="s">
        <v>2332</v>
      </c>
      <c r="D156" s="669">
        <v>31290</v>
      </c>
    </row>
    <row r="157" spans="1:4" s="23" customFormat="1" ht="25.5" customHeight="1" x14ac:dyDescent="0.25">
      <c r="A157" s="667">
        <v>149</v>
      </c>
      <c r="B157" s="668" t="s">
        <v>2333</v>
      </c>
      <c r="C157" s="885" t="s">
        <v>2334</v>
      </c>
      <c r="D157" s="669">
        <v>1322</v>
      </c>
    </row>
    <row r="158" spans="1:4" s="23" customFormat="1" ht="22.5" customHeight="1" x14ac:dyDescent="0.25">
      <c r="A158" s="667">
        <v>150</v>
      </c>
      <c r="B158" s="668" t="s">
        <v>2335</v>
      </c>
      <c r="C158" s="885" t="s">
        <v>2336</v>
      </c>
      <c r="D158" s="669">
        <v>749</v>
      </c>
    </row>
    <row r="159" spans="1:4" s="23" customFormat="1" ht="34.5" customHeight="1" x14ac:dyDescent="0.25">
      <c r="A159" s="667">
        <v>151</v>
      </c>
      <c r="B159" s="668" t="s">
        <v>2337</v>
      </c>
      <c r="C159" s="885" t="s">
        <v>2338</v>
      </c>
      <c r="D159" s="669">
        <v>1322</v>
      </c>
    </row>
    <row r="160" spans="1:4" s="23" customFormat="1" ht="22.5" customHeight="1" x14ac:dyDescent="0.25">
      <c r="A160" s="667">
        <v>152</v>
      </c>
      <c r="B160" s="668" t="s">
        <v>2339</v>
      </c>
      <c r="C160" s="885" t="s">
        <v>2340</v>
      </c>
      <c r="D160" s="669">
        <v>1322</v>
      </c>
    </row>
    <row r="161" spans="1:4" s="23" customFormat="1" ht="22.5" customHeight="1" x14ac:dyDescent="0.25">
      <c r="A161" s="667">
        <v>153</v>
      </c>
      <c r="B161" s="668" t="s">
        <v>2341</v>
      </c>
      <c r="C161" s="885" t="s">
        <v>2342</v>
      </c>
      <c r="D161" s="669">
        <v>1320</v>
      </c>
    </row>
    <row r="162" spans="1:4" s="23" customFormat="1" ht="22.5" customHeight="1" x14ac:dyDescent="0.25">
      <c r="A162" s="667">
        <v>154</v>
      </c>
      <c r="B162" s="668" t="s">
        <v>2343</v>
      </c>
      <c r="C162" s="885" t="s">
        <v>2334</v>
      </c>
      <c r="D162" s="669">
        <v>1322</v>
      </c>
    </row>
    <row r="163" spans="1:4" s="23" customFormat="1" ht="22.5" customHeight="1" x14ac:dyDescent="0.25">
      <c r="A163" s="667">
        <v>155</v>
      </c>
      <c r="B163" s="668" t="s">
        <v>2344</v>
      </c>
      <c r="C163" s="885" t="s">
        <v>2345</v>
      </c>
      <c r="D163" s="669">
        <v>761.2</v>
      </c>
    </row>
    <row r="164" spans="1:4" s="23" customFormat="1" ht="22.5" customHeight="1" x14ac:dyDescent="0.25">
      <c r="A164" s="667">
        <v>156</v>
      </c>
      <c r="B164" s="668" t="s">
        <v>2346</v>
      </c>
      <c r="C164" s="885" t="s">
        <v>2347</v>
      </c>
      <c r="D164" s="669">
        <v>1322</v>
      </c>
    </row>
    <row r="165" spans="1:4" s="23" customFormat="1" ht="22.5" customHeight="1" x14ac:dyDescent="0.25">
      <c r="A165" s="667">
        <v>157</v>
      </c>
      <c r="B165" s="668" t="s">
        <v>2348</v>
      </c>
      <c r="C165" s="885" t="s">
        <v>2349</v>
      </c>
      <c r="D165" s="669">
        <v>55902</v>
      </c>
    </row>
    <row r="166" spans="1:4" s="23" customFormat="1" ht="22.5" customHeight="1" x14ac:dyDescent="0.25">
      <c r="A166" s="667">
        <v>158</v>
      </c>
      <c r="B166" s="668" t="s">
        <v>2350</v>
      </c>
      <c r="C166" s="885" t="s">
        <v>2300</v>
      </c>
      <c r="D166" s="669">
        <v>1450</v>
      </c>
    </row>
    <row r="167" spans="1:4" s="23" customFormat="1" ht="22.5" customHeight="1" x14ac:dyDescent="0.25">
      <c r="A167" s="667">
        <v>159</v>
      </c>
      <c r="B167" s="668" t="s">
        <v>2351</v>
      </c>
      <c r="C167" s="885" t="s">
        <v>2352</v>
      </c>
      <c r="D167" s="669">
        <v>1450</v>
      </c>
    </row>
    <row r="168" spans="1:4" s="23" customFormat="1" ht="22.5" customHeight="1" x14ac:dyDescent="0.25">
      <c r="A168" s="667">
        <v>160</v>
      </c>
      <c r="B168" s="668" t="s">
        <v>2353</v>
      </c>
      <c r="C168" s="885" t="s">
        <v>2312</v>
      </c>
      <c r="D168" s="669">
        <v>1850</v>
      </c>
    </row>
    <row r="169" spans="1:4" s="23" customFormat="1" ht="22.5" customHeight="1" x14ac:dyDescent="0.25">
      <c r="A169" s="667">
        <v>161</v>
      </c>
      <c r="B169" s="668" t="s">
        <v>2354</v>
      </c>
      <c r="C169" s="885" t="s">
        <v>2355</v>
      </c>
      <c r="D169" s="669">
        <v>1329</v>
      </c>
    </row>
    <row r="170" spans="1:4" s="23" customFormat="1" ht="22.5" customHeight="1" x14ac:dyDescent="0.25">
      <c r="A170" s="667">
        <v>162</v>
      </c>
      <c r="B170" s="668" t="s">
        <v>2356</v>
      </c>
      <c r="C170" s="885" t="s">
        <v>2357</v>
      </c>
      <c r="D170" s="669">
        <v>1322</v>
      </c>
    </row>
    <row r="171" spans="1:4" s="23" customFormat="1" ht="22.5" customHeight="1" x14ac:dyDescent="0.25">
      <c r="A171" s="667">
        <v>163</v>
      </c>
      <c r="B171" s="668" t="s">
        <v>2358</v>
      </c>
      <c r="C171" s="885" t="s">
        <v>2342</v>
      </c>
      <c r="D171" s="669">
        <v>1320</v>
      </c>
    </row>
    <row r="172" spans="1:4" s="23" customFormat="1" ht="22.5" customHeight="1" x14ac:dyDescent="0.25">
      <c r="A172" s="667">
        <v>164</v>
      </c>
      <c r="B172" s="668" t="s">
        <v>2359</v>
      </c>
      <c r="C172" s="885" t="s">
        <v>2319</v>
      </c>
      <c r="D172" s="669">
        <v>1322</v>
      </c>
    </row>
    <row r="173" spans="1:4" s="23" customFormat="1" ht="22.5" customHeight="1" x14ac:dyDescent="0.25">
      <c r="A173" s="667">
        <v>165</v>
      </c>
      <c r="B173" s="668" t="s">
        <v>2360</v>
      </c>
      <c r="C173" s="885" t="s">
        <v>2300</v>
      </c>
      <c r="D173" s="669">
        <v>1450</v>
      </c>
    </row>
    <row r="174" spans="1:4" s="23" customFormat="1" ht="22.5" customHeight="1" x14ac:dyDescent="0.25">
      <c r="A174" s="667">
        <v>166</v>
      </c>
      <c r="B174" s="668" t="s">
        <v>2361</v>
      </c>
      <c r="C174" s="885" t="s">
        <v>2284</v>
      </c>
      <c r="D174" s="669">
        <v>14000</v>
      </c>
    </row>
    <row r="175" spans="1:4" s="23" customFormat="1" ht="22.5" customHeight="1" x14ac:dyDescent="0.25">
      <c r="A175" s="667">
        <v>167</v>
      </c>
      <c r="B175" s="668" t="s">
        <v>2362</v>
      </c>
      <c r="C175" s="885" t="s">
        <v>2363</v>
      </c>
      <c r="D175" s="669">
        <v>699</v>
      </c>
    </row>
    <row r="176" spans="1:4" s="23" customFormat="1" ht="22.5" customHeight="1" x14ac:dyDescent="0.25">
      <c r="A176" s="667">
        <v>168</v>
      </c>
      <c r="B176" s="668" t="s">
        <v>2364</v>
      </c>
      <c r="C176" s="885" t="s">
        <v>2365</v>
      </c>
      <c r="D176" s="669">
        <v>1450</v>
      </c>
    </row>
    <row r="177" spans="1:4" s="23" customFormat="1" ht="22.5" customHeight="1" x14ac:dyDescent="0.25">
      <c r="A177" s="667">
        <v>169</v>
      </c>
      <c r="B177" s="668" t="s">
        <v>2366</v>
      </c>
      <c r="C177" s="885" t="s">
        <v>2367</v>
      </c>
      <c r="D177" s="669">
        <v>2380</v>
      </c>
    </row>
    <row r="178" spans="1:4" s="23" customFormat="1" ht="22.5" customHeight="1" x14ac:dyDescent="0.25">
      <c r="A178" s="667">
        <v>170</v>
      </c>
      <c r="B178" s="668" t="s">
        <v>2368</v>
      </c>
      <c r="C178" s="885" t="s">
        <v>2369</v>
      </c>
      <c r="D178" s="669">
        <v>4050</v>
      </c>
    </row>
    <row r="179" spans="1:4" s="23" customFormat="1" ht="22.5" customHeight="1" x14ac:dyDescent="0.25">
      <c r="A179" s="667">
        <v>171</v>
      </c>
      <c r="B179" s="668" t="s">
        <v>2370</v>
      </c>
      <c r="C179" s="885" t="s">
        <v>2371</v>
      </c>
      <c r="D179" s="669">
        <v>4500</v>
      </c>
    </row>
    <row r="180" spans="1:4" s="23" customFormat="1" ht="22.5" customHeight="1" x14ac:dyDescent="0.25">
      <c r="A180" s="667">
        <v>172</v>
      </c>
      <c r="B180" s="668" t="s">
        <v>2372</v>
      </c>
      <c r="C180" s="885" t="s">
        <v>2300</v>
      </c>
      <c r="D180" s="669">
        <v>1450</v>
      </c>
    </row>
    <row r="181" spans="1:4" s="23" customFormat="1" ht="22.5" customHeight="1" x14ac:dyDescent="0.25">
      <c r="A181" s="667">
        <v>173</v>
      </c>
      <c r="B181" s="668" t="s">
        <v>2373</v>
      </c>
      <c r="C181" s="885" t="s">
        <v>2282</v>
      </c>
      <c r="D181" s="669">
        <v>1045</v>
      </c>
    </row>
    <row r="182" spans="1:4" s="23" customFormat="1" ht="22.5" customHeight="1" x14ac:dyDescent="0.25">
      <c r="A182" s="667">
        <v>174</v>
      </c>
      <c r="B182" s="668" t="s">
        <v>2374</v>
      </c>
      <c r="C182" s="885" t="s">
        <v>2375</v>
      </c>
      <c r="D182" s="669">
        <v>3105</v>
      </c>
    </row>
    <row r="183" spans="1:4" s="23" customFormat="1" ht="22.5" customHeight="1" x14ac:dyDescent="0.25">
      <c r="A183" s="667">
        <v>175</v>
      </c>
      <c r="B183" s="668" t="s">
        <v>2376</v>
      </c>
      <c r="C183" s="885" t="s">
        <v>2377</v>
      </c>
      <c r="D183" s="669">
        <v>5415</v>
      </c>
    </row>
    <row r="184" spans="1:4" s="23" customFormat="1" ht="22.5" customHeight="1" x14ac:dyDescent="0.25">
      <c r="A184" s="667">
        <v>176</v>
      </c>
      <c r="B184" s="668" t="s">
        <v>2378</v>
      </c>
      <c r="C184" s="885" t="s">
        <v>2379</v>
      </c>
      <c r="D184" s="669">
        <v>390</v>
      </c>
    </row>
    <row r="185" spans="1:4" s="23" customFormat="1" ht="22.5" customHeight="1" x14ac:dyDescent="0.25">
      <c r="A185" s="667">
        <v>177</v>
      </c>
      <c r="B185" s="668" t="s">
        <v>2380</v>
      </c>
      <c r="C185" s="885" t="s">
        <v>2377</v>
      </c>
      <c r="D185" s="669">
        <v>5415</v>
      </c>
    </row>
    <row r="186" spans="1:4" s="23" customFormat="1" ht="22.5" customHeight="1" x14ac:dyDescent="0.25">
      <c r="A186" s="667">
        <v>178</v>
      </c>
      <c r="B186" s="668" t="s">
        <v>2381</v>
      </c>
      <c r="C186" s="885" t="s">
        <v>2382</v>
      </c>
      <c r="D186" s="669">
        <v>280</v>
      </c>
    </row>
    <row r="187" spans="1:4" s="23" customFormat="1" ht="22.5" customHeight="1" x14ac:dyDescent="0.25">
      <c r="A187" s="667">
        <v>179</v>
      </c>
      <c r="B187" s="668" t="s">
        <v>2383</v>
      </c>
      <c r="C187" s="885" t="s">
        <v>2384</v>
      </c>
      <c r="D187" s="669">
        <v>508.39</v>
      </c>
    </row>
    <row r="188" spans="1:4" s="23" customFormat="1" ht="22.5" customHeight="1" x14ac:dyDescent="0.25">
      <c r="A188" s="667">
        <v>180</v>
      </c>
      <c r="B188" s="668" t="s">
        <v>2385</v>
      </c>
      <c r="C188" s="885" t="s">
        <v>2312</v>
      </c>
      <c r="D188" s="669">
        <v>1850</v>
      </c>
    </row>
    <row r="189" spans="1:4" s="23" customFormat="1" ht="22.5" customHeight="1" x14ac:dyDescent="0.25">
      <c r="A189" s="667">
        <v>181</v>
      </c>
      <c r="B189" s="668" t="s">
        <v>2386</v>
      </c>
      <c r="C189" s="885" t="s">
        <v>2319</v>
      </c>
      <c r="D189" s="669">
        <v>1322</v>
      </c>
    </row>
    <row r="190" spans="1:4" s="23" customFormat="1" ht="22.5" customHeight="1" x14ac:dyDescent="0.25">
      <c r="A190" s="667">
        <v>182</v>
      </c>
      <c r="B190" s="668" t="s">
        <v>2387</v>
      </c>
      <c r="C190" s="885" t="s">
        <v>2388</v>
      </c>
      <c r="D190" s="669">
        <v>289.01</v>
      </c>
    </row>
    <row r="191" spans="1:4" s="23" customFormat="1" ht="22.5" customHeight="1" x14ac:dyDescent="0.25">
      <c r="A191" s="667">
        <v>183</v>
      </c>
      <c r="B191" s="668" t="s">
        <v>2389</v>
      </c>
      <c r="C191" s="885" t="s">
        <v>2377</v>
      </c>
      <c r="D191" s="669">
        <v>5415</v>
      </c>
    </row>
    <row r="192" spans="1:4" s="23" customFormat="1" ht="22.5" customHeight="1" x14ac:dyDescent="0.25">
      <c r="A192" s="667">
        <v>184</v>
      </c>
      <c r="B192" s="668" t="s">
        <v>2390</v>
      </c>
      <c r="C192" s="885" t="s">
        <v>2312</v>
      </c>
      <c r="D192" s="669">
        <v>1850</v>
      </c>
    </row>
    <row r="193" spans="1:4" s="23" customFormat="1" ht="22.5" customHeight="1" x14ac:dyDescent="0.25">
      <c r="A193" s="667">
        <v>185</v>
      </c>
      <c r="B193" s="668" t="s">
        <v>2391</v>
      </c>
      <c r="C193" s="885" t="s">
        <v>2392</v>
      </c>
      <c r="D193" s="669">
        <v>2154.31</v>
      </c>
    </row>
    <row r="194" spans="1:4" s="23" customFormat="1" ht="22.5" customHeight="1" x14ac:dyDescent="0.25">
      <c r="A194" s="667">
        <v>186</v>
      </c>
      <c r="B194" s="668" t="s">
        <v>2393</v>
      </c>
      <c r="C194" s="885" t="s">
        <v>2394</v>
      </c>
      <c r="D194" s="669">
        <v>5070</v>
      </c>
    </row>
    <row r="195" spans="1:4" s="23" customFormat="1" ht="22.5" customHeight="1" x14ac:dyDescent="0.25">
      <c r="A195" s="667">
        <v>187</v>
      </c>
      <c r="B195" s="668" t="s">
        <v>2395</v>
      </c>
      <c r="C195" s="885" t="s">
        <v>2334</v>
      </c>
      <c r="D195" s="669">
        <v>1322</v>
      </c>
    </row>
    <row r="196" spans="1:4" s="23" customFormat="1" ht="22.5" customHeight="1" x14ac:dyDescent="0.25">
      <c r="A196" s="667">
        <v>188</v>
      </c>
      <c r="B196" s="668" t="s">
        <v>2396</v>
      </c>
      <c r="C196" s="885" t="s">
        <v>2397</v>
      </c>
      <c r="D196" s="669">
        <v>5247</v>
      </c>
    </row>
    <row r="197" spans="1:4" s="23" customFormat="1" ht="22.5" customHeight="1" x14ac:dyDescent="0.25">
      <c r="A197" s="667">
        <v>189</v>
      </c>
      <c r="B197" s="668" t="s">
        <v>2398</v>
      </c>
      <c r="C197" s="885" t="s">
        <v>2312</v>
      </c>
      <c r="D197" s="669">
        <v>1850</v>
      </c>
    </row>
    <row r="198" spans="1:4" s="23" customFormat="1" ht="22.5" customHeight="1" x14ac:dyDescent="0.25">
      <c r="A198" s="667">
        <v>190</v>
      </c>
      <c r="B198" s="668" t="s">
        <v>2399</v>
      </c>
      <c r="C198" s="885" t="s">
        <v>2400</v>
      </c>
      <c r="D198" s="669">
        <v>865.5</v>
      </c>
    </row>
    <row r="199" spans="1:4" s="23" customFormat="1" ht="22.5" customHeight="1" x14ac:dyDescent="0.25">
      <c r="A199" s="667">
        <v>191</v>
      </c>
      <c r="B199" s="668" t="s">
        <v>2401</v>
      </c>
      <c r="C199" s="885" t="s">
        <v>2402</v>
      </c>
      <c r="D199" s="669">
        <v>1801</v>
      </c>
    </row>
    <row r="200" spans="1:4" s="23" customFormat="1" ht="22.5" customHeight="1" x14ac:dyDescent="0.25">
      <c r="A200" s="667">
        <v>192</v>
      </c>
      <c r="B200" s="668" t="s">
        <v>2403</v>
      </c>
      <c r="C200" s="885" t="s">
        <v>2404</v>
      </c>
      <c r="D200" s="669">
        <v>923</v>
      </c>
    </row>
    <row r="201" spans="1:4" s="23" customFormat="1" ht="22.5" customHeight="1" x14ac:dyDescent="0.25">
      <c r="A201" s="667">
        <v>193</v>
      </c>
      <c r="B201" s="668" t="s">
        <v>2405</v>
      </c>
      <c r="C201" s="885" t="s">
        <v>2406</v>
      </c>
      <c r="D201" s="669">
        <v>369</v>
      </c>
    </row>
    <row r="202" spans="1:4" s="23" customFormat="1" ht="22.5" customHeight="1" x14ac:dyDescent="0.25">
      <c r="A202" s="667">
        <v>194</v>
      </c>
      <c r="B202" s="668" t="s">
        <v>2407</v>
      </c>
      <c r="C202" s="885" t="s">
        <v>2408</v>
      </c>
      <c r="D202" s="669">
        <v>3820</v>
      </c>
    </row>
    <row r="203" spans="1:4" s="23" customFormat="1" ht="22.5" customHeight="1" x14ac:dyDescent="0.25">
      <c r="A203" s="667">
        <v>195</v>
      </c>
      <c r="B203" s="668" t="s">
        <v>2409</v>
      </c>
      <c r="C203" s="885" t="s">
        <v>2300</v>
      </c>
      <c r="D203" s="669">
        <v>1450</v>
      </c>
    </row>
    <row r="204" spans="1:4" s="23" customFormat="1" ht="22.5" customHeight="1" x14ac:dyDescent="0.25">
      <c r="A204" s="667">
        <v>196</v>
      </c>
      <c r="B204" s="668" t="s">
        <v>2410</v>
      </c>
      <c r="C204" s="885" t="s">
        <v>2300</v>
      </c>
      <c r="D204" s="669">
        <v>1450</v>
      </c>
    </row>
    <row r="205" spans="1:4" s="23" customFormat="1" ht="22.5" customHeight="1" x14ac:dyDescent="0.25">
      <c r="A205" s="667">
        <v>197</v>
      </c>
      <c r="B205" s="668" t="s">
        <v>2411</v>
      </c>
      <c r="C205" s="885" t="s">
        <v>2412</v>
      </c>
      <c r="D205" s="669">
        <v>1624</v>
      </c>
    </row>
    <row r="206" spans="1:4" s="23" customFormat="1" ht="22.5" customHeight="1" x14ac:dyDescent="0.25">
      <c r="A206" s="667">
        <v>198</v>
      </c>
      <c r="B206" s="668" t="s">
        <v>2413</v>
      </c>
      <c r="C206" s="885" t="s">
        <v>2300</v>
      </c>
      <c r="D206" s="669">
        <v>1450</v>
      </c>
    </row>
    <row r="207" spans="1:4" s="23" customFormat="1" ht="22.5" customHeight="1" x14ac:dyDescent="0.25">
      <c r="A207" s="667">
        <v>199</v>
      </c>
      <c r="B207" s="668" t="s">
        <v>2414</v>
      </c>
      <c r="C207" s="885" t="s">
        <v>2300</v>
      </c>
      <c r="D207" s="669">
        <v>1450</v>
      </c>
    </row>
    <row r="208" spans="1:4" s="23" customFormat="1" ht="22.5" customHeight="1" x14ac:dyDescent="0.25">
      <c r="A208" s="667">
        <v>200</v>
      </c>
      <c r="B208" s="668" t="s">
        <v>2415</v>
      </c>
      <c r="C208" s="885" t="s">
        <v>2300</v>
      </c>
      <c r="D208" s="669">
        <v>1450</v>
      </c>
    </row>
    <row r="209" spans="1:4" s="23" customFormat="1" ht="22.5" customHeight="1" x14ac:dyDescent="0.25">
      <c r="A209" s="667">
        <v>201</v>
      </c>
      <c r="B209" s="668" t="s">
        <v>2416</v>
      </c>
      <c r="C209" s="885" t="s">
        <v>2300</v>
      </c>
      <c r="D209" s="669">
        <v>1450</v>
      </c>
    </row>
    <row r="210" spans="1:4" s="23" customFormat="1" ht="22.5" customHeight="1" x14ac:dyDescent="0.25">
      <c r="A210" s="667">
        <v>202</v>
      </c>
      <c r="B210" s="668" t="s">
        <v>2417</v>
      </c>
      <c r="C210" s="885" t="s">
        <v>2394</v>
      </c>
      <c r="D210" s="669">
        <v>10926</v>
      </c>
    </row>
    <row r="211" spans="1:4" s="23" customFormat="1" ht="22.5" customHeight="1" x14ac:dyDescent="0.25">
      <c r="A211" s="667">
        <v>203</v>
      </c>
      <c r="B211" s="668" t="s">
        <v>2418</v>
      </c>
      <c r="C211" s="885" t="s">
        <v>2419</v>
      </c>
      <c r="D211" s="669">
        <v>1404.35</v>
      </c>
    </row>
    <row r="212" spans="1:4" s="23" customFormat="1" ht="22.5" customHeight="1" x14ac:dyDescent="0.25">
      <c r="A212" s="667">
        <v>204</v>
      </c>
      <c r="B212" s="668" t="s">
        <v>2420</v>
      </c>
      <c r="C212" s="885" t="s">
        <v>2421</v>
      </c>
      <c r="D212" s="669">
        <v>1624</v>
      </c>
    </row>
    <row r="213" spans="1:4" s="23" customFormat="1" ht="22.5" customHeight="1" x14ac:dyDescent="0.25">
      <c r="A213" s="667">
        <v>205</v>
      </c>
      <c r="B213" s="668" t="s">
        <v>2422</v>
      </c>
      <c r="C213" s="885" t="s">
        <v>2423</v>
      </c>
      <c r="D213" s="669">
        <v>1510</v>
      </c>
    </row>
    <row r="214" spans="1:4" s="23" customFormat="1" ht="22.5" customHeight="1" x14ac:dyDescent="0.25">
      <c r="A214" s="667">
        <v>206</v>
      </c>
      <c r="B214" s="668" t="s">
        <v>2424</v>
      </c>
      <c r="C214" s="885" t="s">
        <v>2425</v>
      </c>
      <c r="D214" s="669">
        <v>1322</v>
      </c>
    </row>
    <row r="215" spans="1:4" s="23" customFormat="1" ht="22.5" customHeight="1" x14ac:dyDescent="0.25">
      <c r="A215" s="667">
        <v>207</v>
      </c>
      <c r="B215" s="668" t="s">
        <v>2426</v>
      </c>
      <c r="C215" s="885" t="s">
        <v>2427</v>
      </c>
      <c r="D215" s="669">
        <v>922.86</v>
      </c>
    </row>
    <row r="216" spans="1:4" s="23" customFormat="1" ht="22.5" customHeight="1" x14ac:dyDescent="0.25">
      <c r="A216" s="667">
        <v>208</v>
      </c>
      <c r="B216" s="668" t="s">
        <v>2428</v>
      </c>
      <c r="C216" s="885" t="s">
        <v>2429</v>
      </c>
      <c r="D216" s="669">
        <v>1434.67</v>
      </c>
    </row>
    <row r="217" spans="1:4" s="23" customFormat="1" ht="22.5" customHeight="1" x14ac:dyDescent="0.25">
      <c r="A217" s="667">
        <v>209</v>
      </c>
      <c r="B217" s="668" t="s">
        <v>2430</v>
      </c>
      <c r="C217" s="885" t="s">
        <v>2431</v>
      </c>
      <c r="D217" s="669">
        <v>4007</v>
      </c>
    </row>
    <row r="218" spans="1:4" s="23" customFormat="1" ht="22.5" customHeight="1" x14ac:dyDescent="0.25">
      <c r="A218" s="667">
        <v>210</v>
      </c>
      <c r="B218" s="668" t="s">
        <v>2432</v>
      </c>
      <c r="C218" s="885" t="s">
        <v>2433</v>
      </c>
      <c r="D218" s="669">
        <v>21108.57</v>
      </c>
    </row>
    <row r="219" spans="1:4" s="23" customFormat="1" ht="22.5" customHeight="1" x14ac:dyDescent="0.25">
      <c r="A219" s="667">
        <v>211</v>
      </c>
      <c r="B219" s="668" t="s">
        <v>2434</v>
      </c>
      <c r="C219" s="885" t="s">
        <v>2435</v>
      </c>
      <c r="D219" s="669">
        <v>5908.57</v>
      </c>
    </row>
    <row r="220" spans="1:4" s="23" customFormat="1" ht="22.5" customHeight="1" x14ac:dyDescent="0.25">
      <c r="A220" s="667">
        <v>212</v>
      </c>
      <c r="B220" s="668" t="s">
        <v>2436</v>
      </c>
      <c r="C220" s="885" t="s">
        <v>2342</v>
      </c>
      <c r="D220" s="669">
        <v>1320</v>
      </c>
    </row>
    <row r="221" spans="1:4" s="23" customFormat="1" ht="22.5" customHeight="1" x14ac:dyDescent="0.25">
      <c r="A221" s="667">
        <v>213</v>
      </c>
      <c r="B221" s="668" t="s">
        <v>2437</v>
      </c>
      <c r="C221" s="885" t="s">
        <v>2438</v>
      </c>
      <c r="D221" s="669">
        <v>914.25</v>
      </c>
    </row>
    <row r="222" spans="1:4" s="23" customFormat="1" ht="22.5" customHeight="1" x14ac:dyDescent="0.25">
      <c r="A222" s="667">
        <v>214</v>
      </c>
      <c r="B222" s="668" t="s">
        <v>2439</v>
      </c>
      <c r="C222" s="885" t="s">
        <v>2300</v>
      </c>
      <c r="D222" s="669">
        <v>1450</v>
      </c>
    </row>
    <row r="223" spans="1:4" s="23" customFormat="1" ht="22.5" customHeight="1" x14ac:dyDescent="0.25">
      <c r="A223" s="667">
        <v>215</v>
      </c>
      <c r="B223" s="668" t="s">
        <v>2440</v>
      </c>
      <c r="C223" s="885" t="s">
        <v>2377</v>
      </c>
      <c r="D223" s="669">
        <v>5415</v>
      </c>
    </row>
    <row r="224" spans="1:4" s="23" customFormat="1" ht="22.5" customHeight="1" x14ac:dyDescent="0.25">
      <c r="A224" s="667">
        <v>216</v>
      </c>
      <c r="B224" s="668" t="s">
        <v>2441</v>
      </c>
      <c r="C224" s="885" t="s">
        <v>2319</v>
      </c>
      <c r="D224" s="669">
        <v>1322</v>
      </c>
    </row>
    <row r="225" spans="1:4" s="23" customFormat="1" ht="22.5" customHeight="1" x14ac:dyDescent="0.25">
      <c r="A225" s="667">
        <v>217</v>
      </c>
      <c r="B225" s="668" t="s">
        <v>2442</v>
      </c>
      <c r="C225" s="885" t="s">
        <v>2443</v>
      </c>
      <c r="D225" s="669">
        <v>615.70000000000005</v>
      </c>
    </row>
    <row r="226" spans="1:4" s="23" customFormat="1" ht="22.5" customHeight="1" x14ac:dyDescent="0.25">
      <c r="A226" s="667">
        <v>218</v>
      </c>
      <c r="B226" s="668" t="s">
        <v>2444</v>
      </c>
      <c r="C226" s="885" t="s">
        <v>2445</v>
      </c>
      <c r="D226" s="669">
        <v>1690</v>
      </c>
    </row>
    <row r="227" spans="1:4" s="23" customFormat="1" ht="22.5" customHeight="1" x14ac:dyDescent="0.25">
      <c r="A227" s="667">
        <v>219</v>
      </c>
      <c r="B227" s="668" t="s">
        <v>2446</v>
      </c>
      <c r="C227" s="885" t="s">
        <v>2447</v>
      </c>
      <c r="D227" s="669">
        <v>4464</v>
      </c>
    </row>
    <row r="228" spans="1:4" s="23" customFormat="1" ht="22.5" customHeight="1" x14ac:dyDescent="0.25">
      <c r="A228" s="667">
        <v>220</v>
      </c>
      <c r="B228" s="668" t="s">
        <v>2448</v>
      </c>
      <c r="C228" s="885" t="s">
        <v>2300</v>
      </c>
      <c r="D228" s="669">
        <v>1450</v>
      </c>
    </row>
    <row r="229" spans="1:4" s="23" customFormat="1" ht="22.5" customHeight="1" x14ac:dyDescent="0.25">
      <c r="A229" s="667">
        <v>221</v>
      </c>
      <c r="B229" s="668" t="s">
        <v>2449</v>
      </c>
      <c r="C229" s="885" t="s">
        <v>2400</v>
      </c>
      <c r="D229" s="669">
        <v>865.5</v>
      </c>
    </row>
    <row r="230" spans="1:4" s="23" customFormat="1" ht="22.5" customHeight="1" x14ac:dyDescent="0.25">
      <c r="A230" s="667">
        <v>222</v>
      </c>
      <c r="B230" s="668" t="s">
        <v>2450</v>
      </c>
      <c r="C230" s="885" t="s">
        <v>2451</v>
      </c>
      <c r="D230" s="669">
        <v>1830</v>
      </c>
    </row>
    <row r="231" spans="1:4" s="23" customFormat="1" ht="22.5" customHeight="1" x14ac:dyDescent="0.25">
      <c r="A231" s="667">
        <v>223</v>
      </c>
      <c r="B231" s="668" t="s">
        <v>2452</v>
      </c>
      <c r="C231" s="885" t="s">
        <v>2292</v>
      </c>
      <c r="D231" s="669">
        <v>2530</v>
      </c>
    </row>
    <row r="232" spans="1:4" s="23" customFormat="1" ht="22.5" customHeight="1" x14ac:dyDescent="0.25">
      <c r="A232" s="667">
        <v>224</v>
      </c>
      <c r="B232" s="668" t="s">
        <v>2453</v>
      </c>
      <c r="C232" s="885" t="s">
        <v>2292</v>
      </c>
      <c r="D232" s="669">
        <v>2530</v>
      </c>
    </row>
    <row r="233" spans="1:4" s="23" customFormat="1" ht="22.5" customHeight="1" x14ac:dyDescent="0.25">
      <c r="A233" s="667">
        <v>225</v>
      </c>
      <c r="B233" s="668" t="s">
        <v>2454</v>
      </c>
      <c r="C233" s="885" t="s">
        <v>2455</v>
      </c>
      <c r="D233" s="669">
        <v>5356.4</v>
      </c>
    </row>
    <row r="234" spans="1:4" s="23" customFormat="1" ht="22.5" customHeight="1" x14ac:dyDescent="0.25">
      <c r="A234" s="667">
        <v>226</v>
      </c>
      <c r="B234" s="668" t="s">
        <v>2456</v>
      </c>
      <c r="C234" s="885" t="s">
        <v>2457</v>
      </c>
      <c r="D234" s="669">
        <v>1624</v>
      </c>
    </row>
    <row r="235" spans="1:4" s="23" customFormat="1" ht="22.5" customHeight="1" x14ac:dyDescent="0.25">
      <c r="A235" s="667">
        <v>227</v>
      </c>
      <c r="B235" s="668" t="s">
        <v>2458</v>
      </c>
      <c r="C235" s="885" t="s">
        <v>2459</v>
      </c>
      <c r="D235" s="669">
        <v>560</v>
      </c>
    </row>
    <row r="236" spans="1:4" s="23" customFormat="1" ht="22.5" customHeight="1" x14ac:dyDescent="0.25">
      <c r="A236" s="667">
        <v>228</v>
      </c>
      <c r="B236" s="668" t="s">
        <v>2460</v>
      </c>
      <c r="C236" s="885" t="s">
        <v>2459</v>
      </c>
      <c r="D236" s="669">
        <v>560</v>
      </c>
    </row>
    <row r="237" spans="1:4" s="23" customFormat="1" ht="22.5" customHeight="1" x14ac:dyDescent="0.25">
      <c r="A237" s="667">
        <v>229</v>
      </c>
      <c r="B237" s="668" t="s">
        <v>2461</v>
      </c>
      <c r="C237" s="885" t="s">
        <v>2462</v>
      </c>
      <c r="D237" s="669">
        <v>1485</v>
      </c>
    </row>
    <row r="238" spans="1:4" s="23" customFormat="1" ht="22.5" customHeight="1" x14ac:dyDescent="0.25">
      <c r="A238" s="667">
        <v>230</v>
      </c>
      <c r="B238" s="668" t="s">
        <v>2463</v>
      </c>
      <c r="C238" s="885" t="s">
        <v>2464</v>
      </c>
      <c r="D238" s="669">
        <v>3785.5</v>
      </c>
    </row>
    <row r="239" spans="1:4" s="23" customFormat="1" ht="22.5" customHeight="1" x14ac:dyDescent="0.25">
      <c r="A239" s="667">
        <v>231</v>
      </c>
      <c r="B239" s="668" t="s">
        <v>2465</v>
      </c>
      <c r="C239" s="885" t="s">
        <v>2466</v>
      </c>
      <c r="D239" s="669">
        <v>1520</v>
      </c>
    </row>
    <row r="240" spans="1:4" s="23" customFormat="1" ht="22.5" customHeight="1" x14ac:dyDescent="0.25">
      <c r="A240" s="667">
        <v>232</v>
      </c>
      <c r="B240" s="668" t="s">
        <v>2467</v>
      </c>
      <c r="C240" s="885" t="s">
        <v>2468</v>
      </c>
      <c r="D240" s="669">
        <v>149000</v>
      </c>
    </row>
    <row r="241" spans="1:4" s="23" customFormat="1" ht="22.5" customHeight="1" x14ac:dyDescent="0.25">
      <c r="A241" s="667">
        <v>233</v>
      </c>
      <c r="B241" s="668" t="s">
        <v>2469</v>
      </c>
      <c r="C241" s="885" t="s">
        <v>2282</v>
      </c>
      <c r="D241" s="669">
        <v>1045</v>
      </c>
    </row>
    <row r="242" spans="1:4" s="23" customFormat="1" ht="22.5" customHeight="1" x14ac:dyDescent="0.25">
      <c r="A242" s="667">
        <v>234</v>
      </c>
      <c r="B242" s="668" t="s">
        <v>2470</v>
      </c>
      <c r="C242" s="885" t="s">
        <v>2300</v>
      </c>
      <c r="D242" s="669">
        <v>1450</v>
      </c>
    </row>
    <row r="243" spans="1:4" s="23" customFormat="1" ht="22.5" customHeight="1" x14ac:dyDescent="0.25">
      <c r="A243" s="667">
        <v>235</v>
      </c>
      <c r="B243" s="668" t="s">
        <v>2471</v>
      </c>
      <c r="C243" s="885" t="s">
        <v>2472</v>
      </c>
      <c r="D243" s="669">
        <v>6521.74</v>
      </c>
    </row>
    <row r="244" spans="1:4" s="23" customFormat="1" ht="22.5" customHeight="1" x14ac:dyDescent="0.25">
      <c r="A244" s="667">
        <v>236</v>
      </c>
      <c r="B244" s="668" t="s">
        <v>2473</v>
      </c>
      <c r="C244" s="885" t="s">
        <v>2474</v>
      </c>
      <c r="D244" s="669">
        <v>897.1</v>
      </c>
    </row>
    <row r="245" spans="1:4" s="23" customFormat="1" ht="22.5" customHeight="1" x14ac:dyDescent="0.25">
      <c r="A245" s="667">
        <v>237</v>
      </c>
      <c r="B245" s="668" t="s">
        <v>2475</v>
      </c>
      <c r="C245" s="885" t="s">
        <v>2476</v>
      </c>
      <c r="D245" s="669">
        <v>4327</v>
      </c>
    </row>
    <row r="246" spans="1:4" s="23" customFormat="1" ht="22.5" customHeight="1" x14ac:dyDescent="0.25">
      <c r="A246" s="667">
        <v>238</v>
      </c>
      <c r="B246" s="668" t="s">
        <v>2477</v>
      </c>
      <c r="C246" s="885" t="s">
        <v>2478</v>
      </c>
      <c r="D246" s="669">
        <v>3020</v>
      </c>
    </row>
    <row r="247" spans="1:4" s="23" customFormat="1" ht="22.5" customHeight="1" x14ac:dyDescent="0.25">
      <c r="A247" s="667">
        <v>239</v>
      </c>
      <c r="B247" s="668" t="s">
        <v>2479</v>
      </c>
      <c r="C247" s="885" t="s">
        <v>2480</v>
      </c>
      <c r="D247" s="669">
        <v>4609</v>
      </c>
    </row>
    <row r="248" spans="1:4" s="23" customFormat="1" ht="22.5" customHeight="1" x14ac:dyDescent="0.25">
      <c r="A248" s="667">
        <v>240</v>
      </c>
      <c r="B248" s="668" t="s">
        <v>2481</v>
      </c>
      <c r="C248" s="885" t="s">
        <v>2482</v>
      </c>
      <c r="D248" s="669">
        <v>2490</v>
      </c>
    </row>
    <row r="249" spans="1:4" s="23" customFormat="1" ht="22.5" customHeight="1" x14ac:dyDescent="0.25">
      <c r="A249" s="667">
        <v>241</v>
      </c>
      <c r="B249" s="668" t="s">
        <v>2483</v>
      </c>
      <c r="C249" s="885" t="s">
        <v>2484</v>
      </c>
      <c r="D249" s="669">
        <v>320</v>
      </c>
    </row>
    <row r="250" spans="1:4" s="23" customFormat="1" ht="22.5" customHeight="1" x14ac:dyDescent="0.25">
      <c r="A250" s="667">
        <v>242</v>
      </c>
      <c r="B250" s="668" t="s">
        <v>2485</v>
      </c>
      <c r="C250" s="885" t="s">
        <v>2486</v>
      </c>
      <c r="D250" s="669">
        <v>763.5</v>
      </c>
    </row>
    <row r="251" spans="1:4" s="23" customFormat="1" ht="22.5" customHeight="1" x14ac:dyDescent="0.25">
      <c r="A251" s="667">
        <v>243</v>
      </c>
      <c r="B251" s="668" t="s">
        <v>2487</v>
      </c>
      <c r="C251" s="885" t="s">
        <v>2488</v>
      </c>
      <c r="D251" s="669">
        <v>3793.11</v>
      </c>
    </row>
    <row r="252" spans="1:4" s="23" customFormat="1" ht="22.5" customHeight="1" x14ac:dyDescent="0.25">
      <c r="A252" s="667">
        <v>244</v>
      </c>
      <c r="B252" s="668" t="s">
        <v>2489</v>
      </c>
      <c r="C252" s="885" t="s">
        <v>2388</v>
      </c>
      <c r="D252" s="669">
        <v>289.01</v>
      </c>
    </row>
    <row r="253" spans="1:4" s="23" customFormat="1" ht="22.5" customHeight="1" x14ac:dyDescent="0.25">
      <c r="A253" s="667">
        <v>245</v>
      </c>
      <c r="B253" s="668" t="s">
        <v>2490</v>
      </c>
      <c r="C253" s="885" t="s">
        <v>2491</v>
      </c>
      <c r="D253" s="669">
        <v>1720</v>
      </c>
    </row>
    <row r="254" spans="1:4" s="23" customFormat="1" ht="22.5" customHeight="1" x14ac:dyDescent="0.25">
      <c r="A254" s="667">
        <v>246</v>
      </c>
      <c r="B254" s="668" t="s">
        <v>2492</v>
      </c>
      <c r="C254" s="885" t="s">
        <v>2493</v>
      </c>
      <c r="D254" s="669">
        <v>2260</v>
      </c>
    </row>
    <row r="255" spans="1:4" s="23" customFormat="1" ht="22.5" customHeight="1" x14ac:dyDescent="0.25">
      <c r="A255" s="667">
        <v>247</v>
      </c>
      <c r="B255" s="668" t="s">
        <v>2494</v>
      </c>
      <c r="C255" s="885" t="s">
        <v>2377</v>
      </c>
      <c r="D255" s="669">
        <v>5415</v>
      </c>
    </row>
    <row r="256" spans="1:4" s="23" customFormat="1" ht="22.5" customHeight="1" x14ac:dyDescent="0.25">
      <c r="A256" s="667">
        <v>248</v>
      </c>
      <c r="B256" s="668" t="s">
        <v>2495</v>
      </c>
      <c r="C256" s="885" t="s">
        <v>2496</v>
      </c>
      <c r="D256" s="669">
        <v>500</v>
      </c>
    </row>
    <row r="257" spans="1:4" s="23" customFormat="1" ht="22.5" customHeight="1" x14ac:dyDescent="0.25">
      <c r="A257" s="667">
        <v>249</v>
      </c>
      <c r="B257" s="668" t="s">
        <v>2497</v>
      </c>
      <c r="C257" s="885" t="s">
        <v>2498</v>
      </c>
      <c r="D257" s="669">
        <v>1690</v>
      </c>
    </row>
    <row r="258" spans="1:4" s="23" customFormat="1" ht="22.5" customHeight="1" x14ac:dyDescent="0.25">
      <c r="A258" s="667">
        <v>250</v>
      </c>
      <c r="B258" s="668" t="s">
        <v>2499</v>
      </c>
      <c r="C258" s="885" t="s">
        <v>2500</v>
      </c>
      <c r="D258" s="669">
        <v>1455</v>
      </c>
    </row>
    <row r="259" spans="1:4" s="23" customFormat="1" ht="22.5" customHeight="1" x14ac:dyDescent="0.25">
      <c r="A259" s="667">
        <v>251</v>
      </c>
      <c r="B259" s="668" t="s">
        <v>2501</v>
      </c>
      <c r="C259" s="885" t="s">
        <v>2502</v>
      </c>
      <c r="D259" s="669">
        <v>836</v>
      </c>
    </row>
    <row r="260" spans="1:4" s="23" customFormat="1" ht="22.5" customHeight="1" x14ac:dyDescent="0.25">
      <c r="A260" s="667">
        <v>252</v>
      </c>
      <c r="B260" s="668" t="s">
        <v>2503</v>
      </c>
      <c r="C260" s="885" t="s">
        <v>2462</v>
      </c>
      <c r="D260" s="669">
        <v>1485</v>
      </c>
    </row>
    <row r="261" spans="1:4" s="23" customFormat="1" ht="22.5" customHeight="1" x14ac:dyDescent="0.25">
      <c r="A261" s="667">
        <v>253</v>
      </c>
      <c r="B261" s="668" t="s">
        <v>2504</v>
      </c>
      <c r="C261" s="885" t="s">
        <v>2505</v>
      </c>
      <c r="D261" s="669">
        <v>1455</v>
      </c>
    </row>
    <row r="262" spans="1:4" s="23" customFormat="1" ht="22.5" customHeight="1" x14ac:dyDescent="0.25">
      <c r="A262" s="667">
        <v>254</v>
      </c>
      <c r="B262" s="668" t="s">
        <v>2506</v>
      </c>
      <c r="C262" s="885" t="s">
        <v>2507</v>
      </c>
      <c r="D262" s="669">
        <v>7730</v>
      </c>
    </row>
    <row r="263" spans="1:4" s="23" customFormat="1" ht="22.5" customHeight="1" x14ac:dyDescent="0.25">
      <c r="A263" s="667">
        <v>255</v>
      </c>
      <c r="B263" s="668" t="s">
        <v>2508</v>
      </c>
      <c r="C263" s="885" t="s">
        <v>2488</v>
      </c>
      <c r="D263" s="669">
        <v>3793.11</v>
      </c>
    </row>
    <row r="264" spans="1:4" s="23" customFormat="1" ht="22.5" customHeight="1" x14ac:dyDescent="0.25">
      <c r="A264" s="667">
        <v>256</v>
      </c>
      <c r="B264" s="668" t="s">
        <v>2509</v>
      </c>
      <c r="C264" s="885" t="s">
        <v>2462</v>
      </c>
      <c r="D264" s="669">
        <v>1485</v>
      </c>
    </row>
    <row r="265" spans="1:4" s="23" customFormat="1" ht="22.5" customHeight="1" x14ac:dyDescent="0.25">
      <c r="A265" s="667">
        <v>257</v>
      </c>
      <c r="B265" s="668" t="s">
        <v>2510</v>
      </c>
      <c r="C265" s="885" t="s">
        <v>2511</v>
      </c>
      <c r="D265" s="669">
        <v>246.38</v>
      </c>
    </row>
    <row r="266" spans="1:4" s="23" customFormat="1" ht="22.5" customHeight="1" x14ac:dyDescent="0.25">
      <c r="A266" s="667">
        <v>258</v>
      </c>
      <c r="B266" s="668" t="s">
        <v>2512</v>
      </c>
      <c r="C266" s="885" t="s">
        <v>2488</v>
      </c>
      <c r="D266" s="669">
        <v>3793.11</v>
      </c>
    </row>
    <row r="267" spans="1:4" s="23" customFormat="1" ht="22.5" customHeight="1" x14ac:dyDescent="0.25">
      <c r="A267" s="667">
        <v>259</v>
      </c>
      <c r="B267" s="668" t="s">
        <v>2513</v>
      </c>
      <c r="C267" s="885" t="s">
        <v>2514</v>
      </c>
      <c r="D267" s="669">
        <v>150</v>
      </c>
    </row>
    <row r="268" spans="1:4" s="23" customFormat="1" ht="22.5" customHeight="1" x14ac:dyDescent="0.25">
      <c r="A268" s="667">
        <v>260</v>
      </c>
      <c r="B268" s="668" t="s">
        <v>2515</v>
      </c>
      <c r="C268" s="885" t="s">
        <v>2516</v>
      </c>
      <c r="D268" s="669">
        <v>870</v>
      </c>
    </row>
    <row r="269" spans="1:4" s="23" customFormat="1" ht="22.5" customHeight="1" x14ac:dyDescent="0.25">
      <c r="A269" s="667">
        <v>261</v>
      </c>
      <c r="B269" s="668" t="s">
        <v>2517</v>
      </c>
      <c r="C269" s="885" t="s">
        <v>2518</v>
      </c>
      <c r="D269" s="669">
        <v>12539</v>
      </c>
    </row>
    <row r="270" spans="1:4" s="23" customFormat="1" ht="22.5" customHeight="1" x14ac:dyDescent="0.25">
      <c r="A270" s="667">
        <v>262</v>
      </c>
      <c r="B270" s="668" t="s">
        <v>2519</v>
      </c>
      <c r="C270" s="885" t="s">
        <v>2520</v>
      </c>
      <c r="D270" s="669">
        <v>3890</v>
      </c>
    </row>
    <row r="271" spans="1:4" s="23" customFormat="1" ht="22.5" customHeight="1" x14ac:dyDescent="0.25">
      <c r="A271" s="667">
        <v>263</v>
      </c>
      <c r="B271" s="668" t="s">
        <v>2521</v>
      </c>
      <c r="C271" s="885" t="s">
        <v>2522</v>
      </c>
      <c r="D271" s="669">
        <v>3793.11</v>
      </c>
    </row>
    <row r="272" spans="1:4" s="23" customFormat="1" ht="22.5" customHeight="1" x14ac:dyDescent="0.25">
      <c r="A272" s="667">
        <v>264</v>
      </c>
      <c r="B272" s="668" t="s">
        <v>2523</v>
      </c>
      <c r="C272" s="885" t="s">
        <v>2488</v>
      </c>
      <c r="D272" s="669">
        <v>3793.11</v>
      </c>
    </row>
    <row r="273" spans="1:4" s="23" customFormat="1" ht="22.5" customHeight="1" x14ac:dyDescent="0.25">
      <c r="A273" s="667">
        <v>265</v>
      </c>
      <c r="B273" s="668" t="s">
        <v>2524</v>
      </c>
      <c r="C273" s="885" t="s">
        <v>2525</v>
      </c>
      <c r="D273" s="669">
        <v>1322</v>
      </c>
    </row>
    <row r="274" spans="1:4" s="23" customFormat="1" ht="22.5" customHeight="1" x14ac:dyDescent="0.25">
      <c r="A274" s="667">
        <v>266</v>
      </c>
      <c r="B274" s="668" t="s">
        <v>2526</v>
      </c>
      <c r="C274" s="885" t="s">
        <v>2525</v>
      </c>
      <c r="D274" s="669">
        <v>1322</v>
      </c>
    </row>
    <row r="275" spans="1:4" s="23" customFormat="1" ht="22.5" customHeight="1" x14ac:dyDescent="0.25">
      <c r="A275" s="667">
        <v>267</v>
      </c>
      <c r="B275" s="668" t="s">
        <v>2527</v>
      </c>
      <c r="C275" s="885" t="s">
        <v>2511</v>
      </c>
      <c r="D275" s="669">
        <v>493</v>
      </c>
    </row>
    <row r="276" spans="1:4" s="23" customFormat="1" ht="22.5" customHeight="1" x14ac:dyDescent="0.25">
      <c r="A276" s="667">
        <v>268</v>
      </c>
      <c r="B276" s="668" t="s">
        <v>2528</v>
      </c>
      <c r="C276" s="885" t="s">
        <v>2529</v>
      </c>
      <c r="D276" s="669">
        <v>1159.75</v>
      </c>
    </row>
    <row r="277" spans="1:4" s="23" customFormat="1" ht="22.5" customHeight="1" x14ac:dyDescent="0.25">
      <c r="A277" s="667">
        <v>269</v>
      </c>
      <c r="B277" s="668" t="s">
        <v>2530</v>
      </c>
      <c r="C277" s="885" t="s">
        <v>2531</v>
      </c>
      <c r="D277" s="669">
        <v>6093.85</v>
      </c>
    </row>
    <row r="278" spans="1:4" s="23" customFormat="1" ht="22.5" customHeight="1" x14ac:dyDescent="0.25">
      <c r="A278" s="667">
        <v>270</v>
      </c>
      <c r="B278" s="668" t="s">
        <v>2532</v>
      </c>
      <c r="C278" s="885" t="s">
        <v>2533</v>
      </c>
      <c r="D278" s="669">
        <v>2390</v>
      </c>
    </row>
    <row r="279" spans="1:4" s="23" customFormat="1" ht="22.5" customHeight="1" x14ac:dyDescent="0.25">
      <c r="A279" s="667">
        <v>271</v>
      </c>
      <c r="B279" s="668" t="s">
        <v>2534</v>
      </c>
      <c r="C279" s="885" t="s">
        <v>2535</v>
      </c>
      <c r="D279" s="669">
        <v>7900</v>
      </c>
    </row>
    <row r="280" spans="1:4" s="23" customFormat="1" ht="22.5" customHeight="1" x14ac:dyDescent="0.25">
      <c r="A280" s="667">
        <v>272</v>
      </c>
      <c r="B280" s="668" t="s">
        <v>2536</v>
      </c>
      <c r="C280" s="885" t="s">
        <v>2537</v>
      </c>
      <c r="D280" s="669">
        <v>1020</v>
      </c>
    </row>
    <row r="281" spans="1:4" s="23" customFormat="1" ht="22.5" customHeight="1" x14ac:dyDescent="0.25">
      <c r="A281" s="667">
        <v>273</v>
      </c>
      <c r="B281" s="668" t="s">
        <v>2538</v>
      </c>
      <c r="C281" s="885" t="s">
        <v>2539</v>
      </c>
      <c r="D281" s="669">
        <v>1690</v>
      </c>
    </row>
    <row r="282" spans="1:4" s="23" customFormat="1" ht="22.5" customHeight="1" x14ac:dyDescent="0.25">
      <c r="A282" s="667">
        <v>274</v>
      </c>
      <c r="B282" s="668" t="s">
        <v>2540</v>
      </c>
      <c r="C282" s="885" t="s">
        <v>2514</v>
      </c>
      <c r="D282" s="669">
        <v>150</v>
      </c>
    </row>
    <row r="283" spans="1:4" s="23" customFormat="1" ht="22.5" customHeight="1" x14ac:dyDescent="0.25">
      <c r="A283" s="667">
        <v>275</v>
      </c>
      <c r="B283" s="668" t="s">
        <v>2541</v>
      </c>
      <c r="C283" s="885" t="s">
        <v>2514</v>
      </c>
      <c r="D283" s="669">
        <v>150</v>
      </c>
    </row>
    <row r="284" spans="1:4" s="23" customFormat="1" ht="22.5" customHeight="1" x14ac:dyDescent="0.25">
      <c r="A284" s="667">
        <v>276</v>
      </c>
      <c r="B284" s="668" t="s">
        <v>2542</v>
      </c>
      <c r="C284" s="885" t="s">
        <v>2543</v>
      </c>
      <c r="D284" s="669">
        <v>6195</v>
      </c>
    </row>
    <row r="285" spans="1:4" s="23" customFormat="1" ht="22.5" customHeight="1" x14ac:dyDescent="0.25">
      <c r="A285" s="667">
        <v>277</v>
      </c>
      <c r="B285" s="668" t="s">
        <v>2544</v>
      </c>
      <c r="C285" s="885" t="s">
        <v>2545</v>
      </c>
      <c r="D285" s="669">
        <v>7730</v>
      </c>
    </row>
    <row r="286" spans="1:4" s="23" customFormat="1" ht="22.5" customHeight="1" x14ac:dyDescent="0.25">
      <c r="A286" s="667">
        <v>278</v>
      </c>
      <c r="B286" s="668" t="s">
        <v>2546</v>
      </c>
      <c r="C286" s="885" t="s">
        <v>2488</v>
      </c>
      <c r="D286" s="669">
        <v>3793.11</v>
      </c>
    </row>
    <row r="287" spans="1:4" s="23" customFormat="1" ht="22.5" customHeight="1" x14ac:dyDescent="0.25">
      <c r="A287" s="667">
        <v>279</v>
      </c>
      <c r="B287" s="668" t="s">
        <v>2547</v>
      </c>
      <c r="C287" s="885" t="s">
        <v>2511</v>
      </c>
      <c r="D287" s="669">
        <v>246.38</v>
      </c>
    </row>
    <row r="288" spans="1:4" s="23" customFormat="1" ht="22.5" customHeight="1" x14ac:dyDescent="0.25">
      <c r="A288" s="667">
        <v>280</v>
      </c>
      <c r="B288" s="668" t="s">
        <v>2548</v>
      </c>
      <c r="C288" s="885" t="s">
        <v>2388</v>
      </c>
      <c r="D288" s="669">
        <v>289</v>
      </c>
    </row>
    <row r="289" spans="1:4" s="23" customFormat="1" ht="22.5" customHeight="1" x14ac:dyDescent="0.25">
      <c r="A289" s="667">
        <v>281</v>
      </c>
      <c r="B289" s="668" t="s">
        <v>2549</v>
      </c>
      <c r="C289" s="885" t="s">
        <v>2462</v>
      </c>
      <c r="D289" s="669">
        <v>1485</v>
      </c>
    </row>
    <row r="290" spans="1:4" s="23" customFormat="1" ht="22.5" customHeight="1" x14ac:dyDescent="0.25">
      <c r="A290" s="667">
        <v>282</v>
      </c>
      <c r="B290" s="668" t="s">
        <v>2550</v>
      </c>
      <c r="C290" s="885" t="s">
        <v>2551</v>
      </c>
      <c r="D290" s="669">
        <v>2830</v>
      </c>
    </row>
    <row r="291" spans="1:4" s="23" customFormat="1" ht="22.5" customHeight="1" x14ac:dyDescent="0.25">
      <c r="A291" s="667">
        <v>283</v>
      </c>
      <c r="B291" s="668" t="s">
        <v>2552</v>
      </c>
      <c r="C291" s="885" t="s">
        <v>2300</v>
      </c>
      <c r="D291" s="669">
        <v>1450</v>
      </c>
    </row>
    <row r="292" spans="1:4" s="23" customFormat="1" ht="22.5" customHeight="1" x14ac:dyDescent="0.25">
      <c r="A292" s="667">
        <v>284</v>
      </c>
      <c r="B292" s="668" t="s">
        <v>2553</v>
      </c>
      <c r="C292" s="885" t="s">
        <v>2488</v>
      </c>
      <c r="D292" s="669">
        <v>3793.11</v>
      </c>
    </row>
    <row r="293" spans="1:4" s="23" customFormat="1" ht="22.5" customHeight="1" x14ac:dyDescent="0.25">
      <c r="A293" s="667">
        <v>285</v>
      </c>
      <c r="B293" s="668" t="s">
        <v>2554</v>
      </c>
      <c r="C293" s="885" t="s">
        <v>2388</v>
      </c>
      <c r="D293" s="669">
        <v>289</v>
      </c>
    </row>
    <row r="294" spans="1:4" s="23" customFormat="1" ht="76.5" x14ac:dyDescent="0.25">
      <c r="A294" s="667">
        <v>286</v>
      </c>
      <c r="B294" s="668" t="s">
        <v>2555</v>
      </c>
      <c r="C294" s="885" t="s">
        <v>2377</v>
      </c>
      <c r="D294" s="669">
        <v>5415</v>
      </c>
    </row>
    <row r="295" spans="1:4" s="23" customFormat="1" ht="38.25" x14ac:dyDescent="0.25">
      <c r="A295" s="667">
        <v>287</v>
      </c>
      <c r="B295" s="668" t="s">
        <v>2556</v>
      </c>
      <c r="C295" s="885" t="s">
        <v>2462</v>
      </c>
      <c r="D295" s="669">
        <v>1485</v>
      </c>
    </row>
    <row r="296" spans="1:4" s="23" customFormat="1" ht="22.5" customHeight="1" x14ac:dyDescent="0.25">
      <c r="A296" s="667">
        <v>288</v>
      </c>
      <c r="B296" s="668" t="s">
        <v>2557</v>
      </c>
      <c r="C296" s="885" t="s">
        <v>2558</v>
      </c>
      <c r="D296" s="669">
        <v>1944</v>
      </c>
    </row>
    <row r="297" spans="1:4" s="23" customFormat="1" ht="25.5" x14ac:dyDescent="0.25">
      <c r="A297" s="667">
        <v>289</v>
      </c>
      <c r="B297" s="668" t="s">
        <v>2559</v>
      </c>
      <c r="C297" s="885" t="s">
        <v>2560</v>
      </c>
      <c r="D297" s="669">
        <v>1726</v>
      </c>
    </row>
    <row r="298" spans="1:4" s="23" customFormat="1" ht="25.5" x14ac:dyDescent="0.25">
      <c r="A298" s="667">
        <v>290</v>
      </c>
      <c r="B298" s="668" t="s">
        <v>2561</v>
      </c>
      <c r="C298" s="885" t="s">
        <v>2562</v>
      </c>
      <c r="D298" s="669">
        <v>1944</v>
      </c>
    </row>
    <row r="299" spans="1:4" s="23" customFormat="1" ht="38.25" x14ac:dyDescent="0.25">
      <c r="A299" s="667">
        <v>291</v>
      </c>
      <c r="B299" s="668" t="s">
        <v>2563</v>
      </c>
      <c r="C299" s="885" t="s">
        <v>2564</v>
      </c>
      <c r="D299" s="669">
        <v>7800</v>
      </c>
    </row>
    <row r="300" spans="1:4" s="23" customFormat="1" ht="38.25" x14ac:dyDescent="0.25">
      <c r="A300" s="667">
        <v>292</v>
      </c>
      <c r="B300" s="668" t="s">
        <v>2565</v>
      </c>
      <c r="C300" s="885" t="s">
        <v>2564</v>
      </c>
      <c r="D300" s="669">
        <v>7800</v>
      </c>
    </row>
    <row r="301" spans="1:4" s="23" customFormat="1" ht="22.5" customHeight="1" x14ac:dyDescent="0.25">
      <c r="A301" s="667">
        <v>293</v>
      </c>
      <c r="B301" s="668" t="s">
        <v>2566</v>
      </c>
      <c r="C301" s="885" t="s">
        <v>2567</v>
      </c>
      <c r="D301" s="669">
        <v>15300</v>
      </c>
    </row>
    <row r="302" spans="1:4" s="23" customFormat="1" ht="22.5" customHeight="1" x14ac:dyDescent="0.25">
      <c r="A302" s="667">
        <v>294</v>
      </c>
      <c r="B302" s="668" t="s">
        <v>2568</v>
      </c>
      <c r="C302" s="885" t="s">
        <v>2567</v>
      </c>
      <c r="D302" s="669">
        <v>15300</v>
      </c>
    </row>
    <row r="303" spans="1:4" s="23" customFormat="1" ht="22.5" customHeight="1" x14ac:dyDescent="0.25">
      <c r="A303" s="667">
        <v>295</v>
      </c>
      <c r="B303" s="668" t="s">
        <v>2569</v>
      </c>
      <c r="C303" s="885" t="s">
        <v>2570</v>
      </c>
      <c r="D303" s="669">
        <v>6800</v>
      </c>
    </row>
    <row r="304" spans="1:4" s="23" customFormat="1" ht="22.5" customHeight="1" x14ac:dyDescent="0.25">
      <c r="A304" s="667">
        <v>296</v>
      </c>
      <c r="B304" s="668" t="s">
        <v>2571</v>
      </c>
      <c r="C304" s="885" t="s">
        <v>2572</v>
      </c>
      <c r="D304" s="669">
        <v>5690</v>
      </c>
    </row>
    <row r="305" spans="1:4" s="23" customFormat="1" ht="22.5" customHeight="1" x14ac:dyDescent="0.25">
      <c r="A305" s="667">
        <v>297</v>
      </c>
      <c r="B305" s="668" t="s">
        <v>2573</v>
      </c>
      <c r="C305" s="885" t="s">
        <v>2482</v>
      </c>
      <c r="D305" s="669">
        <v>2490</v>
      </c>
    </row>
    <row r="306" spans="1:4" s="23" customFormat="1" ht="22.5" customHeight="1" x14ac:dyDescent="0.25">
      <c r="A306" s="667">
        <v>298</v>
      </c>
      <c r="B306" s="668" t="s">
        <v>2574</v>
      </c>
      <c r="C306" s="885" t="s">
        <v>2575</v>
      </c>
      <c r="D306" s="669">
        <v>5104</v>
      </c>
    </row>
    <row r="307" spans="1:4" s="23" customFormat="1" ht="22.5" customHeight="1" x14ac:dyDescent="0.25">
      <c r="A307" s="667">
        <v>299</v>
      </c>
      <c r="B307" s="668" t="s">
        <v>2576</v>
      </c>
      <c r="C307" s="885" t="s">
        <v>2575</v>
      </c>
      <c r="D307" s="669">
        <v>5104</v>
      </c>
    </row>
    <row r="308" spans="1:4" s="23" customFormat="1" ht="22.5" customHeight="1" x14ac:dyDescent="0.25">
      <c r="A308" s="667">
        <v>300</v>
      </c>
      <c r="B308" s="668" t="s">
        <v>2577</v>
      </c>
      <c r="C308" s="885" t="s">
        <v>2447</v>
      </c>
      <c r="D308" s="669">
        <v>4464</v>
      </c>
    </row>
    <row r="309" spans="1:4" s="23" customFormat="1" ht="22.5" customHeight="1" x14ac:dyDescent="0.25">
      <c r="A309" s="667">
        <v>301</v>
      </c>
      <c r="B309" s="668" t="s">
        <v>2578</v>
      </c>
      <c r="C309" s="885" t="s">
        <v>2579</v>
      </c>
      <c r="D309" s="669">
        <v>33900</v>
      </c>
    </row>
    <row r="310" spans="1:4" s="23" customFormat="1" ht="22.5" customHeight="1" x14ac:dyDescent="0.25">
      <c r="A310" s="667">
        <v>302</v>
      </c>
      <c r="B310" s="668" t="s">
        <v>2580</v>
      </c>
      <c r="C310" s="885" t="s">
        <v>2581</v>
      </c>
      <c r="D310" s="669">
        <v>5300</v>
      </c>
    </row>
    <row r="311" spans="1:4" s="23" customFormat="1" ht="22.5" customHeight="1" x14ac:dyDescent="0.25">
      <c r="A311" s="667">
        <v>303</v>
      </c>
      <c r="B311" s="668" t="s">
        <v>2582</v>
      </c>
      <c r="C311" s="885" t="s">
        <v>2583</v>
      </c>
      <c r="D311" s="669">
        <v>1637.84</v>
      </c>
    </row>
    <row r="312" spans="1:4" s="23" customFormat="1" ht="22.5" customHeight="1" x14ac:dyDescent="0.25">
      <c r="A312" s="667">
        <v>304</v>
      </c>
      <c r="B312" s="668" t="s">
        <v>2584</v>
      </c>
      <c r="C312" s="885" t="s">
        <v>2282</v>
      </c>
      <c r="D312" s="669">
        <v>1045</v>
      </c>
    </row>
    <row r="313" spans="1:4" s="23" customFormat="1" ht="76.5" x14ac:dyDescent="0.25">
      <c r="A313" s="667">
        <v>305</v>
      </c>
      <c r="B313" s="668" t="s">
        <v>2585</v>
      </c>
      <c r="C313" s="885" t="s">
        <v>2586</v>
      </c>
      <c r="D313" s="669">
        <v>2520</v>
      </c>
    </row>
    <row r="314" spans="1:4" s="23" customFormat="1" ht="89.25" x14ac:dyDescent="0.25">
      <c r="A314" s="667">
        <v>306</v>
      </c>
      <c r="B314" s="668" t="s">
        <v>2587</v>
      </c>
      <c r="C314" s="885" t="s">
        <v>2588</v>
      </c>
      <c r="D314" s="669">
        <v>2420</v>
      </c>
    </row>
    <row r="315" spans="1:4" s="23" customFormat="1" ht="38.25" x14ac:dyDescent="0.25">
      <c r="A315" s="667">
        <v>307</v>
      </c>
      <c r="B315" s="668" t="s">
        <v>2589</v>
      </c>
      <c r="C315" s="885" t="s">
        <v>2338</v>
      </c>
      <c r="D315" s="669">
        <v>1322</v>
      </c>
    </row>
    <row r="316" spans="1:4" s="23" customFormat="1" ht="38.25" x14ac:dyDescent="0.25">
      <c r="A316" s="667">
        <v>308</v>
      </c>
      <c r="B316" s="668" t="s">
        <v>2590</v>
      </c>
      <c r="C316" s="885" t="s">
        <v>2591</v>
      </c>
      <c r="D316" s="669">
        <v>4667</v>
      </c>
    </row>
    <row r="317" spans="1:4" s="23" customFormat="1" ht="38.25" x14ac:dyDescent="0.25">
      <c r="A317" s="667">
        <v>309</v>
      </c>
      <c r="B317" s="668" t="s">
        <v>2592</v>
      </c>
      <c r="C317" s="885" t="s">
        <v>2593</v>
      </c>
      <c r="D317" s="669">
        <v>4667</v>
      </c>
    </row>
    <row r="318" spans="1:4" s="23" customFormat="1" ht="22.5" customHeight="1" x14ac:dyDescent="0.25">
      <c r="A318" s="667">
        <v>310</v>
      </c>
      <c r="B318" s="668" t="s">
        <v>2594</v>
      </c>
      <c r="C318" s="885" t="s">
        <v>2319</v>
      </c>
      <c r="D318" s="669">
        <v>1322</v>
      </c>
    </row>
    <row r="319" spans="1:4" s="23" customFormat="1" ht="22.5" customHeight="1" x14ac:dyDescent="0.25">
      <c r="A319" s="667">
        <v>311</v>
      </c>
      <c r="B319" s="668" t="s">
        <v>2595</v>
      </c>
      <c r="C319" s="885" t="s">
        <v>2300</v>
      </c>
      <c r="D319" s="669">
        <v>1450</v>
      </c>
    </row>
    <row r="320" spans="1:4" s="23" customFormat="1" ht="22.5" customHeight="1" x14ac:dyDescent="0.25">
      <c r="A320" s="667">
        <v>312</v>
      </c>
      <c r="B320" s="668" t="s">
        <v>2596</v>
      </c>
      <c r="C320" s="885" t="s">
        <v>2597</v>
      </c>
      <c r="D320" s="669">
        <v>1624</v>
      </c>
    </row>
    <row r="321" spans="1:4" s="23" customFormat="1" ht="22.5" customHeight="1" x14ac:dyDescent="0.25">
      <c r="A321" s="667">
        <v>313</v>
      </c>
      <c r="B321" s="668" t="s">
        <v>2598</v>
      </c>
      <c r="C321" s="885" t="s">
        <v>2352</v>
      </c>
      <c r="D321" s="669">
        <v>1450</v>
      </c>
    </row>
    <row r="322" spans="1:4" s="23" customFormat="1" ht="22.5" customHeight="1" x14ac:dyDescent="0.25">
      <c r="A322" s="667">
        <v>314</v>
      </c>
      <c r="B322" s="668" t="s">
        <v>2599</v>
      </c>
      <c r="C322" s="885" t="s">
        <v>2600</v>
      </c>
      <c r="D322" s="669">
        <v>4667</v>
      </c>
    </row>
    <row r="323" spans="1:4" s="23" customFormat="1" ht="22.5" customHeight="1" x14ac:dyDescent="0.25">
      <c r="A323" s="667">
        <v>315</v>
      </c>
      <c r="B323" s="668" t="s">
        <v>2601</v>
      </c>
      <c r="C323" s="885" t="s">
        <v>2602</v>
      </c>
      <c r="D323" s="669">
        <v>2320</v>
      </c>
    </row>
    <row r="324" spans="1:4" s="23" customFormat="1" ht="22.5" customHeight="1" x14ac:dyDescent="0.25">
      <c r="A324" s="667">
        <v>316</v>
      </c>
      <c r="B324" s="668" t="s">
        <v>2603</v>
      </c>
      <c r="C324" s="885" t="s">
        <v>2602</v>
      </c>
      <c r="D324" s="669">
        <v>2320</v>
      </c>
    </row>
    <row r="325" spans="1:4" s="23" customFormat="1" ht="38.25" x14ac:dyDescent="0.25">
      <c r="A325" s="667">
        <v>317</v>
      </c>
      <c r="B325" s="668" t="s">
        <v>2604</v>
      </c>
      <c r="C325" s="885" t="s">
        <v>2300</v>
      </c>
      <c r="D325" s="669">
        <v>1450</v>
      </c>
    </row>
    <row r="326" spans="1:4" s="23" customFormat="1" ht="22.5" customHeight="1" x14ac:dyDescent="0.25">
      <c r="A326" s="667">
        <v>318</v>
      </c>
      <c r="B326" s="668" t="s">
        <v>2605</v>
      </c>
      <c r="C326" s="885" t="s">
        <v>2606</v>
      </c>
      <c r="D326" s="669">
        <v>2900.87</v>
      </c>
    </row>
    <row r="327" spans="1:4" s="23" customFormat="1" ht="22.5" customHeight="1" x14ac:dyDescent="0.25">
      <c r="A327" s="667">
        <v>319</v>
      </c>
      <c r="B327" s="668" t="s">
        <v>2607</v>
      </c>
      <c r="C327" s="885" t="s">
        <v>2608</v>
      </c>
      <c r="D327" s="669">
        <v>350</v>
      </c>
    </row>
    <row r="328" spans="1:4" s="23" customFormat="1" ht="38.25" x14ac:dyDescent="0.25">
      <c r="A328" s="667">
        <v>320</v>
      </c>
      <c r="B328" s="668" t="s">
        <v>2609</v>
      </c>
      <c r="C328" s="885" t="s">
        <v>2300</v>
      </c>
      <c r="D328" s="669">
        <v>1450</v>
      </c>
    </row>
    <row r="329" spans="1:4" s="23" customFormat="1" ht="102" x14ac:dyDescent="0.25">
      <c r="A329" s="667">
        <v>321</v>
      </c>
      <c r="B329" s="668" t="s">
        <v>2610</v>
      </c>
      <c r="C329" s="885" t="s">
        <v>2611</v>
      </c>
      <c r="D329" s="669">
        <v>6093.85</v>
      </c>
    </row>
    <row r="330" spans="1:4" s="23" customFormat="1" ht="22.5" customHeight="1" x14ac:dyDescent="0.25">
      <c r="A330" s="667">
        <v>322</v>
      </c>
      <c r="B330" s="668" t="s">
        <v>2612</v>
      </c>
      <c r="C330" s="885" t="s">
        <v>2613</v>
      </c>
      <c r="D330" s="669">
        <v>3550</v>
      </c>
    </row>
    <row r="331" spans="1:4" s="23" customFormat="1" ht="38.25" x14ac:dyDescent="0.25">
      <c r="A331" s="667">
        <v>323</v>
      </c>
      <c r="B331" s="668" t="s">
        <v>2614</v>
      </c>
      <c r="C331" s="885" t="s">
        <v>2300</v>
      </c>
      <c r="D331" s="669">
        <v>1450</v>
      </c>
    </row>
    <row r="332" spans="1:4" s="23" customFormat="1" ht="22.5" customHeight="1" x14ac:dyDescent="0.25">
      <c r="A332" s="667">
        <v>324</v>
      </c>
      <c r="B332" s="668" t="s">
        <v>2615</v>
      </c>
      <c r="C332" s="885" t="s">
        <v>2616</v>
      </c>
      <c r="D332" s="669">
        <v>4300</v>
      </c>
    </row>
    <row r="333" spans="1:4" s="23" customFormat="1" ht="25.5" x14ac:dyDescent="0.25">
      <c r="A333" s="667">
        <v>325</v>
      </c>
      <c r="B333" s="668" t="s">
        <v>2617</v>
      </c>
      <c r="C333" s="885" t="s">
        <v>2618</v>
      </c>
      <c r="D333" s="669">
        <v>1322</v>
      </c>
    </row>
    <row r="334" spans="1:4" s="23" customFormat="1" ht="38.25" x14ac:dyDescent="0.25">
      <c r="A334" s="667">
        <v>326</v>
      </c>
      <c r="B334" s="668" t="s">
        <v>2619</v>
      </c>
      <c r="C334" s="885" t="s">
        <v>2620</v>
      </c>
      <c r="D334" s="669">
        <v>2810</v>
      </c>
    </row>
    <row r="335" spans="1:4" s="23" customFormat="1" ht="38.25" x14ac:dyDescent="0.25">
      <c r="A335" s="667">
        <v>327</v>
      </c>
      <c r="B335" s="668" t="s">
        <v>2621</v>
      </c>
      <c r="C335" s="885" t="s">
        <v>2300</v>
      </c>
      <c r="D335" s="669">
        <v>1450</v>
      </c>
    </row>
    <row r="336" spans="1:4" s="23" customFormat="1" ht="76.5" x14ac:dyDescent="0.25">
      <c r="A336" s="667">
        <v>328</v>
      </c>
      <c r="B336" s="668" t="s">
        <v>2622</v>
      </c>
      <c r="C336" s="885" t="s">
        <v>2623</v>
      </c>
      <c r="D336" s="669">
        <v>4667</v>
      </c>
    </row>
    <row r="337" spans="1:4" s="23" customFormat="1" ht="51" x14ac:dyDescent="0.25">
      <c r="A337" s="667">
        <v>329</v>
      </c>
      <c r="B337" s="668" t="s">
        <v>2624</v>
      </c>
      <c r="C337" s="885" t="s">
        <v>2625</v>
      </c>
      <c r="D337" s="669">
        <v>3390</v>
      </c>
    </row>
    <row r="338" spans="1:4" s="23" customFormat="1" ht="38.25" x14ac:dyDescent="0.25">
      <c r="A338" s="667">
        <v>330</v>
      </c>
      <c r="B338" s="668" t="s">
        <v>2626</v>
      </c>
      <c r="C338" s="885" t="s">
        <v>2602</v>
      </c>
      <c r="D338" s="669">
        <v>2320</v>
      </c>
    </row>
    <row r="339" spans="1:4" s="23" customFormat="1" ht="25.5" x14ac:dyDescent="0.25">
      <c r="A339" s="667">
        <v>331</v>
      </c>
      <c r="B339" s="668" t="s">
        <v>2627</v>
      </c>
      <c r="C339" s="885" t="s">
        <v>2628</v>
      </c>
      <c r="D339" s="669">
        <v>1322</v>
      </c>
    </row>
    <row r="340" spans="1:4" s="23" customFormat="1" ht="76.5" x14ac:dyDescent="0.25">
      <c r="A340" s="667">
        <v>332</v>
      </c>
      <c r="B340" s="668" t="s">
        <v>2629</v>
      </c>
      <c r="C340" s="885" t="s">
        <v>2377</v>
      </c>
      <c r="D340" s="669">
        <v>5415</v>
      </c>
    </row>
    <row r="341" spans="1:4" s="23" customFormat="1" ht="38.25" x14ac:dyDescent="0.25">
      <c r="A341" s="667">
        <v>333</v>
      </c>
      <c r="B341" s="668" t="s">
        <v>2630</v>
      </c>
      <c r="C341" s="885" t="s">
        <v>2496</v>
      </c>
      <c r="D341" s="669">
        <v>500</v>
      </c>
    </row>
    <row r="342" spans="1:4" s="23" customFormat="1" ht="22.5" customHeight="1" x14ac:dyDescent="0.25">
      <c r="A342" s="667">
        <v>334</v>
      </c>
      <c r="B342" s="668" t="s">
        <v>2631</v>
      </c>
      <c r="C342" s="885" t="s">
        <v>2632</v>
      </c>
      <c r="D342" s="669">
        <v>2383</v>
      </c>
    </row>
    <row r="343" spans="1:4" s="23" customFormat="1" ht="22.5" customHeight="1" x14ac:dyDescent="0.25">
      <c r="A343" s="667">
        <v>335</v>
      </c>
      <c r="B343" s="668" t="s">
        <v>2633</v>
      </c>
      <c r="C343" s="885" t="s">
        <v>2632</v>
      </c>
      <c r="D343" s="669">
        <v>2383</v>
      </c>
    </row>
    <row r="344" spans="1:4" s="23" customFormat="1" ht="22.5" customHeight="1" x14ac:dyDescent="0.25">
      <c r="A344" s="667">
        <v>336</v>
      </c>
      <c r="B344" s="668" t="s">
        <v>2634</v>
      </c>
      <c r="C344" s="885" t="s">
        <v>2635</v>
      </c>
      <c r="D344" s="669">
        <v>2733</v>
      </c>
    </row>
    <row r="345" spans="1:4" s="23" customFormat="1" ht="22.5" customHeight="1" x14ac:dyDescent="0.25">
      <c r="A345" s="667">
        <v>337</v>
      </c>
      <c r="B345" s="668" t="s">
        <v>2636</v>
      </c>
      <c r="C345" s="885" t="s">
        <v>2637</v>
      </c>
      <c r="D345" s="669">
        <v>1499</v>
      </c>
    </row>
    <row r="346" spans="1:4" s="23" customFormat="1" ht="38.25" x14ac:dyDescent="0.25">
      <c r="A346" s="667">
        <v>338</v>
      </c>
      <c r="B346" s="668" t="s">
        <v>2638</v>
      </c>
      <c r="C346" s="885" t="s">
        <v>2300</v>
      </c>
      <c r="D346" s="669">
        <v>1450</v>
      </c>
    </row>
    <row r="347" spans="1:4" s="23" customFormat="1" ht="76.5" x14ac:dyDescent="0.25">
      <c r="A347" s="667">
        <v>339</v>
      </c>
      <c r="B347" s="668" t="s">
        <v>2639</v>
      </c>
      <c r="C347" s="885" t="s">
        <v>2377</v>
      </c>
      <c r="D347" s="669">
        <v>5415</v>
      </c>
    </row>
    <row r="348" spans="1:4" s="23" customFormat="1" ht="38.25" x14ac:dyDescent="0.25">
      <c r="A348" s="667">
        <v>340</v>
      </c>
      <c r="B348" s="668" t="s">
        <v>2640</v>
      </c>
      <c r="C348" s="885" t="s">
        <v>2641</v>
      </c>
      <c r="D348" s="669">
        <v>3300</v>
      </c>
    </row>
    <row r="349" spans="1:4" s="23" customFormat="1" ht="63.75" x14ac:dyDescent="0.25">
      <c r="A349" s="667">
        <v>341</v>
      </c>
      <c r="B349" s="668" t="s">
        <v>2642</v>
      </c>
      <c r="C349" s="885" t="s">
        <v>2282</v>
      </c>
      <c r="D349" s="669">
        <v>1045</v>
      </c>
    </row>
    <row r="350" spans="1:4" s="23" customFormat="1" ht="25.5" x14ac:dyDescent="0.25">
      <c r="A350" s="667">
        <v>342</v>
      </c>
      <c r="B350" s="668" t="s">
        <v>2643</v>
      </c>
      <c r="C350" s="885" t="s">
        <v>2357</v>
      </c>
      <c r="D350" s="669">
        <v>1322</v>
      </c>
    </row>
    <row r="351" spans="1:4" s="23" customFormat="1" ht="38.25" x14ac:dyDescent="0.25">
      <c r="A351" s="667">
        <v>343</v>
      </c>
      <c r="B351" s="668" t="s">
        <v>2644</v>
      </c>
      <c r="C351" s="885" t="s">
        <v>2300</v>
      </c>
      <c r="D351" s="669">
        <v>1450</v>
      </c>
    </row>
    <row r="352" spans="1:4" s="23" customFormat="1" ht="76.5" x14ac:dyDescent="0.25">
      <c r="A352" s="667">
        <v>344</v>
      </c>
      <c r="B352" s="668" t="s">
        <v>2645</v>
      </c>
      <c r="C352" s="885" t="s">
        <v>2377</v>
      </c>
      <c r="D352" s="669">
        <v>5415</v>
      </c>
    </row>
    <row r="353" spans="1:4" s="23" customFormat="1" ht="22.5" customHeight="1" x14ac:dyDescent="0.25">
      <c r="A353" s="667">
        <v>345</v>
      </c>
      <c r="B353" s="668" t="s">
        <v>2646</v>
      </c>
      <c r="C353" s="885" t="s">
        <v>2647</v>
      </c>
      <c r="D353" s="669">
        <v>2383.98</v>
      </c>
    </row>
    <row r="354" spans="1:4" s="23" customFormat="1" ht="38.25" x14ac:dyDescent="0.25">
      <c r="A354" s="667">
        <v>346</v>
      </c>
      <c r="B354" s="668" t="s">
        <v>2648</v>
      </c>
      <c r="C354" s="885" t="s">
        <v>2319</v>
      </c>
      <c r="D354" s="669">
        <v>1322</v>
      </c>
    </row>
    <row r="355" spans="1:4" s="23" customFormat="1" ht="22.5" customHeight="1" x14ac:dyDescent="0.25">
      <c r="A355" s="667">
        <v>347</v>
      </c>
      <c r="B355" s="668" t="s">
        <v>2649</v>
      </c>
      <c r="C355" s="885" t="s">
        <v>2650</v>
      </c>
      <c r="D355" s="669">
        <v>5274</v>
      </c>
    </row>
    <row r="356" spans="1:4" s="23" customFormat="1" ht="22.5" customHeight="1" x14ac:dyDescent="0.25">
      <c r="A356" s="667">
        <v>348</v>
      </c>
      <c r="B356" s="668" t="s">
        <v>2651</v>
      </c>
      <c r="C356" s="885" t="s">
        <v>2652</v>
      </c>
      <c r="D356" s="669">
        <v>9522</v>
      </c>
    </row>
    <row r="357" spans="1:4" s="23" customFormat="1" ht="38.25" x14ac:dyDescent="0.25">
      <c r="A357" s="667">
        <v>349</v>
      </c>
      <c r="B357" s="668" t="s">
        <v>2653</v>
      </c>
      <c r="C357" s="885" t="s">
        <v>2300</v>
      </c>
      <c r="D357" s="669">
        <v>1450</v>
      </c>
    </row>
    <row r="358" spans="1:4" s="23" customFormat="1" ht="63.75" x14ac:dyDescent="0.25">
      <c r="A358" s="667">
        <v>350</v>
      </c>
      <c r="B358" s="668" t="s">
        <v>2654</v>
      </c>
      <c r="C358" s="885" t="s">
        <v>2282</v>
      </c>
      <c r="D358" s="669">
        <v>1045</v>
      </c>
    </row>
    <row r="359" spans="1:4" s="23" customFormat="1" ht="38.25" x14ac:dyDescent="0.25">
      <c r="A359" s="667">
        <v>351</v>
      </c>
      <c r="B359" s="668" t="s">
        <v>2655</v>
      </c>
      <c r="C359" s="885" t="s">
        <v>2656</v>
      </c>
      <c r="D359" s="669">
        <v>6195</v>
      </c>
    </row>
    <row r="360" spans="1:4" s="23" customFormat="1" ht="38.25" x14ac:dyDescent="0.25">
      <c r="A360" s="667">
        <v>352</v>
      </c>
      <c r="B360" s="668" t="s">
        <v>2657</v>
      </c>
      <c r="C360" s="885" t="s">
        <v>2658</v>
      </c>
      <c r="D360" s="669">
        <v>1322</v>
      </c>
    </row>
    <row r="361" spans="1:4" s="23" customFormat="1" ht="22.5" customHeight="1" x14ac:dyDescent="0.25">
      <c r="A361" s="667">
        <v>353</v>
      </c>
      <c r="B361" s="668" t="s">
        <v>2659</v>
      </c>
      <c r="C361" s="885" t="s">
        <v>2660</v>
      </c>
      <c r="D361" s="669">
        <v>9400</v>
      </c>
    </row>
    <row r="362" spans="1:4" s="23" customFormat="1" ht="22.5" customHeight="1" x14ac:dyDescent="0.25">
      <c r="A362" s="667">
        <v>354</v>
      </c>
      <c r="B362" s="668" t="s">
        <v>2661</v>
      </c>
      <c r="C362" s="885" t="s">
        <v>2662</v>
      </c>
      <c r="D362" s="669">
        <v>5200</v>
      </c>
    </row>
    <row r="363" spans="1:4" s="23" customFormat="1" ht="38.25" x14ac:dyDescent="0.25">
      <c r="A363" s="667">
        <v>355</v>
      </c>
      <c r="B363" s="668" t="s">
        <v>2663</v>
      </c>
      <c r="C363" s="885" t="s">
        <v>2664</v>
      </c>
      <c r="D363" s="669">
        <v>1385</v>
      </c>
    </row>
    <row r="364" spans="1:4" s="23" customFormat="1" ht="38.25" x14ac:dyDescent="0.25">
      <c r="A364" s="667">
        <v>356</v>
      </c>
      <c r="B364" s="668" t="s">
        <v>2665</v>
      </c>
      <c r="C364" s="885" t="s">
        <v>2666</v>
      </c>
      <c r="D364" s="669">
        <v>1300</v>
      </c>
    </row>
    <row r="365" spans="1:4" s="23" customFormat="1" ht="38.25" x14ac:dyDescent="0.25">
      <c r="A365" s="667">
        <v>357</v>
      </c>
      <c r="B365" s="668" t="s">
        <v>2667</v>
      </c>
      <c r="C365" s="885" t="s">
        <v>2666</v>
      </c>
      <c r="D365" s="669">
        <v>1300</v>
      </c>
    </row>
    <row r="366" spans="1:4" s="23" customFormat="1" ht="51" x14ac:dyDescent="0.25">
      <c r="A366" s="667">
        <v>358</v>
      </c>
      <c r="B366" s="668" t="s">
        <v>2668</v>
      </c>
      <c r="C366" s="885" t="s">
        <v>2669</v>
      </c>
      <c r="D366" s="669">
        <v>6990</v>
      </c>
    </row>
    <row r="367" spans="1:4" s="23" customFormat="1" ht="22.5" customHeight="1" x14ac:dyDescent="0.25">
      <c r="A367" s="667">
        <v>359</v>
      </c>
      <c r="B367" s="668" t="s">
        <v>2670</v>
      </c>
      <c r="C367" s="885" t="s">
        <v>2671</v>
      </c>
      <c r="D367" s="669">
        <v>1200</v>
      </c>
    </row>
    <row r="368" spans="1:4" s="23" customFormat="1" ht="22.5" customHeight="1" x14ac:dyDescent="0.25">
      <c r="A368" s="667">
        <v>360</v>
      </c>
      <c r="B368" s="668" t="s">
        <v>2672</v>
      </c>
      <c r="C368" s="885" t="s">
        <v>2673</v>
      </c>
      <c r="D368" s="669">
        <v>5274</v>
      </c>
    </row>
    <row r="369" spans="1:4" s="23" customFormat="1" ht="22.5" customHeight="1" x14ac:dyDescent="0.25">
      <c r="A369" s="667">
        <v>361</v>
      </c>
      <c r="B369" s="668" t="s">
        <v>2674</v>
      </c>
      <c r="C369" s="885" t="s">
        <v>2392</v>
      </c>
      <c r="D369" s="669">
        <v>2154.33</v>
      </c>
    </row>
    <row r="370" spans="1:4" s="23" customFormat="1" ht="25.5" x14ac:dyDescent="0.25">
      <c r="A370" s="667">
        <v>362</v>
      </c>
      <c r="B370" s="668" t="s">
        <v>2675</v>
      </c>
      <c r="C370" s="885" t="s">
        <v>2676</v>
      </c>
      <c r="D370" s="669">
        <v>1322</v>
      </c>
    </row>
    <row r="371" spans="1:4" s="23" customFormat="1" ht="38.25" x14ac:dyDescent="0.25">
      <c r="A371" s="667">
        <v>363</v>
      </c>
      <c r="B371" s="668" t="s">
        <v>2677</v>
      </c>
      <c r="C371" s="885" t="s">
        <v>2678</v>
      </c>
      <c r="D371" s="669">
        <v>4334</v>
      </c>
    </row>
    <row r="372" spans="1:4" s="23" customFormat="1" ht="38.25" x14ac:dyDescent="0.25">
      <c r="A372" s="667">
        <v>364</v>
      </c>
      <c r="B372" s="668" t="s">
        <v>2679</v>
      </c>
      <c r="C372" s="885" t="s">
        <v>2680</v>
      </c>
      <c r="D372" s="669">
        <v>4667</v>
      </c>
    </row>
    <row r="373" spans="1:4" s="23" customFormat="1" ht="38.25" x14ac:dyDescent="0.25">
      <c r="A373" s="667">
        <v>365</v>
      </c>
      <c r="B373" s="668" t="s">
        <v>2681</v>
      </c>
      <c r="C373" s="885" t="s">
        <v>2682</v>
      </c>
      <c r="D373" s="669">
        <v>2660</v>
      </c>
    </row>
    <row r="374" spans="1:4" s="23" customFormat="1" ht="25.5" x14ac:dyDescent="0.25">
      <c r="A374" s="667">
        <v>366</v>
      </c>
      <c r="B374" s="668" t="s">
        <v>2683</v>
      </c>
      <c r="C374" s="885" t="s">
        <v>2421</v>
      </c>
      <c r="D374" s="669">
        <v>1624</v>
      </c>
    </row>
    <row r="375" spans="1:4" s="23" customFormat="1" ht="25.5" x14ac:dyDescent="0.25">
      <c r="A375" s="667">
        <v>367</v>
      </c>
      <c r="B375" s="668" t="s">
        <v>2684</v>
      </c>
      <c r="C375" s="885" t="s">
        <v>2685</v>
      </c>
      <c r="D375" s="669">
        <v>1455</v>
      </c>
    </row>
    <row r="376" spans="1:4" s="23" customFormat="1" ht="38.25" x14ac:dyDescent="0.25">
      <c r="A376" s="667">
        <v>368</v>
      </c>
      <c r="B376" s="668" t="s">
        <v>2686</v>
      </c>
      <c r="C376" s="885" t="s">
        <v>2687</v>
      </c>
      <c r="D376" s="669">
        <v>1624</v>
      </c>
    </row>
    <row r="377" spans="1:4" s="23" customFormat="1" ht="25.5" x14ac:dyDescent="0.25">
      <c r="A377" s="667">
        <v>369</v>
      </c>
      <c r="B377" s="668" t="s">
        <v>2688</v>
      </c>
      <c r="C377" s="885" t="s">
        <v>2689</v>
      </c>
      <c r="D377" s="669">
        <v>5282</v>
      </c>
    </row>
    <row r="378" spans="1:4" s="23" customFormat="1" ht="25.5" x14ac:dyDescent="0.25">
      <c r="A378" s="667">
        <v>370</v>
      </c>
      <c r="B378" s="668" t="s">
        <v>2690</v>
      </c>
      <c r="C378" s="885" t="s">
        <v>2691</v>
      </c>
      <c r="D378" s="669">
        <v>6107</v>
      </c>
    </row>
    <row r="379" spans="1:4" s="23" customFormat="1" ht="25.5" x14ac:dyDescent="0.25">
      <c r="A379" s="667">
        <v>371</v>
      </c>
      <c r="B379" s="668" t="s">
        <v>2692</v>
      </c>
      <c r="C379" s="885" t="s">
        <v>2693</v>
      </c>
      <c r="D379" s="669">
        <v>1624</v>
      </c>
    </row>
    <row r="380" spans="1:4" s="23" customFormat="1" ht="25.5" x14ac:dyDescent="0.25">
      <c r="A380" s="667">
        <v>372</v>
      </c>
      <c r="B380" s="668" t="s">
        <v>2694</v>
      </c>
      <c r="C380" s="885" t="s">
        <v>2695</v>
      </c>
      <c r="D380" s="669">
        <v>1624</v>
      </c>
    </row>
    <row r="381" spans="1:4" s="23" customFormat="1" x14ac:dyDescent="0.25">
      <c r="A381" s="667">
        <v>373</v>
      </c>
      <c r="B381" s="668" t="s">
        <v>2696</v>
      </c>
      <c r="C381" s="885" t="s">
        <v>2697</v>
      </c>
      <c r="D381" s="669">
        <v>870.01</v>
      </c>
    </row>
    <row r="382" spans="1:4" s="23" customFormat="1" ht="38.25" x14ac:dyDescent="0.25">
      <c r="A382" s="667">
        <v>374</v>
      </c>
      <c r="B382" s="668" t="s">
        <v>2698</v>
      </c>
      <c r="C382" s="885" t="s">
        <v>2699</v>
      </c>
      <c r="D382" s="669">
        <v>2660</v>
      </c>
    </row>
    <row r="383" spans="1:4" s="23" customFormat="1" ht="38.25" x14ac:dyDescent="0.25">
      <c r="A383" s="667">
        <v>375</v>
      </c>
      <c r="B383" s="668" t="s">
        <v>2700</v>
      </c>
      <c r="C383" s="885" t="s">
        <v>2701</v>
      </c>
      <c r="D383" s="669">
        <v>4741.38</v>
      </c>
    </row>
    <row r="384" spans="1:4" s="23" customFormat="1" ht="38.25" x14ac:dyDescent="0.25">
      <c r="A384" s="667">
        <v>376</v>
      </c>
      <c r="B384" s="668" t="s">
        <v>2702</v>
      </c>
      <c r="C384" s="885" t="s">
        <v>2703</v>
      </c>
      <c r="D384" s="669">
        <v>4741.38</v>
      </c>
    </row>
    <row r="385" spans="1:4" s="23" customFormat="1" x14ac:dyDescent="0.25">
      <c r="A385" s="667">
        <v>377</v>
      </c>
      <c r="B385" s="668" t="s">
        <v>2704</v>
      </c>
      <c r="C385" s="885" t="s">
        <v>2705</v>
      </c>
      <c r="D385" s="669">
        <v>3300.5</v>
      </c>
    </row>
    <row r="386" spans="1:4" s="23" customFormat="1" x14ac:dyDescent="0.25">
      <c r="A386" s="667">
        <v>378</v>
      </c>
      <c r="B386" s="668" t="s">
        <v>2706</v>
      </c>
      <c r="C386" s="885" t="s">
        <v>2705</v>
      </c>
      <c r="D386" s="669">
        <v>3300.5</v>
      </c>
    </row>
    <row r="387" spans="1:4" s="23" customFormat="1" x14ac:dyDescent="0.25">
      <c r="A387" s="667">
        <v>379</v>
      </c>
      <c r="B387" s="668" t="s">
        <v>2707</v>
      </c>
      <c r="C387" s="885" t="s">
        <v>2408</v>
      </c>
      <c r="D387" s="669">
        <v>3820</v>
      </c>
    </row>
    <row r="388" spans="1:4" s="23" customFormat="1" x14ac:dyDescent="0.25">
      <c r="A388" s="667">
        <v>380</v>
      </c>
      <c r="B388" s="668" t="s">
        <v>2708</v>
      </c>
      <c r="C388" s="885" t="s">
        <v>2709</v>
      </c>
      <c r="D388" s="669">
        <v>836</v>
      </c>
    </row>
    <row r="389" spans="1:4" s="23" customFormat="1" ht="25.5" x14ac:dyDescent="0.25">
      <c r="A389" s="667">
        <v>381</v>
      </c>
      <c r="B389" s="668" t="s">
        <v>2710</v>
      </c>
      <c r="C389" s="885" t="s">
        <v>2711</v>
      </c>
      <c r="D389" s="669">
        <v>8050</v>
      </c>
    </row>
    <row r="390" spans="1:4" s="23" customFormat="1" ht="25.5" x14ac:dyDescent="0.25">
      <c r="A390" s="667">
        <v>382</v>
      </c>
      <c r="B390" s="668" t="s">
        <v>2712</v>
      </c>
      <c r="C390" s="885" t="s">
        <v>2713</v>
      </c>
      <c r="D390" s="669">
        <v>6100</v>
      </c>
    </row>
    <row r="391" spans="1:4" s="23" customFormat="1" ht="25.5" x14ac:dyDescent="0.25">
      <c r="A391" s="667">
        <v>383</v>
      </c>
      <c r="B391" s="668" t="s">
        <v>2714</v>
      </c>
      <c r="C391" s="885" t="s">
        <v>2715</v>
      </c>
      <c r="D391" s="669">
        <v>6100</v>
      </c>
    </row>
    <row r="392" spans="1:4" s="23" customFormat="1" ht="38.25" x14ac:dyDescent="0.25">
      <c r="A392" s="667">
        <v>384</v>
      </c>
      <c r="B392" s="668" t="s">
        <v>2716</v>
      </c>
      <c r="C392" s="885" t="s">
        <v>2717</v>
      </c>
      <c r="D392" s="669">
        <v>5626</v>
      </c>
    </row>
    <row r="393" spans="1:4" s="23" customFormat="1" ht="38.25" x14ac:dyDescent="0.25">
      <c r="A393" s="667">
        <v>385</v>
      </c>
      <c r="B393" s="668" t="s">
        <v>2718</v>
      </c>
      <c r="C393" s="885" t="s">
        <v>2480</v>
      </c>
      <c r="D393" s="669">
        <v>4609</v>
      </c>
    </row>
    <row r="394" spans="1:4" s="23" customFormat="1" x14ac:dyDescent="0.25">
      <c r="A394" s="667">
        <v>386</v>
      </c>
      <c r="B394" s="668" t="s">
        <v>2719</v>
      </c>
      <c r="C394" s="885" t="s">
        <v>2720</v>
      </c>
      <c r="D394" s="669">
        <v>1465</v>
      </c>
    </row>
    <row r="395" spans="1:4" s="23" customFormat="1" x14ac:dyDescent="0.25">
      <c r="A395" s="667">
        <v>387</v>
      </c>
      <c r="B395" s="668" t="s">
        <v>2721</v>
      </c>
      <c r="C395" s="885" t="s">
        <v>2722</v>
      </c>
      <c r="D395" s="669">
        <v>2655</v>
      </c>
    </row>
    <row r="396" spans="1:4" s="23" customFormat="1" ht="63.75" x14ac:dyDescent="0.25">
      <c r="A396" s="667">
        <v>388</v>
      </c>
      <c r="B396" s="668" t="s">
        <v>2723</v>
      </c>
      <c r="C396" s="885" t="s">
        <v>2282</v>
      </c>
      <c r="D396" s="669">
        <v>1045</v>
      </c>
    </row>
    <row r="397" spans="1:4" s="23" customFormat="1" ht="25.5" x14ac:dyDescent="0.25">
      <c r="A397" s="667">
        <v>389</v>
      </c>
      <c r="B397" s="668" t="s">
        <v>2724</v>
      </c>
      <c r="C397" s="885" t="s">
        <v>2558</v>
      </c>
      <c r="D397" s="669">
        <v>1944</v>
      </c>
    </row>
    <row r="398" spans="1:4" s="23" customFormat="1" x14ac:dyDescent="0.25">
      <c r="A398" s="667">
        <v>390</v>
      </c>
      <c r="B398" s="668" t="s">
        <v>2725</v>
      </c>
      <c r="C398" s="885" t="s">
        <v>2726</v>
      </c>
      <c r="D398" s="669">
        <v>2237</v>
      </c>
    </row>
    <row r="399" spans="1:4" s="23" customFormat="1" ht="25.5" x14ac:dyDescent="0.25">
      <c r="A399" s="667">
        <v>391</v>
      </c>
      <c r="B399" s="668" t="s">
        <v>2727</v>
      </c>
      <c r="C399" s="885" t="s">
        <v>2728</v>
      </c>
      <c r="D399" s="669">
        <v>2488</v>
      </c>
    </row>
    <row r="400" spans="1:4" s="23" customFormat="1" ht="63.75" x14ac:dyDescent="0.25">
      <c r="A400" s="667">
        <v>392</v>
      </c>
      <c r="B400" s="668" t="s">
        <v>2729</v>
      </c>
      <c r="C400" s="885" t="s">
        <v>2730</v>
      </c>
      <c r="D400" s="669">
        <v>3700</v>
      </c>
    </row>
    <row r="401" spans="1:4" s="23" customFormat="1" ht="25.5" x14ac:dyDescent="0.25">
      <c r="A401" s="667">
        <v>393</v>
      </c>
      <c r="B401" s="668" t="s">
        <v>2731</v>
      </c>
      <c r="C401" s="885" t="s">
        <v>2732</v>
      </c>
      <c r="D401" s="669">
        <v>1609</v>
      </c>
    </row>
    <row r="402" spans="1:4" s="23" customFormat="1" ht="63.75" x14ac:dyDescent="0.25">
      <c r="A402" s="667">
        <v>394</v>
      </c>
      <c r="B402" s="668" t="s">
        <v>2733</v>
      </c>
      <c r="C402" s="885" t="s">
        <v>2734</v>
      </c>
      <c r="D402" s="669">
        <v>1390</v>
      </c>
    </row>
    <row r="403" spans="1:4" s="23" customFormat="1" ht="76.5" x14ac:dyDescent="0.25">
      <c r="A403" s="667">
        <v>395</v>
      </c>
      <c r="B403" s="668" t="s">
        <v>2735</v>
      </c>
      <c r="C403" s="885" t="s">
        <v>2377</v>
      </c>
      <c r="D403" s="669">
        <v>5415</v>
      </c>
    </row>
    <row r="404" spans="1:4" s="23" customFormat="1" ht="38.25" x14ac:dyDescent="0.25">
      <c r="A404" s="667">
        <v>396</v>
      </c>
      <c r="B404" s="668" t="s">
        <v>2736</v>
      </c>
      <c r="C404" s="885" t="s">
        <v>2737</v>
      </c>
      <c r="D404" s="669">
        <v>2487</v>
      </c>
    </row>
    <row r="405" spans="1:4" s="23" customFormat="1" x14ac:dyDescent="0.25">
      <c r="A405" s="667">
        <v>397</v>
      </c>
      <c r="B405" s="668" t="s">
        <v>2738</v>
      </c>
      <c r="C405" s="885" t="s">
        <v>2739</v>
      </c>
      <c r="D405" s="669">
        <v>4363</v>
      </c>
    </row>
    <row r="406" spans="1:4" s="23" customFormat="1" ht="25.5" x14ac:dyDescent="0.25">
      <c r="A406" s="667">
        <v>398</v>
      </c>
      <c r="B406" s="668" t="s">
        <v>2740</v>
      </c>
      <c r="C406" s="885" t="s">
        <v>2741</v>
      </c>
      <c r="D406" s="669">
        <v>4363</v>
      </c>
    </row>
    <row r="407" spans="1:4" s="23" customFormat="1" ht="38.25" x14ac:dyDescent="0.25">
      <c r="A407" s="667">
        <v>399</v>
      </c>
      <c r="B407" s="668" t="s">
        <v>2742</v>
      </c>
      <c r="C407" s="885" t="s">
        <v>2743</v>
      </c>
      <c r="D407" s="669">
        <v>2415</v>
      </c>
    </row>
    <row r="408" spans="1:4" s="23" customFormat="1" ht="25.5" x14ac:dyDescent="0.25">
      <c r="A408" s="667">
        <v>400</v>
      </c>
      <c r="B408" s="668" t="s">
        <v>2744</v>
      </c>
      <c r="C408" s="885" t="s">
        <v>2745</v>
      </c>
      <c r="D408" s="669">
        <v>2569.5</v>
      </c>
    </row>
    <row r="409" spans="1:4" s="23" customFormat="1" ht="38.25" x14ac:dyDescent="0.25">
      <c r="A409" s="667">
        <v>401</v>
      </c>
      <c r="B409" s="668" t="s">
        <v>2746</v>
      </c>
      <c r="C409" s="885" t="s">
        <v>2300</v>
      </c>
      <c r="D409" s="669">
        <v>1450</v>
      </c>
    </row>
    <row r="410" spans="1:4" s="23" customFormat="1" x14ac:dyDescent="0.25">
      <c r="A410" s="667">
        <v>402</v>
      </c>
      <c r="B410" s="668" t="s">
        <v>2747</v>
      </c>
      <c r="C410" s="885" t="s">
        <v>2748</v>
      </c>
      <c r="D410" s="669">
        <v>1673.25</v>
      </c>
    </row>
    <row r="411" spans="1:4" s="23" customFormat="1" x14ac:dyDescent="0.25">
      <c r="A411" s="667">
        <v>403</v>
      </c>
      <c r="B411" s="668" t="s">
        <v>2749</v>
      </c>
      <c r="C411" s="885" t="s">
        <v>2750</v>
      </c>
      <c r="D411" s="669">
        <v>1600</v>
      </c>
    </row>
    <row r="412" spans="1:4" s="23" customFormat="1" ht="25.5" x14ac:dyDescent="0.25">
      <c r="A412" s="667">
        <v>404</v>
      </c>
      <c r="B412" s="668" t="s">
        <v>2751</v>
      </c>
      <c r="C412" s="885" t="s">
        <v>2752</v>
      </c>
      <c r="D412" s="669">
        <v>1455</v>
      </c>
    </row>
    <row r="413" spans="1:4" s="23" customFormat="1" x14ac:dyDescent="0.25">
      <c r="A413" s="667">
        <v>405</v>
      </c>
      <c r="B413" s="668" t="s">
        <v>2753</v>
      </c>
      <c r="C413" s="885" t="s">
        <v>2754</v>
      </c>
      <c r="D413" s="669">
        <v>4908.07</v>
      </c>
    </row>
    <row r="414" spans="1:4" s="23" customFormat="1" ht="25.5" x14ac:dyDescent="0.25">
      <c r="A414" s="667">
        <v>406</v>
      </c>
      <c r="B414" s="668" t="s">
        <v>2755</v>
      </c>
      <c r="C414" s="885" t="s">
        <v>2756</v>
      </c>
      <c r="D414" s="669">
        <v>1655</v>
      </c>
    </row>
    <row r="415" spans="1:4" s="23" customFormat="1" ht="25.5" x14ac:dyDescent="0.25">
      <c r="A415" s="667">
        <v>407</v>
      </c>
      <c r="B415" s="668" t="s">
        <v>2757</v>
      </c>
      <c r="C415" s="885" t="s">
        <v>2758</v>
      </c>
      <c r="D415" s="669">
        <v>1455</v>
      </c>
    </row>
    <row r="416" spans="1:4" s="23" customFormat="1" ht="25.5" x14ac:dyDescent="0.25">
      <c r="A416" s="667">
        <v>408</v>
      </c>
      <c r="B416" s="668" t="s">
        <v>2759</v>
      </c>
      <c r="C416" s="885" t="s">
        <v>2760</v>
      </c>
      <c r="D416" s="669">
        <v>6000</v>
      </c>
    </row>
    <row r="417" spans="1:4" s="23" customFormat="1" ht="38.25" x14ac:dyDescent="0.25">
      <c r="A417" s="667">
        <v>409</v>
      </c>
      <c r="B417" s="668" t="s">
        <v>2761</v>
      </c>
      <c r="C417" s="885" t="s">
        <v>2298</v>
      </c>
      <c r="D417" s="669">
        <v>1322</v>
      </c>
    </row>
    <row r="418" spans="1:4" s="23" customFormat="1" ht="25.5" x14ac:dyDescent="0.25">
      <c r="A418" s="667">
        <v>410</v>
      </c>
      <c r="B418" s="668" t="s">
        <v>2762</v>
      </c>
      <c r="C418" s="885" t="s">
        <v>2763</v>
      </c>
      <c r="D418" s="669">
        <v>3420</v>
      </c>
    </row>
    <row r="419" spans="1:4" s="23" customFormat="1" ht="38.25" x14ac:dyDescent="0.25">
      <c r="A419" s="667">
        <v>411</v>
      </c>
      <c r="B419" s="668" t="s">
        <v>2764</v>
      </c>
      <c r="C419" s="885" t="s">
        <v>2765</v>
      </c>
      <c r="D419" s="669">
        <v>1322</v>
      </c>
    </row>
    <row r="420" spans="1:4" s="23" customFormat="1" ht="25.5" x14ac:dyDescent="0.25">
      <c r="A420" s="667">
        <v>412</v>
      </c>
      <c r="B420" s="668" t="s">
        <v>2766</v>
      </c>
      <c r="C420" s="885" t="s">
        <v>2767</v>
      </c>
      <c r="D420" s="669">
        <v>516.46</v>
      </c>
    </row>
    <row r="421" spans="1:4" s="23" customFormat="1" ht="38.25" x14ac:dyDescent="0.25">
      <c r="A421" s="667">
        <v>413</v>
      </c>
      <c r="B421" s="668" t="s">
        <v>2768</v>
      </c>
      <c r="C421" s="885" t="s">
        <v>2769</v>
      </c>
      <c r="D421" s="669">
        <v>3105</v>
      </c>
    </row>
    <row r="422" spans="1:4" s="23" customFormat="1" ht="38.25" x14ac:dyDescent="0.25">
      <c r="A422" s="667">
        <v>414</v>
      </c>
      <c r="B422" s="668" t="s">
        <v>2770</v>
      </c>
      <c r="C422" s="885" t="s">
        <v>2771</v>
      </c>
      <c r="D422" s="669">
        <v>2415</v>
      </c>
    </row>
    <row r="423" spans="1:4" s="23" customFormat="1" ht="38.25" x14ac:dyDescent="0.25">
      <c r="A423" s="667">
        <v>415</v>
      </c>
      <c r="B423" s="668" t="s">
        <v>2772</v>
      </c>
      <c r="C423" s="885" t="s">
        <v>2771</v>
      </c>
      <c r="D423" s="669">
        <v>2415</v>
      </c>
    </row>
    <row r="424" spans="1:4" s="23" customFormat="1" ht="38.25" x14ac:dyDescent="0.25">
      <c r="A424" s="667">
        <v>416</v>
      </c>
      <c r="B424" s="668" t="s">
        <v>2773</v>
      </c>
      <c r="C424" s="885" t="s">
        <v>2462</v>
      </c>
      <c r="D424" s="669">
        <v>1485</v>
      </c>
    </row>
    <row r="425" spans="1:4" s="23" customFormat="1" ht="38.25" x14ac:dyDescent="0.25">
      <c r="A425" s="667">
        <v>417</v>
      </c>
      <c r="B425" s="668" t="s">
        <v>2774</v>
      </c>
      <c r="C425" s="885" t="s">
        <v>2462</v>
      </c>
      <c r="D425" s="669">
        <v>1485</v>
      </c>
    </row>
    <row r="426" spans="1:4" s="23" customFormat="1" ht="38.25" x14ac:dyDescent="0.25">
      <c r="A426" s="667">
        <v>418</v>
      </c>
      <c r="B426" s="668" t="s">
        <v>2775</v>
      </c>
      <c r="C426" s="885" t="s">
        <v>2462</v>
      </c>
      <c r="D426" s="669">
        <v>1485</v>
      </c>
    </row>
    <row r="427" spans="1:4" s="23" customFormat="1" ht="25.5" x14ac:dyDescent="0.25">
      <c r="A427" s="667">
        <v>419</v>
      </c>
      <c r="B427" s="668" t="s">
        <v>2776</v>
      </c>
      <c r="C427" s="885" t="s">
        <v>2777</v>
      </c>
      <c r="D427" s="669">
        <v>2115.6799999999998</v>
      </c>
    </row>
    <row r="428" spans="1:4" s="23" customFormat="1" ht="25.5" x14ac:dyDescent="0.25">
      <c r="A428" s="667">
        <v>420</v>
      </c>
      <c r="B428" s="668" t="s">
        <v>2778</v>
      </c>
      <c r="C428" s="885" t="s">
        <v>2779</v>
      </c>
      <c r="D428" s="669">
        <v>1322</v>
      </c>
    </row>
    <row r="429" spans="1:4" s="23" customFormat="1" ht="38.25" x14ac:dyDescent="0.25">
      <c r="A429" s="667">
        <v>421</v>
      </c>
      <c r="B429" s="668" t="s">
        <v>2780</v>
      </c>
      <c r="C429" s="885" t="s">
        <v>2781</v>
      </c>
      <c r="D429" s="669">
        <v>1322</v>
      </c>
    </row>
    <row r="430" spans="1:4" s="23" customFormat="1" ht="51" x14ac:dyDescent="0.25">
      <c r="A430" s="667">
        <v>422</v>
      </c>
      <c r="B430" s="668" t="s">
        <v>2782</v>
      </c>
      <c r="C430" s="885" t="s">
        <v>2783</v>
      </c>
      <c r="D430" s="669">
        <v>1610</v>
      </c>
    </row>
    <row r="431" spans="1:4" s="23" customFormat="1" ht="38.25" x14ac:dyDescent="0.25">
      <c r="A431" s="667">
        <v>423</v>
      </c>
      <c r="B431" s="668" t="s">
        <v>2784</v>
      </c>
      <c r="C431" s="885" t="s">
        <v>2785</v>
      </c>
      <c r="D431" s="669">
        <v>2287.35</v>
      </c>
    </row>
    <row r="432" spans="1:4" s="23" customFormat="1" ht="22.5" customHeight="1" x14ac:dyDescent="0.25">
      <c r="A432" s="667">
        <v>424</v>
      </c>
      <c r="B432" s="668" t="s">
        <v>2786</v>
      </c>
      <c r="C432" s="885" t="s">
        <v>2787</v>
      </c>
      <c r="D432" s="669">
        <v>1850</v>
      </c>
    </row>
    <row r="433" spans="1:4" s="23" customFormat="1" ht="22.5" customHeight="1" x14ac:dyDescent="0.25">
      <c r="A433" s="667">
        <v>425</v>
      </c>
      <c r="B433" s="668" t="s">
        <v>2788</v>
      </c>
      <c r="C433" s="885" t="s">
        <v>2787</v>
      </c>
      <c r="D433" s="669">
        <v>1850</v>
      </c>
    </row>
    <row r="434" spans="1:4" s="23" customFormat="1" ht="22.5" customHeight="1" x14ac:dyDescent="0.25">
      <c r="A434" s="667">
        <v>426</v>
      </c>
      <c r="B434" s="668" t="s">
        <v>2789</v>
      </c>
      <c r="C434" s="885" t="s">
        <v>2488</v>
      </c>
      <c r="D434" s="669">
        <v>3793.11</v>
      </c>
    </row>
    <row r="435" spans="1:4" s="23" customFormat="1" ht="22.5" customHeight="1" x14ac:dyDescent="0.25">
      <c r="A435" s="667">
        <v>427</v>
      </c>
      <c r="B435" s="668" t="s">
        <v>2790</v>
      </c>
      <c r="C435" s="885" t="s">
        <v>2791</v>
      </c>
      <c r="D435" s="669">
        <v>2820</v>
      </c>
    </row>
    <row r="436" spans="1:4" s="23" customFormat="1" ht="22.5" customHeight="1" x14ac:dyDescent="0.25">
      <c r="A436" s="667">
        <v>428</v>
      </c>
      <c r="B436" s="668" t="s">
        <v>2792</v>
      </c>
      <c r="C436" s="885" t="s">
        <v>2793</v>
      </c>
      <c r="D436" s="669">
        <v>6582.21</v>
      </c>
    </row>
    <row r="437" spans="1:4" s="23" customFormat="1" ht="22.5" customHeight="1" x14ac:dyDescent="0.25">
      <c r="A437" s="667">
        <v>429</v>
      </c>
      <c r="B437" s="668" t="s">
        <v>2794</v>
      </c>
      <c r="C437" s="885" t="s">
        <v>2647</v>
      </c>
      <c r="D437" s="669">
        <v>2383.98</v>
      </c>
    </row>
    <row r="438" spans="1:4" s="23" customFormat="1" ht="22.5" customHeight="1" x14ac:dyDescent="0.25">
      <c r="A438" s="667">
        <v>430</v>
      </c>
      <c r="B438" s="668" t="s">
        <v>2795</v>
      </c>
      <c r="C438" s="885" t="s">
        <v>2488</v>
      </c>
      <c r="D438" s="669">
        <v>3793.11</v>
      </c>
    </row>
    <row r="439" spans="1:4" s="23" customFormat="1" ht="22.5" customHeight="1" x14ac:dyDescent="0.25">
      <c r="A439" s="667">
        <v>431</v>
      </c>
      <c r="B439" s="668" t="s">
        <v>2796</v>
      </c>
      <c r="C439" s="885" t="s">
        <v>2312</v>
      </c>
      <c r="D439" s="669">
        <v>1850</v>
      </c>
    </row>
    <row r="440" spans="1:4" s="23" customFormat="1" ht="22.5" customHeight="1" x14ac:dyDescent="0.25">
      <c r="A440" s="667">
        <v>432</v>
      </c>
      <c r="B440" s="668" t="s">
        <v>2797</v>
      </c>
      <c r="C440" s="885" t="s">
        <v>2312</v>
      </c>
      <c r="D440" s="669">
        <v>1850</v>
      </c>
    </row>
    <row r="441" spans="1:4" s="23" customFormat="1" ht="22.5" customHeight="1" x14ac:dyDescent="0.25">
      <c r="A441" s="667">
        <v>433</v>
      </c>
      <c r="B441" s="668" t="s">
        <v>2798</v>
      </c>
      <c r="C441" s="885" t="s">
        <v>2799</v>
      </c>
      <c r="D441" s="669">
        <v>7730</v>
      </c>
    </row>
    <row r="442" spans="1:4" s="23" customFormat="1" ht="22.5" customHeight="1" x14ac:dyDescent="0.25">
      <c r="A442" s="667">
        <v>434</v>
      </c>
      <c r="B442" s="668" t="s">
        <v>2800</v>
      </c>
      <c r="C442" s="885" t="s">
        <v>2801</v>
      </c>
      <c r="D442" s="669">
        <v>4908.07</v>
      </c>
    </row>
    <row r="443" spans="1:4" s="23" customFormat="1" ht="22.5" customHeight="1" x14ac:dyDescent="0.25">
      <c r="A443" s="667">
        <v>435</v>
      </c>
      <c r="B443" s="668" t="s">
        <v>2802</v>
      </c>
      <c r="C443" s="885" t="s">
        <v>2803</v>
      </c>
      <c r="D443" s="669">
        <v>670.5</v>
      </c>
    </row>
    <row r="444" spans="1:4" s="23" customFormat="1" ht="22.5" customHeight="1" x14ac:dyDescent="0.25">
      <c r="A444" s="667">
        <v>436</v>
      </c>
      <c r="B444" s="668" t="s">
        <v>2804</v>
      </c>
      <c r="C444" s="885" t="s">
        <v>2805</v>
      </c>
      <c r="D444" s="669">
        <v>2281.5</v>
      </c>
    </row>
    <row r="445" spans="1:4" s="23" customFormat="1" ht="38.25" x14ac:dyDescent="0.25">
      <c r="A445" s="667">
        <v>437</v>
      </c>
      <c r="B445" s="668" t="s">
        <v>2806</v>
      </c>
      <c r="C445" s="885" t="s">
        <v>2338</v>
      </c>
      <c r="D445" s="669">
        <v>1322</v>
      </c>
    </row>
    <row r="446" spans="1:4" s="23" customFormat="1" ht="38.25" x14ac:dyDescent="0.25">
      <c r="A446" s="667">
        <v>438</v>
      </c>
      <c r="B446" s="668" t="s">
        <v>2807</v>
      </c>
      <c r="C446" s="885" t="s">
        <v>2425</v>
      </c>
      <c r="D446" s="669">
        <v>1322</v>
      </c>
    </row>
    <row r="447" spans="1:4" s="23" customFormat="1" ht="22.5" customHeight="1" x14ac:dyDescent="0.25">
      <c r="A447" s="667">
        <v>439</v>
      </c>
      <c r="B447" s="668" t="s">
        <v>2808</v>
      </c>
      <c r="C447" s="885" t="s">
        <v>2705</v>
      </c>
      <c r="D447" s="669">
        <v>3300.5</v>
      </c>
    </row>
    <row r="448" spans="1:4" s="23" customFormat="1" ht="22.5" customHeight="1" x14ac:dyDescent="0.25">
      <c r="A448" s="667">
        <v>440</v>
      </c>
      <c r="B448" s="668" t="s">
        <v>2809</v>
      </c>
      <c r="C448" s="885" t="s">
        <v>2810</v>
      </c>
      <c r="D448" s="669">
        <v>6431.6</v>
      </c>
    </row>
    <row r="449" spans="1:4" s="23" customFormat="1" ht="22.5" customHeight="1" x14ac:dyDescent="0.25">
      <c r="A449" s="667">
        <v>441</v>
      </c>
      <c r="B449" s="668" t="s">
        <v>2811</v>
      </c>
      <c r="C449" s="885" t="s">
        <v>2812</v>
      </c>
      <c r="D449" s="669">
        <v>2008</v>
      </c>
    </row>
    <row r="450" spans="1:4" s="23" customFormat="1" ht="22.5" customHeight="1" x14ac:dyDescent="0.25">
      <c r="A450" s="667">
        <v>442</v>
      </c>
      <c r="B450" s="668" t="s">
        <v>2813</v>
      </c>
      <c r="C450" s="885" t="s">
        <v>2312</v>
      </c>
      <c r="D450" s="669">
        <v>1850</v>
      </c>
    </row>
    <row r="451" spans="1:4" s="23" customFormat="1" ht="22.5" customHeight="1" x14ac:dyDescent="0.25">
      <c r="A451" s="667">
        <v>443</v>
      </c>
      <c r="B451" s="668" t="s">
        <v>2814</v>
      </c>
      <c r="C451" s="885" t="s">
        <v>2312</v>
      </c>
      <c r="D451" s="669">
        <v>1850</v>
      </c>
    </row>
    <row r="452" spans="1:4" s="23" customFormat="1" ht="22.5" customHeight="1" x14ac:dyDescent="0.25">
      <c r="A452" s="667">
        <v>444</v>
      </c>
      <c r="B452" s="668" t="s">
        <v>2815</v>
      </c>
      <c r="C452" s="885" t="s">
        <v>2312</v>
      </c>
      <c r="D452" s="669">
        <v>1850</v>
      </c>
    </row>
    <row r="453" spans="1:4" s="23" customFormat="1" ht="22.5" customHeight="1" x14ac:dyDescent="0.25">
      <c r="A453" s="667">
        <v>445</v>
      </c>
      <c r="B453" s="668" t="s">
        <v>2816</v>
      </c>
      <c r="C453" s="885" t="s">
        <v>2817</v>
      </c>
      <c r="D453" s="669">
        <v>6120</v>
      </c>
    </row>
    <row r="454" spans="1:4" s="23" customFormat="1" ht="22.5" customHeight="1" x14ac:dyDescent="0.25">
      <c r="A454" s="667">
        <v>446</v>
      </c>
      <c r="B454" s="668" t="s">
        <v>2818</v>
      </c>
      <c r="C454" s="885" t="s">
        <v>2819</v>
      </c>
      <c r="D454" s="669">
        <v>2990</v>
      </c>
    </row>
    <row r="455" spans="1:4" s="23" customFormat="1" ht="22.5" customHeight="1" x14ac:dyDescent="0.25">
      <c r="A455" s="667">
        <v>447</v>
      </c>
      <c r="B455" s="668" t="s">
        <v>2820</v>
      </c>
      <c r="C455" s="885" t="s">
        <v>2821</v>
      </c>
      <c r="D455" s="669">
        <v>1083.9100000000001</v>
      </c>
    </row>
    <row r="456" spans="1:4" s="23" customFormat="1" ht="22.5" customHeight="1" x14ac:dyDescent="0.25">
      <c r="A456" s="667">
        <v>448</v>
      </c>
      <c r="B456" s="668" t="s">
        <v>2822</v>
      </c>
      <c r="C456" s="885" t="s">
        <v>2823</v>
      </c>
      <c r="D456" s="669">
        <v>200</v>
      </c>
    </row>
    <row r="457" spans="1:4" s="23" customFormat="1" ht="38.25" x14ac:dyDescent="0.25">
      <c r="A457" s="667">
        <v>449</v>
      </c>
      <c r="B457" s="668" t="s">
        <v>2824</v>
      </c>
      <c r="C457" s="885" t="s">
        <v>2462</v>
      </c>
      <c r="D457" s="669">
        <v>1485</v>
      </c>
    </row>
    <row r="458" spans="1:4" s="23" customFormat="1" ht="22.5" customHeight="1" x14ac:dyDescent="0.25">
      <c r="A458" s="667">
        <v>450</v>
      </c>
      <c r="B458" s="668" t="s">
        <v>2825</v>
      </c>
      <c r="C458" s="885" t="s">
        <v>2826</v>
      </c>
      <c r="D458" s="669">
        <v>1624</v>
      </c>
    </row>
    <row r="459" spans="1:4" s="23" customFormat="1" ht="22.5" customHeight="1" x14ac:dyDescent="0.25">
      <c r="A459" s="667">
        <v>451</v>
      </c>
      <c r="B459" s="668" t="s">
        <v>2827</v>
      </c>
      <c r="C459" s="885" t="s">
        <v>2312</v>
      </c>
      <c r="D459" s="669">
        <v>1850</v>
      </c>
    </row>
    <row r="460" spans="1:4" s="23" customFormat="1" ht="38.25" x14ac:dyDescent="0.25">
      <c r="A460" s="667">
        <v>452</v>
      </c>
      <c r="B460" s="668" t="s">
        <v>2828</v>
      </c>
      <c r="C460" s="885" t="s">
        <v>2829</v>
      </c>
      <c r="D460" s="669">
        <v>3700</v>
      </c>
    </row>
    <row r="461" spans="1:4" s="23" customFormat="1" ht="38.25" x14ac:dyDescent="0.25">
      <c r="A461" s="667">
        <v>453</v>
      </c>
      <c r="B461" s="668" t="s">
        <v>2830</v>
      </c>
      <c r="C461" s="885" t="s">
        <v>2300</v>
      </c>
      <c r="D461" s="669">
        <v>1450</v>
      </c>
    </row>
    <row r="462" spans="1:4" s="23" customFormat="1" ht="38.25" x14ac:dyDescent="0.25">
      <c r="A462" s="667">
        <v>454</v>
      </c>
      <c r="B462" s="668" t="s">
        <v>2831</v>
      </c>
      <c r="C462" s="885" t="s">
        <v>2300</v>
      </c>
      <c r="D462" s="669">
        <v>1450</v>
      </c>
    </row>
    <row r="463" spans="1:4" s="23" customFormat="1" ht="38.25" x14ac:dyDescent="0.25">
      <c r="A463" s="667">
        <v>455</v>
      </c>
      <c r="B463" s="668" t="s">
        <v>2832</v>
      </c>
      <c r="C463" s="885" t="s">
        <v>2300</v>
      </c>
      <c r="D463" s="669">
        <v>1450</v>
      </c>
    </row>
    <row r="464" spans="1:4" s="23" customFormat="1" ht="63.75" x14ac:dyDescent="0.25">
      <c r="A464" s="667">
        <v>456</v>
      </c>
      <c r="B464" s="668" t="s">
        <v>2833</v>
      </c>
      <c r="C464" s="885" t="s">
        <v>2834</v>
      </c>
      <c r="D464" s="669">
        <v>10235</v>
      </c>
    </row>
    <row r="465" spans="1:4" s="23" customFormat="1" ht="25.5" x14ac:dyDescent="0.25">
      <c r="A465" s="667">
        <v>457</v>
      </c>
      <c r="B465" s="668" t="s">
        <v>2835</v>
      </c>
      <c r="C465" s="885" t="s">
        <v>2836</v>
      </c>
      <c r="D465" s="669">
        <v>1624</v>
      </c>
    </row>
    <row r="466" spans="1:4" s="23" customFormat="1" ht="25.5" x14ac:dyDescent="0.25">
      <c r="A466" s="667">
        <v>458</v>
      </c>
      <c r="B466" s="668" t="s">
        <v>2837</v>
      </c>
      <c r="C466" s="885" t="s">
        <v>2838</v>
      </c>
      <c r="D466" s="669">
        <v>670.5</v>
      </c>
    </row>
    <row r="467" spans="1:4" s="23" customFormat="1" ht="25.5" x14ac:dyDescent="0.25">
      <c r="A467" s="667">
        <v>459</v>
      </c>
      <c r="B467" s="668" t="s">
        <v>2839</v>
      </c>
      <c r="C467" s="885" t="s">
        <v>2840</v>
      </c>
      <c r="D467" s="669">
        <v>380</v>
      </c>
    </row>
    <row r="468" spans="1:4" s="23" customFormat="1" ht="63.75" x14ac:dyDescent="0.25">
      <c r="A468" s="667">
        <v>460</v>
      </c>
      <c r="B468" s="668" t="s">
        <v>2841</v>
      </c>
      <c r="C468" s="885" t="s">
        <v>2730</v>
      </c>
      <c r="D468" s="669">
        <v>3700</v>
      </c>
    </row>
    <row r="469" spans="1:4" s="23" customFormat="1" ht="38.25" x14ac:dyDescent="0.25">
      <c r="A469" s="667">
        <v>461</v>
      </c>
      <c r="B469" s="668" t="s">
        <v>2842</v>
      </c>
      <c r="C469" s="885" t="s">
        <v>2300</v>
      </c>
      <c r="D469" s="669">
        <v>1450</v>
      </c>
    </row>
    <row r="470" spans="1:4" s="23" customFormat="1" ht="38.25" x14ac:dyDescent="0.25">
      <c r="A470" s="667">
        <v>462</v>
      </c>
      <c r="B470" s="668" t="s">
        <v>2843</v>
      </c>
      <c r="C470" s="885" t="s">
        <v>2462</v>
      </c>
      <c r="D470" s="669">
        <v>1485</v>
      </c>
    </row>
    <row r="471" spans="1:4" s="23" customFormat="1" ht="38.25" x14ac:dyDescent="0.25">
      <c r="A471" s="667">
        <v>463</v>
      </c>
      <c r="B471" s="668" t="s">
        <v>2844</v>
      </c>
      <c r="C471" s="885" t="s">
        <v>2845</v>
      </c>
      <c r="D471" s="669">
        <v>6990</v>
      </c>
    </row>
    <row r="472" spans="1:4" s="23" customFormat="1" ht="38.25" x14ac:dyDescent="0.25">
      <c r="A472" s="667">
        <v>464</v>
      </c>
      <c r="B472" s="668" t="s">
        <v>2846</v>
      </c>
      <c r="C472" s="885" t="s">
        <v>2847</v>
      </c>
      <c r="D472" s="669">
        <v>14700</v>
      </c>
    </row>
    <row r="473" spans="1:4" s="23" customFormat="1" ht="25.5" x14ac:dyDescent="0.25">
      <c r="A473" s="667">
        <v>465</v>
      </c>
      <c r="B473" s="668" t="s">
        <v>2848</v>
      </c>
      <c r="C473" s="885" t="s">
        <v>2849</v>
      </c>
      <c r="D473" s="669">
        <v>6724.14</v>
      </c>
    </row>
    <row r="474" spans="1:4" s="23" customFormat="1" ht="25.5" x14ac:dyDescent="0.25">
      <c r="A474" s="667">
        <v>466</v>
      </c>
      <c r="B474" s="668" t="s">
        <v>2850</v>
      </c>
      <c r="C474" s="885" t="s">
        <v>2851</v>
      </c>
      <c r="D474" s="669">
        <v>2383</v>
      </c>
    </row>
    <row r="475" spans="1:4" s="23" customFormat="1" ht="25.5" x14ac:dyDescent="0.25">
      <c r="A475" s="667">
        <v>467</v>
      </c>
      <c r="B475" s="668" t="s">
        <v>2852</v>
      </c>
      <c r="C475" s="885" t="s">
        <v>2853</v>
      </c>
      <c r="D475" s="669">
        <v>19476</v>
      </c>
    </row>
    <row r="476" spans="1:4" s="23" customFormat="1" ht="22.5" customHeight="1" x14ac:dyDescent="0.25">
      <c r="A476" s="667">
        <v>468</v>
      </c>
      <c r="B476" s="668" t="s">
        <v>2854</v>
      </c>
      <c r="C476" s="885" t="s">
        <v>2855</v>
      </c>
      <c r="D476" s="669">
        <v>1781.74</v>
      </c>
    </row>
    <row r="477" spans="1:4" s="23" customFormat="1" ht="22.5" customHeight="1" x14ac:dyDescent="0.25">
      <c r="A477" s="667">
        <v>469</v>
      </c>
      <c r="B477" s="668" t="s">
        <v>2856</v>
      </c>
      <c r="C477" s="885" t="s">
        <v>2857</v>
      </c>
      <c r="D477" s="669">
        <v>2200</v>
      </c>
    </row>
    <row r="478" spans="1:4" s="23" customFormat="1" ht="22.5" customHeight="1" x14ac:dyDescent="0.25">
      <c r="A478" s="667">
        <v>470</v>
      </c>
      <c r="B478" s="668" t="s">
        <v>2858</v>
      </c>
      <c r="C478" s="885" t="s">
        <v>2859</v>
      </c>
      <c r="D478" s="669">
        <v>3218.82</v>
      </c>
    </row>
    <row r="479" spans="1:4" s="23" customFormat="1" ht="22.5" customHeight="1" x14ac:dyDescent="0.25">
      <c r="A479" s="667">
        <v>471</v>
      </c>
      <c r="B479" s="668" t="s">
        <v>2860</v>
      </c>
      <c r="C479" s="885" t="s">
        <v>2861</v>
      </c>
      <c r="D479" s="669">
        <v>2290</v>
      </c>
    </row>
    <row r="480" spans="1:4" s="23" customFormat="1" ht="25.5" x14ac:dyDescent="0.25">
      <c r="A480" s="667">
        <v>472</v>
      </c>
      <c r="B480" s="668" t="s">
        <v>2862</v>
      </c>
      <c r="C480" s="885" t="s">
        <v>2863</v>
      </c>
      <c r="D480" s="669">
        <v>2665.88</v>
      </c>
    </row>
    <row r="481" spans="1:4" s="23" customFormat="1" ht="38.25" x14ac:dyDescent="0.25">
      <c r="A481" s="667">
        <v>473</v>
      </c>
      <c r="B481" s="668" t="s">
        <v>2864</v>
      </c>
      <c r="C481" s="885" t="s">
        <v>2865</v>
      </c>
      <c r="D481" s="669">
        <v>2100</v>
      </c>
    </row>
    <row r="482" spans="1:4" s="23" customFormat="1" ht="38.25" x14ac:dyDescent="0.25">
      <c r="A482" s="667">
        <v>474</v>
      </c>
      <c r="B482" s="668" t="s">
        <v>2866</v>
      </c>
      <c r="C482" s="885" t="s">
        <v>2865</v>
      </c>
      <c r="D482" s="669">
        <v>2100</v>
      </c>
    </row>
    <row r="483" spans="1:4" s="23" customFormat="1" ht="38.25" x14ac:dyDescent="0.25">
      <c r="A483" s="667">
        <v>475</v>
      </c>
      <c r="B483" s="668" t="s">
        <v>2867</v>
      </c>
      <c r="C483" s="885" t="s">
        <v>2865</v>
      </c>
      <c r="D483" s="669">
        <v>2100</v>
      </c>
    </row>
    <row r="484" spans="1:4" s="23" customFormat="1" ht="38.25" x14ac:dyDescent="0.25">
      <c r="A484" s="667">
        <v>476</v>
      </c>
      <c r="B484" s="668" t="s">
        <v>2868</v>
      </c>
      <c r="C484" s="885" t="s">
        <v>2865</v>
      </c>
      <c r="D484" s="669">
        <v>2100</v>
      </c>
    </row>
    <row r="485" spans="1:4" s="23" customFormat="1" ht="22.5" customHeight="1" x14ac:dyDescent="0.25">
      <c r="A485" s="667">
        <v>477</v>
      </c>
      <c r="B485" s="668" t="s">
        <v>2869</v>
      </c>
      <c r="C485" s="885" t="s">
        <v>2870</v>
      </c>
      <c r="D485" s="669">
        <v>3820</v>
      </c>
    </row>
    <row r="486" spans="1:4" s="23" customFormat="1" ht="25.5" x14ac:dyDescent="0.25">
      <c r="A486" s="667">
        <v>478</v>
      </c>
      <c r="B486" s="668" t="s">
        <v>2871</v>
      </c>
      <c r="C486" s="885" t="s">
        <v>2872</v>
      </c>
      <c r="D486" s="669">
        <v>763.5</v>
      </c>
    </row>
    <row r="487" spans="1:4" s="23" customFormat="1" ht="25.5" x14ac:dyDescent="0.25">
      <c r="A487" s="667">
        <v>479</v>
      </c>
      <c r="B487" s="668" t="s">
        <v>2873</v>
      </c>
      <c r="C487" s="885" t="s">
        <v>2874</v>
      </c>
      <c r="D487" s="669">
        <v>190.42</v>
      </c>
    </row>
    <row r="488" spans="1:4" s="23" customFormat="1" ht="25.5" x14ac:dyDescent="0.25">
      <c r="A488" s="667">
        <v>480</v>
      </c>
      <c r="B488" s="668" t="s">
        <v>2875</v>
      </c>
      <c r="C488" s="885" t="s">
        <v>2874</v>
      </c>
      <c r="D488" s="669">
        <v>190.42</v>
      </c>
    </row>
    <row r="489" spans="1:4" s="23" customFormat="1" ht="22.5" customHeight="1" x14ac:dyDescent="0.25">
      <c r="A489" s="667">
        <v>481</v>
      </c>
      <c r="B489" s="668" t="s">
        <v>2876</v>
      </c>
      <c r="C489" s="885" t="s">
        <v>2877</v>
      </c>
      <c r="D489" s="669">
        <v>2068.1</v>
      </c>
    </row>
    <row r="490" spans="1:4" s="23" customFormat="1" ht="22.5" customHeight="1" x14ac:dyDescent="0.25">
      <c r="A490" s="667">
        <v>482</v>
      </c>
      <c r="B490" s="668" t="s">
        <v>2878</v>
      </c>
      <c r="C490" s="885" t="s">
        <v>2879</v>
      </c>
      <c r="D490" s="669">
        <v>1464.66</v>
      </c>
    </row>
    <row r="491" spans="1:4" s="23" customFormat="1" ht="22.5" customHeight="1" x14ac:dyDescent="0.25">
      <c r="A491" s="667">
        <v>483</v>
      </c>
      <c r="B491" s="668" t="s">
        <v>2880</v>
      </c>
      <c r="C491" s="885" t="s">
        <v>2881</v>
      </c>
      <c r="D491" s="669">
        <v>1341</v>
      </c>
    </row>
    <row r="492" spans="1:4" s="23" customFormat="1" ht="22.5" customHeight="1" x14ac:dyDescent="0.25">
      <c r="A492" s="667">
        <v>484</v>
      </c>
      <c r="B492" s="668" t="s">
        <v>2882</v>
      </c>
      <c r="C492" s="885" t="s">
        <v>2883</v>
      </c>
      <c r="D492" s="669">
        <v>2694</v>
      </c>
    </row>
    <row r="493" spans="1:4" s="23" customFormat="1" ht="22.5" customHeight="1" x14ac:dyDescent="0.25">
      <c r="A493" s="667">
        <v>485</v>
      </c>
      <c r="B493" s="668" t="s">
        <v>2884</v>
      </c>
      <c r="C493" s="885" t="s">
        <v>2885</v>
      </c>
      <c r="D493" s="669">
        <v>2310</v>
      </c>
    </row>
    <row r="494" spans="1:4" s="23" customFormat="1" ht="22.5" customHeight="1" x14ac:dyDescent="0.25">
      <c r="A494" s="667">
        <v>486</v>
      </c>
      <c r="B494" s="668" t="s">
        <v>2886</v>
      </c>
      <c r="C494" s="885" t="s">
        <v>2887</v>
      </c>
      <c r="D494" s="669">
        <v>1256</v>
      </c>
    </row>
    <row r="495" spans="1:4" s="23" customFormat="1" ht="22.5" customHeight="1" x14ac:dyDescent="0.25">
      <c r="A495" s="667">
        <v>487</v>
      </c>
      <c r="B495" s="668" t="s">
        <v>2888</v>
      </c>
      <c r="C495" s="885" t="s">
        <v>2889</v>
      </c>
      <c r="D495" s="669">
        <v>7842</v>
      </c>
    </row>
    <row r="496" spans="1:4" s="23" customFormat="1" ht="22.5" customHeight="1" x14ac:dyDescent="0.25">
      <c r="A496" s="667">
        <v>488</v>
      </c>
      <c r="B496" s="668" t="s">
        <v>2890</v>
      </c>
      <c r="C496" s="885" t="s">
        <v>2891</v>
      </c>
      <c r="D496" s="669">
        <v>1540</v>
      </c>
    </row>
    <row r="497" spans="1:4" s="23" customFormat="1" ht="22.5" customHeight="1" x14ac:dyDescent="0.25">
      <c r="A497" s="667">
        <v>489</v>
      </c>
      <c r="B497" s="668" t="s">
        <v>2892</v>
      </c>
      <c r="C497" s="885" t="s">
        <v>2889</v>
      </c>
      <c r="D497" s="669">
        <v>7842</v>
      </c>
    </row>
    <row r="498" spans="1:4" s="23" customFormat="1" ht="22.5" customHeight="1" x14ac:dyDescent="0.25">
      <c r="A498" s="667">
        <v>490</v>
      </c>
      <c r="B498" s="668" t="s">
        <v>2893</v>
      </c>
      <c r="C498" s="885" t="s">
        <v>2883</v>
      </c>
      <c r="D498" s="669">
        <v>2694</v>
      </c>
    </row>
    <row r="499" spans="1:4" s="23" customFormat="1" ht="22.5" customHeight="1" x14ac:dyDescent="0.25">
      <c r="A499" s="667">
        <v>491</v>
      </c>
      <c r="B499" s="668" t="s">
        <v>2894</v>
      </c>
      <c r="C499" s="885" t="s">
        <v>2895</v>
      </c>
      <c r="D499" s="669">
        <v>1025.8599999999999</v>
      </c>
    </row>
    <row r="500" spans="1:4" s="23" customFormat="1" ht="25.5" x14ac:dyDescent="0.25">
      <c r="A500" s="667">
        <v>492</v>
      </c>
      <c r="B500" s="668" t="s">
        <v>2896</v>
      </c>
      <c r="C500" s="885" t="s">
        <v>2897</v>
      </c>
      <c r="D500" s="669">
        <v>2068.9699999999998</v>
      </c>
    </row>
    <row r="501" spans="1:4" s="23" customFormat="1" ht="38.25" x14ac:dyDescent="0.25">
      <c r="A501" s="667">
        <v>493</v>
      </c>
      <c r="B501" s="668" t="s">
        <v>2898</v>
      </c>
      <c r="C501" s="885" t="s">
        <v>2899</v>
      </c>
      <c r="D501" s="669">
        <v>3534.49</v>
      </c>
    </row>
    <row r="502" spans="1:4" s="23" customFormat="1" ht="22.5" customHeight="1" x14ac:dyDescent="0.25">
      <c r="A502" s="667">
        <v>494</v>
      </c>
      <c r="B502" s="668" t="s">
        <v>2900</v>
      </c>
      <c r="C502" s="885" t="s">
        <v>2312</v>
      </c>
      <c r="D502" s="669">
        <v>1850</v>
      </c>
    </row>
    <row r="503" spans="1:4" s="23" customFormat="1" ht="22.5" customHeight="1" x14ac:dyDescent="0.25">
      <c r="A503" s="667">
        <v>495</v>
      </c>
      <c r="B503" s="668" t="s">
        <v>2901</v>
      </c>
      <c r="C503" s="885" t="s">
        <v>2511</v>
      </c>
      <c r="D503" s="669">
        <v>493</v>
      </c>
    </row>
    <row r="504" spans="1:4" s="23" customFormat="1" ht="22.5" customHeight="1" x14ac:dyDescent="0.25">
      <c r="A504" s="667">
        <v>496</v>
      </c>
      <c r="B504" s="668" t="s">
        <v>2902</v>
      </c>
      <c r="C504" s="885" t="s">
        <v>2903</v>
      </c>
      <c r="D504" s="669">
        <v>1360.7</v>
      </c>
    </row>
    <row r="505" spans="1:4" s="23" customFormat="1" ht="22.5" customHeight="1" x14ac:dyDescent="0.25">
      <c r="A505" s="667">
        <v>497</v>
      </c>
      <c r="B505" s="668" t="s">
        <v>2904</v>
      </c>
      <c r="C505" s="885" t="s">
        <v>2632</v>
      </c>
      <c r="D505" s="669">
        <v>2383</v>
      </c>
    </row>
    <row r="506" spans="1:4" s="23" customFormat="1" ht="22.5" customHeight="1" x14ac:dyDescent="0.25">
      <c r="A506" s="667">
        <v>498</v>
      </c>
      <c r="B506" s="668" t="s">
        <v>2905</v>
      </c>
      <c r="C506" s="885" t="s">
        <v>2632</v>
      </c>
      <c r="D506" s="669">
        <v>2383</v>
      </c>
    </row>
    <row r="507" spans="1:4" s="23" customFormat="1" ht="22.5" customHeight="1" x14ac:dyDescent="0.25">
      <c r="A507" s="667">
        <v>499</v>
      </c>
      <c r="B507" s="668" t="s">
        <v>2906</v>
      </c>
      <c r="C507" s="885" t="s">
        <v>2907</v>
      </c>
      <c r="D507" s="669">
        <v>1495</v>
      </c>
    </row>
    <row r="508" spans="1:4" s="23" customFormat="1" ht="25.5" x14ac:dyDescent="0.25">
      <c r="A508" s="667">
        <v>500</v>
      </c>
      <c r="B508" s="668" t="s">
        <v>2908</v>
      </c>
      <c r="C508" s="885" t="s">
        <v>2909</v>
      </c>
      <c r="D508" s="669">
        <v>4300</v>
      </c>
    </row>
    <row r="509" spans="1:4" s="23" customFormat="1" ht="22.5" customHeight="1" x14ac:dyDescent="0.25">
      <c r="A509" s="667">
        <v>501</v>
      </c>
      <c r="B509" s="668" t="s">
        <v>2910</v>
      </c>
      <c r="C509" s="885" t="s">
        <v>2312</v>
      </c>
      <c r="D509" s="669">
        <v>1850</v>
      </c>
    </row>
    <row r="510" spans="1:4" s="23" customFormat="1" ht="22.5" customHeight="1" x14ac:dyDescent="0.25">
      <c r="A510" s="667">
        <v>502</v>
      </c>
      <c r="B510" s="668" t="s">
        <v>2911</v>
      </c>
      <c r="C510" s="885" t="s">
        <v>2312</v>
      </c>
      <c r="D510" s="669">
        <v>1850</v>
      </c>
    </row>
    <row r="511" spans="1:4" s="23" customFormat="1" ht="22.5" customHeight="1" x14ac:dyDescent="0.25">
      <c r="A511" s="667">
        <v>503</v>
      </c>
      <c r="B511" s="668" t="s">
        <v>2912</v>
      </c>
      <c r="C511" s="885" t="s">
        <v>2312</v>
      </c>
      <c r="D511" s="669">
        <v>1850</v>
      </c>
    </row>
    <row r="512" spans="1:4" s="23" customFormat="1" ht="22.5" customHeight="1" x14ac:dyDescent="0.25">
      <c r="A512" s="667">
        <v>504</v>
      </c>
      <c r="B512" s="668" t="s">
        <v>2913</v>
      </c>
      <c r="C512" s="885" t="s">
        <v>2914</v>
      </c>
      <c r="D512" s="669">
        <v>3620</v>
      </c>
    </row>
    <row r="513" spans="1:4" s="23" customFormat="1" ht="22.5" customHeight="1" x14ac:dyDescent="0.25">
      <c r="A513" s="667">
        <v>505</v>
      </c>
      <c r="B513" s="668" t="s">
        <v>2915</v>
      </c>
      <c r="C513" s="885" t="s">
        <v>2408</v>
      </c>
      <c r="D513" s="669">
        <v>3820</v>
      </c>
    </row>
    <row r="514" spans="1:4" s="23" customFormat="1" ht="22.5" customHeight="1" x14ac:dyDescent="0.25">
      <c r="A514" s="667">
        <v>506</v>
      </c>
      <c r="B514" s="668" t="s">
        <v>2916</v>
      </c>
      <c r="C514" s="885" t="s">
        <v>2408</v>
      </c>
      <c r="D514" s="669">
        <v>3820</v>
      </c>
    </row>
    <row r="515" spans="1:4" s="23" customFormat="1" ht="22.5" customHeight="1" x14ac:dyDescent="0.25">
      <c r="A515" s="667">
        <v>507</v>
      </c>
      <c r="B515" s="668" t="s">
        <v>2917</v>
      </c>
      <c r="C515" s="885" t="s">
        <v>2787</v>
      </c>
      <c r="D515" s="669">
        <v>1850</v>
      </c>
    </row>
    <row r="516" spans="1:4" s="23" customFormat="1" ht="22.5" customHeight="1" x14ac:dyDescent="0.25">
      <c r="A516" s="667">
        <v>508</v>
      </c>
      <c r="B516" s="668" t="s">
        <v>2918</v>
      </c>
      <c r="C516" s="885" t="s">
        <v>2787</v>
      </c>
      <c r="D516" s="669">
        <v>1850</v>
      </c>
    </row>
    <row r="517" spans="1:4" s="23" customFormat="1" ht="22.5" customHeight="1" x14ac:dyDescent="0.25">
      <c r="A517" s="667">
        <v>509</v>
      </c>
      <c r="B517" s="668" t="s">
        <v>2919</v>
      </c>
      <c r="C517" s="885" t="s">
        <v>2406</v>
      </c>
      <c r="D517" s="669">
        <v>369</v>
      </c>
    </row>
    <row r="518" spans="1:4" s="23" customFormat="1" ht="38.25" x14ac:dyDescent="0.25">
      <c r="A518" s="667">
        <v>510</v>
      </c>
      <c r="B518" s="668" t="s">
        <v>2920</v>
      </c>
      <c r="C518" s="885" t="s">
        <v>2496</v>
      </c>
      <c r="D518" s="669">
        <v>500</v>
      </c>
    </row>
    <row r="519" spans="1:4" s="23" customFormat="1" ht="51" x14ac:dyDescent="0.25">
      <c r="A519" s="667">
        <v>511</v>
      </c>
      <c r="B519" s="668" t="s">
        <v>2921</v>
      </c>
      <c r="C519" s="885" t="s">
        <v>2922</v>
      </c>
      <c r="D519" s="669">
        <v>6300</v>
      </c>
    </row>
    <row r="520" spans="1:4" s="23" customFormat="1" ht="25.5" x14ac:dyDescent="0.25">
      <c r="A520" s="667">
        <v>512</v>
      </c>
      <c r="B520" s="668" t="s">
        <v>2923</v>
      </c>
      <c r="C520" s="885" t="s">
        <v>2924</v>
      </c>
      <c r="D520" s="669">
        <v>2290.5</v>
      </c>
    </row>
    <row r="521" spans="1:4" s="23" customFormat="1" ht="25.5" x14ac:dyDescent="0.25">
      <c r="A521" s="667">
        <v>513</v>
      </c>
      <c r="B521" s="668" t="s">
        <v>2925</v>
      </c>
      <c r="C521" s="885" t="s">
        <v>2926</v>
      </c>
      <c r="D521" s="669">
        <v>5331.76</v>
      </c>
    </row>
    <row r="522" spans="1:4" s="23" customFormat="1" x14ac:dyDescent="0.25">
      <c r="A522" s="667">
        <v>514</v>
      </c>
      <c r="B522" s="668" t="s">
        <v>2927</v>
      </c>
      <c r="C522" s="885" t="s">
        <v>2928</v>
      </c>
      <c r="D522" s="669">
        <v>1070</v>
      </c>
    </row>
    <row r="523" spans="1:4" s="23" customFormat="1" ht="22.5" customHeight="1" x14ac:dyDescent="0.25">
      <c r="A523" s="667">
        <v>515</v>
      </c>
      <c r="B523" s="668" t="s">
        <v>2929</v>
      </c>
      <c r="C523" s="885" t="s">
        <v>2741</v>
      </c>
      <c r="D523" s="669">
        <v>4363</v>
      </c>
    </row>
    <row r="524" spans="1:4" s="23" customFormat="1" ht="22.5" customHeight="1" x14ac:dyDescent="0.25">
      <c r="A524" s="667">
        <v>516</v>
      </c>
      <c r="B524" s="668" t="s">
        <v>2930</v>
      </c>
      <c r="C524" s="885" t="s">
        <v>2861</v>
      </c>
      <c r="D524" s="669">
        <v>2290</v>
      </c>
    </row>
    <row r="525" spans="1:4" s="23" customFormat="1" ht="25.5" x14ac:dyDescent="0.25">
      <c r="A525" s="667">
        <v>517</v>
      </c>
      <c r="B525" s="668" t="s">
        <v>2931</v>
      </c>
      <c r="C525" s="885" t="s">
        <v>2863</v>
      </c>
      <c r="D525" s="669">
        <v>2665.88</v>
      </c>
    </row>
    <row r="526" spans="1:4" s="23" customFormat="1" ht="25.5" x14ac:dyDescent="0.25">
      <c r="A526" s="667">
        <v>518</v>
      </c>
      <c r="B526" s="668" t="s">
        <v>2932</v>
      </c>
      <c r="C526" s="885" t="s">
        <v>2933</v>
      </c>
      <c r="D526" s="669">
        <v>3218.82</v>
      </c>
    </row>
    <row r="527" spans="1:4" s="23" customFormat="1" ht="25.5" x14ac:dyDescent="0.25">
      <c r="A527" s="667">
        <v>519</v>
      </c>
      <c r="B527" s="668" t="s">
        <v>2934</v>
      </c>
      <c r="C527" s="885" t="s">
        <v>2935</v>
      </c>
      <c r="D527" s="669">
        <v>4300</v>
      </c>
    </row>
    <row r="528" spans="1:4" s="23" customFormat="1" ht="38.25" x14ac:dyDescent="0.25">
      <c r="A528" s="667">
        <v>520</v>
      </c>
      <c r="B528" s="668" t="s">
        <v>2936</v>
      </c>
      <c r="C528" s="885" t="s">
        <v>2937</v>
      </c>
      <c r="D528" s="669">
        <v>22000</v>
      </c>
    </row>
    <row r="529" spans="1:4" s="23" customFormat="1" ht="25.5" x14ac:dyDescent="0.25">
      <c r="A529" s="667">
        <v>521</v>
      </c>
      <c r="B529" s="668" t="s">
        <v>2938</v>
      </c>
      <c r="C529" s="885" t="s">
        <v>2939</v>
      </c>
      <c r="D529" s="669">
        <v>6200</v>
      </c>
    </row>
    <row r="530" spans="1:4" s="23" customFormat="1" ht="25.5" x14ac:dyDescent="0.25">
      <c r="A530" s="667">
        <v>522</v>
      </c>
      <c r="B530" s="668" t="s">
        <v>2940</v>
      </c>
      <c r="C530" s="885" t="s">
        <v>2941</v>
      </c>
      <c r="D530" s="669">
        <v>5000</v>
      </c>
    </row>
    <row r="531" spans="1:4" s="23" customFormat="1" ht="25.5" x14ac:dyDescent="0.25">
      <c r="A531" s="667">
        <v>523</v>
      </c>
      <c r="B531" s="668" t="s">
        <v>2942</v>
      </c>
      <c r="C531" s="885" t="s">
        <v>2941</v>
      </c>
      <c r="D531" s="669">
        <v>5000</v>
      </c>
    </row>
    <row r="532" spans="1:4" s="23" customFormat="1" ht="25.5" x14ac:dyDescent="0.25">
      <c r="A532" s="667">
        <v>524</v>
      </c>
      <c r="B532" s="668" t="s">
        <v>2943</v>
      </c>
      <c r="C532" s="885" t="s">
        <v>2944</v>
      </c>
      <c r="D532" s="669">
        <v>2370</v>
      </c>
    </row>
    <row r="533" spans="1:4" s="23" customFormat="1" ht="22.5" customHeight="1" x14ac:dyDescent="0.25">
      <c r="A533" s="667">
        <v>525</v>
      </c>
      <c r="B533" s="668" t="s">
        <v>2945</v>
      </c>
      <c r="C533" s="885" t="s">
        <v>2946</v>
      </c>
      <c r="D533" s="669">
        <v>1658.29</v>
      </c>
    </row>
    <row r="534" spans="1:4" s="23" customFormat="1" ht="22.5" customHeight="1" x14ac:dyDescent="0.25">
      <c r="A534" s="667">
        <v>526</v>
      </c>
      <c r="B534" s="668" t="s">
        <v>2947</v>
      </c>
      <c r="C534" s="885" t="s">
        <v>2948</v>
      </c>
      <c r="D534" s="669">
        <v>3899</v>
      </c>
    </row>
    <row r="535" spans="1:4" s="23" customFormat="1" ht="22.5" customHeight="1" x14ac:dyDescent="0.25">
      <c r="A535" s="667">
        <v>527</v>
      </c>
      <c r="B535" s="668" t="s">
        <v>2949</v>
      </c>
      <c r="C535" s="885" t="s">
        <v>2950</v>
      </c>
      <c r="D535" s="669">
        <v>4375</v>
      </c>
    </row>
    <row r="536" spans="1:4" s="23" customFormat="1" ht="22.5" customHeight="1" x14ac:dyDescent="0.25">
      <c r="A536" s="667">
        <v>528</v>
      </c>
      <c r="B536" s="668" t="s">
        <v>2951</v>
      </c>
      <c r="C536" s="885" t="s">
        <v>2952</v>
      </c>
      <c r="D536" s="669">
        <v>5990</v>
      </c>
    </row>
    <row r="537" spans="1:4" s="23" customFormat="1" ht="22.5" customHeight="1" x14ac:dyDescent="0.25">
      <c r="A537" s="667">
        <v>529</v>
      </c>
      <c r="B537" s="668" t="s">
        <v>2953</v>
      </c>
      <c r="C537" s="885" t="s">
        <v>2952</v>
      </c>
      <c r="D537" s="669">
        <v>5190</v>
      </c>
    </row>
    <row r="538" spans="1:4" s="23" customFormat="1" ht="22.5" customHeight="1" x14ac:dyDescent="0.25">
      <c r="A538" s="667">
        <v>530</v>
      </c>
      <c r="B538" s="668" t="s">
        <v>2954</v>
      </c>
      <c r="C538" s="885" t="s">
        <v>2952</v>
      </c>
      <c r="D538" s="669">
        <v>5990</v>
      </c>
    </row>
    <row r="539" spans="1:4" s="23" customFormat="1" ht="22.5" customHeight="1" x14ac:dyDescent="0.25">
      <c r="A539" s="667">
        <v>531</v>
      </c>
      <c r="B539" s="668" t="s">
        <v>2955</v>
      </c>
      <c r="C539" s="885" t="s">
        <v>2956</v>
      </c>
      <c r="D539" s="669">
        <v>6490</v>
      </c>
    </row>
    <row r="540" spans="1:4" s="23" customFormat="1" ht="22.5" customHeight="1" x14ac:dyDescent="0.25">
      <c r="A540" s="667">
        <v>532</v>
      </c>
      <c r="B540" s="668" t="s">
        <v>2957</v>
      </c>
      <c r="C540" s="885" t="s">
        <v>2958</v>
      </c>
      <c r="D540" s="669">
        <v>5490</v>
      </c>
    </row>
    <row r="541" spans="1:4" s="23" customFormat="1" ht="22.5" customHeight="1" x14ac:dyDescent="0.25">
      <c r="A541" s="667">
        <v>533</v>
      </c>
      <c r="B541" s="668" t="s">
        <v>2959</v>
      </c>
      <c r="C541" s="885" t="s">
        <v>2960</v>
      </c>
      <c r="D541" s="669">
        <v>21622</v>
      </c>
    </row>
    <row r="542" spans="1:4" s="23" customFormat="1" ht="22.5" customHeight="1" x14ac:dyDescent="0.25">
      <c r="A542" s="667">
        <v>534</v>
      </c>
      <c r="B542" s="668" t="s">
        <v>2961</v>
      </c>
      <c r="C542" s="885" t="s">
        <v>2962</v>
      </c>
      <c r="D542" s="669">
        <v>18240</v>
      </c>
    </row>
    <row r="543" spans="1:4" s="23" customFormat="1" ht="22.5" customHeight="1" x14ac:dyDescent="0.25">
      <c r="A543" s="667">
        <v>535</v>
      </c>
      <c r="B543" s="668" t="s">
        <v>2963</v>
      </c>
      <c r="C543" s="885" t="s">
        <v>2960</v>
      </c>
      <c r="D543" s="669">
        <v>21622</v>
      </c>
    </row>
    <row r="544" spans="1:4" s="23" customFormat="1" ht="22.5" customHeight="1" x14ac:dyDescent="0.25">
      <c r="A544" s="667">
        <v>536</v>
      </c>
      <c r="B544" s="668" t="s">
        <v>2964</v>
      </c>
      <c r="C544" s="885" t="s">
        <v>2962</v>
      </c>
      <c r="D544" s="669">
        <v>18240</v>
      </c>
    </row>
    <row r="545" spans="1:4" s="23" customFormat="1" ht="22.5" customHeight="1" x14ac:dyDescent="0.25">
      <c r="A545" s="667">
        <v>537</v>
      </c>
      <c r="B545" s="668" t="s">
        <v>2965</v>
      </c>
      <c r="C545" s="885" t="s">
        <v>2966</v>
      </c>
      <c r="D545" s="669">
        <v>3100</v>
      </c>
    </row>
    <row r="546" spans="1:4" s="23" customFormat="1" ht="22.5" customHeight="1" x14ac:dyDescent="0.25">
      <c r="A546" s="667">
        <v>538</v>
      </c>
      <c r="B546" s="668" t="s">
        <v>2967</v>
      </c>
      <c r="C546" s="885" t="s">
        <v>2968</v>
      </c>
      <c r="D546" s="669">
        <v>7750</v>
      </c>
    </row>
    <row r="547" spans="1:4" s="23" customFormat="1" ht="22.5" customHeight="1" x14ac:dyDescent="0.25">
      <c r="A547" s="667">
        <v>539</v>
      </c>
      <c r="B547" s="668" t="s">
        <v>2969</v>
      </c>
      <c r="C547" s="885" t="s">
        <v>2970</v>
      </c>
      <c r="D547" s="669">
        <v>3102.59</v>
      </c>
    </row>
    <row r="548" spans="1:4" s="23" customFormat="1" ht="22.5" customHeight="1" x14ac:dyDescent="0.25">
      <c r="A548" s="667">
        <v>540</v>
      </c>
      <c r="B548" s="668" t="s">
        <v>2971</v>
      </c>
      <c r="C548" s="885" t="s">
        <v>2972</v>
      </c>
      <c r="D548" s="669">
        <v>76200</v>
      </c>
    </row>
    <row r="549" spans="1:4" s="23" customFormat="1" ht="22.5" customHeight="1" x14ac:dyDescent="0.25">
      <c r="A549" s="667">
        <v>541</v>
      </c>
      <c r="B549" s="668" t="s">
        <v>2973</v>
      </c>
      <c r="C549" s="885" t="s">
        <v>2974</v>
      </c>
      <c r="D549" s="669">
        <v>2481.89</v>
      </c>
    </row>
    <row r="550" spans="1:4" s="23" customFormat="1" ht="22.5" customHeight="1" x14ac:dyDescent="0.25">
      <c r="A550" s="667">
        <v>542</v>
      </c>
      <c r="B550" s="668" t="s">
        <v>2975</v>
      </c>
      <c r="C550" s="885" t="s">
        <v>2976</v>
      </c>
      <c r="D550" s="669">
        <v>3000</v>
      </c>
    </row>
    <row r="551" spans="1:4" s="23" customFormat="1" ht="22.5" customHeight="1" x14ac:dyDescent="0.25">
      <c r="A551" s="667">
        <v>543</v>
      </c>
      <c r="B551" s="668" t="s">
        <v>2977</v>
      </c>
      <c r="C551" s="885" t="s">
        <v>2978</v>
      </c>
      <c r="D551" s="669">
        <v>2509.2199999999998</v>
      </c>
    </row>
    <row r="552" spans="1:4" s="23" customFormat="1" ht="22.5" customHeight="1" x14ac:dyDescent="0.25">
      <c r="A552" s="667">
        <v>544</v>
      </c>
      <c r="B552" s="668" t="s">
        <v>2979</v>
      </c>
      <c r="C552" s="885" t="s">
        <v>2980</v>
      </c>
      <c r="D552" s="669">
        <v>11500</v>
      </c>
    </row>
    <row r="553" spans="1:4" s="23" customFormat="1" ht="22.5" customHeight="1" x14ac:dyDescent="0.25">
      <c r="A553" s="667">
        <v>545</v>
      </c>
      <c r="B553" s="668" t="s">
        <v>2981</v>
      </c>
      <c r="C553" s="885" t="s">
        <v>2982</v>
      </c>
      <c r="D553" s="669">
        <v>19000</v>
      </c>
    </row>
    <row r="554" spans="1:4" s="23" customFormat="1" ht="22.5" customHeight="1" x14ac:dyDescent="0.25">
      <c r="A554" s="667">
        <v>546</v>
      </c>
      <c r="B554" s="668" t="s">
        <v>2983</v>
      </c>
      <c r="C554" s="885" t="s">
        <v>2984</v>
      </c>
      <c r="D554" s="669">
        <v>2930.17</v>
      </c>
    </row>
    <row r="555" spans="1:4" s="23" customFormat="1" ht="22.5" customHeight="1" x14ac:dyDescent="0.25">
      <c r="A555" s="667">
        <v>547</v>
      </c>
      <c r="B555" s="668" t="s">
        <v>2985</v>
      </c>
      <c r="C555" s="885" t="s">
        <v>2986</v>
      </c>
      <c r="D555" s="669">
        <v>2997.57</v>
      </c>
    </row>
    <row r="556" spans="1:4" s="23" customFormat="1" x14ac:dyDescent="0.25">
      <c r="A556" s="667">
        <v>548</v>
      </c>
      <c r="B556" s="668" t="s">
        <v>2987</v>
      </c>
      <c r="C556" s="885" t="s">
        <v>2988</v>
      </c>
      <c r="D556" s="669">
        <v>5980</v>
      </c>
    </row>
    <row r="557" spans="1:4" s="23" customFormat="1" ht="25.5" x14ac:dyDescent="0.25">
      <c r="A557" s="667">
        <v>549</v>
      </c>
      <c r="B557" s="668" t="s">
        <v>2989</v>
      </c>
      <c r="C557" s="885" t="s">
        <v>2990</v>
      </c>
      <c r="D557" s="669">
        <v>10591</v>
      </c>
    </row>
    <row r="558" spans="1:4" s="23" customFormat="1" ht="38.25" x14ac:dyDescent="0.25">
      <c r="A558" s="667">
        <v>550</v>
      </c>
      <c r="B558" s="668" t="s">
        <v>2991</v>
      </c>
      <c r="C558" s="885" t="s">
        <v>2992</v>
      </c>
      <c r="D558" s="669">
        <v>40680</v>
      </c>
    </row>
    <row r="559" spans="1:4" s="23" customFormat="1" ht="25.5" x14ac:dyDescent="0.25">
      <c r="A559" s="667">
        <v>551</v>
      </c>
      <c r="B559" s="668" t="s">
        <v>2993</v>
      </c>
      <c r="C559" s="885" t="s">
        <v>2994</v>
      </c>
      <c r="D559" s="669">
        <v>5470</v>
      </c>
    </row>
    <row r="560" spans="1:4" s="23" customFormat="1" ht="25.5" x14ac:dyDescent="0.25">
      <c r="A560" s="667">
        <v>552</v>
      </c>
      <c r="B560" s="668" t="s">
        <v>2995</v>
      </c>
      <c r="C560" s="885" t="s">
        <v>2996</v>
      </c>
      <c r="D560" s="669">
        <v>7326.72</v>
      </c>
    </row>
    <row r="561" spans="1:4" s="23" customFormat="1" ht="25.5" x14ac:dyDescent="0.25">
      <c r="A561" s="667">
        <v>553</v>
      </c>
      <c r="B561" s="668" t="s">
        <v>2997</v>
      </c>
      <c r="C561" s="885" t="s">
        <v>2998</v>
      </c>
      <c r="D561" s="669">
        <v>5430.25</v>
      </c>
    </row>
    <row r="562" spans="1:4" s="23" customFormat="1" ht="63.75" x14ac:dyDescent="0.25">
      <c r="A562" s="667">
        <v>554</v>
      </c>
      <c r="B562" s="668" t="s">
        <v>2999</v>
      </c>
      <c r="C562" s="885" t="s">
        <v>3000</v>
      </c>
      <c r="D562" s="669">
        <v>69589</v>
      </c>
    </row>
    <row r="563" spans="1:4" s="23" customFormat="1" x14ac:dyDescent="0.25">
      <c r="A563" s="667">
        <v>555</v>
      </c>
      <c r="B563" s="668" t="s">
        <v>3001</v>
      </c>
      <c r="C563" s="885" t="s">
        <v>3002</v>
      </c>
      <c r="D563" s="669">
        <v>144782.60999999999</v>
      </c>
    </row>
    <row r="564" spans="1:4" s="23" customFormat="1" ht="22.5" customHeight="1" x14ac:dyDescent="0.25">
      <c r="A564" s="667">
        <v>556</v>
      </c>
      <c r="B564" s="668" t="s">
        <v>3003</v>
      </c>
      <c r="C564" s="885" t="s">
        <v>3004</v>
      </c>
      <c r="D564" s="669">
        <v>1</v>
      </c>
    </row>
    <row r="565" spans="1:4" s="23" customFormat="1" ht="22.5" customHeight="1" x14ac:dyDescent="0.25">
      <c r="A565" s="667">
        <v>557</v>
      </c>
      <c r="B565" s="668" t="s">
        <v>3005</v>
      </c>
      <c r="C565" s="885" t="s">
        <v>3006</v>
      </c>
      <c r="D565" s="669">
        <v>172437.07</v>
      </c>
    </row>
    <row r="566" spans="1:4" s="23" customFormat="1" ht="22.5" customHeight="1" x14ac:dyDescent="0.25">
      <c r="A566" s="667">
        <v>558</v>
      </c>
      <c r="B566" s="668" t="s">
        <v>3007</v>
      </c>
      <c r="C566" s="885" t="s">
        <v>3008</v>
      </c>
      <c r="D566" s="669">
        <v>146876.35999999999</v>
      </c>
    </row>
    <row r="567" spans="1:4" s="23" customFormat="1" ht="22.5" customHeight="1" x14ac:dyDescent="0.25">
      <c r="A567" s="667">
        <v>559</v>
      </c>
      <c r="B567" s="668" t="s">
        <v>3009</v>
      </c>
      <c r="C567" s="885" t="s">
        <v>3010</v>
      </c>
      <c r="D567" s="669">
        <v>146956.51999999999</v>
      </c>
    </row>
    <row r="568" spans="1:4" s="23" customFormat="1" ht="22.5" customHeight="1" x14ac:dyDescent="0.25">
      <c r="A568" s="667">
        <v>560</v>
      </c>
      <c r="B568" s="668" t="s">
        <v>3011</v>
      </c>
      <c r="C568" s="885" t="s">
        <v>3012</v>
      </c>
      <c r="D568" s="669">
        <v>146956.51999999999</v>
      </c>
    </row>
    <row r="569" spans="1:4" s="23" customFormat="1" ht="22.5" customHeight="1" x14ac:dyDescent="0.25">
      <c r="A569" s="667">
        <v>561</v>
      </c>
      <c r="B569" s="668" t="s">
        <v>3013</v>
      </c>
      <c r="C569" s="885" t="s">
        <v>3014</v>
      </c>
      <c r="D569" s="669">
        <v>207121.74</v>
      </c>
    </row>
    <row r="570" spans="1:4" s="23" customFormat="1" ht="22.5" customHeight="1" x14ac:dyDescent="0.25">
      <c r="A570" s="667">
        <v>562</v>
      </c>
      <c r="B570" s="668" t="s">
        <v>3015</v>
      </c>
      <c r="C570" s="885" t="s">
        <v>3016</v>
      </c>
      <c r="D570" s="669">
        <v>196400</v>
      </c>
    </row>
    <row r="571" spans="1:4" s="23" customFormat="1" ht="22.5" customHeight="1" x14ac:dyDescent="0.25">
      <c r="A571" s="667">
        <v>563</v>
      </c>
      <c r="B571" s="668" t="s">
        <v>3017</v>
      </c>
      <c r="C571" s="885" t="s">
        <v>3006</v>
      </c>
      <c r="D571" s="669">
        <v>172437.07</v>
      </c>
    </row>
    <row r="572" spans="1:4" s="23" customFormat="1" ht="22.5" customHeight="1" x14ac:dyDescent="0.25">
      <c r="A572" s="667">
        <v>564</v>
      </c>
      <c r="B572" s="668" t="s">
        <v>3018</v>
      </c>
      <c r="C572" s="885" t="s">
        <v>3019</v>
      </c>
      <c r="D572" s="669">
        <v>172437.07</v>
      </c>
    </row>
    <row r="573" spans="1:4" s="23" customFormat="1" ht="22.5" customHeight="1" x14ac:dyDescent="0.25">
      <c r="A573" s="667">
        <v>565</v>
      </c>
      <c r="B573" s="668" t="s">
        <v>3020</v>
      </c>
      <c r="C573" s="885" t="s">
        <v>3021</v>
      </c>
      <c r="D573" s="669">
        <v>333913.03999999998</v>
      </c>
    </row>
    <row r="574" spans="1:4" s="23" customFormat="1" ht="22.5" customHeight="1" x14ac:dyDescent="0.25">
      <c r="A574" s="667">
        <v>566</v>
      </c>
      <c r="B574" s="668" t="s">
        <v>3022</v>
      </c>
      <c r="C574" s="885" t="s">
        <v>3023</v>
      </c>
      <c r="D574" s="669">
        <v>266379.31</v>
      </c>
    </row>
    <row r="575" spans="1:4" s="23" customFormat="1" ht="22.5" customHeight="1" x14ac:dyDescent="0.25">
      <c r="A575" s="667">
        <v>567</v>
      </c>
      <c r="B575" s="668" t="s">
        <v>3024</v>
      </c>
      <c r="C575" s="885" t="s">
        <v>3012</v>
      </c>
      <c r="D575" s="669">
        <v>146956.51999999999</v>
      </c>
    </row>
    <row r="576" spans="1:4" s="23" customFormat="1" ht="22.5" customHeight="1" x14ac:dyDescent="0.25">
      <c r="A576" s="667">
        <v>568</v>
      </c>
      <c r="B576" s="668" t="s">
        <v>3025</v>
      </c>
      <c r="C576" s="885" t="s">
        <v>3026</v>
      </c>
      <c r="D576" s="669">
        <v>164000</v>
      </c>
    </row>
    <row r="577" spans="1:4" s="23" customFormat="1" ht="22.5" customHeight="1" x14ac:dyDescent="0.25">
      <c r="A577" s="667">
        <v>569</v>
      </c>
      <c r="B577" s="668" t="s">
        <v>3027</v>
      </c>
      <c r="C577" s="885" t="s">
        <v>3028</v>
      </c>
      <c r="D577" s="669">
        <v>162600</v>
      </c>
    </row>
    <row r="578" spans="1:4" s="23" customFormat="1" ht="22.5" customHeight="1" x14ac:dyDescent="0.25">
      <c r="A578" s="667">
        <v>570</v>
      </c>
      <c r="B578" s="668" t="s">
        <v>3029</v>
      </c>
      <c r="C578" s="885" t="s">
        <v>3016</v>
      </c>
      <c r="D578" s="669">
        <v>196400</v>
      </c>
    </row>
    <row r="579" spans="1:4" s="23" customFormat="1" ht="22.5" customHeight="1" x14ac:dyDescent="0.25">
      <c r="A579" s="667">
        <v>571</v>
      </c>
      <c r="B579" s="668" t="s">
        <v>3030</v>
      </c>
      <c r="C579" s="885" t="s">
        <v>3031</v>
      </c>
      <c r="D579" s="669">
        <v>6230969.9800000004</v>
      </c>
    </row>
    <row r="580" spans="1:4" s="23" customFormat="1" ht="22.5" customHeight="1" x14ac:dyDescent="0.25">
      <c r="A580" s="667">
        <v>572</v>
      </c>
      <c r="B580" s="668" t="s">
        <v>3032</v>
      </c>
      <c r="C580" s="885" t="s">
        <v>3033</v>
      </c>
      <c r="D580" s="669">
        <v>7758.62</v>
      </c>
    </row>
    <row r="581" spans="1:4" s="23" customFormat="1" ht="22.5" customHeight="1" x14ac:dyDescent="0.25">
      <c r="A581" s="667">
        <v>573</v>
      </c>
      <c r="B581" s="668" t="s">
        <v>3034</v>
      </c>
      <c r="C581" s="885" t="s">
        <v>3035</v>
      </c>
      <c r="D581" s="669">
        <v>8620.69</v>
      </c>
    </row>
    <row r="582" spans="1:4" s="23" customFormat="1" ht="41.25" customHeight="1" x14ac:dyDescent="0.25">
      <c r="A582" s="667">
        <v>574</v>
      </c>
      <c r="B582" s="668" t="s">
        <v>3036</v>
      </c>
      <c r="C582" s="885" t="s">
        <v>3037</v>
      </c>
      <c r="D582" s="669">
        <v>2766400</v>
      </c>
    </row>
    <row r="583" spans="1:4" s="23" customFormat="1" ht="41.25" customHeight="1" x14ac:dyDescent="0.25">
      <c r="A583" s="667">
        <v>575</v>
      </c>
      <c r="B583" s="668" t="s">
        <v>3038</v>
      </c>
      <c r="C583" s="885" t="s">
        <v>3039</v>
      </c>
      <c r="D583" s="669">
        <v>2766400</v>
      </c>
    </row>
    <row r="584" spans="1:4" s="23" customFormat="1" ht="63.75" x14ac:dyDescent="0.25">
      <c r="A584" s="667">
        <v>576</v>
      </c>
      <c r="B584" s="668" t="s">
        <v>3040</v>
      </c>
      <c r="C584" s="885" t="s">
        <v>3041</v>
      </c>
      <c r="D584" s="669">
        <v>626524.25</v>
      </c>
    </row>
    <row r="585" spans="1:4" s="23" customFormat="1" ht="51" x14ac:dyDescent="0.25">
      <c r="A585" s="667">
        <v>577</v>
      </c>
      <c r="B585" s="668" t="s">
        <v>3042</v>
      </c>
      <c r="C585" s="885" t="s">
        <v>3043</v>
      </c>
      <c r="D585" s="669">
        <v>512610.75</v>
      </c>
    </row>
    <row r="586" spans="1:4" s="23" customFormat="1" ht="41.25" customHeight="1" x14ac:dyDescent="0.25">
      <c r="A586" s="667">
        <v>578</v>
      </c>
      <c r="B586" s="668" t="s">
        <v>3044</v>
      </c>
      <c r="C586" s="885" t="s">
        <v>3045</v>
      </c>
      <c r="D586" s="669">
        <v>1500000</v>
      </c>
    </row>
    <row r="587" spans="1:4" s="23" customFormat="1" ht="41.25" customHeight="1" x14ac:dyDescent="0.25">
      <c r="A587" s="667">
        <v>579</v>
      </c>
      <c r="B587" s="668" t="s">
        <v>3046</v>
      </c>
      <c r="C587" s="885" t="s">
        <v>3047</v>
      </c>
      <c r="D587" s="669">
        <v>39000</v>
      </c>
    </row>
    <row r="588" spans="1:4" s="23" customFormat="1" ht="41.25" customHeight="1" x14ac:dyDescent="0.25">
      <c r="A588" s="667">
        <v>580</v>
      </c>
      <c r="B588" s="668" t="s">
        <v>3048</v>
      </c>
      <c r="C588" s="885" t="s">
        <v>3047</v>
      </c>
      <c r="D588" s="669">
        <v>39000</v>
      </c>
    </row>
    <row r="589" spans="1:4" s="23" customFormat="1" ht="41.25" customHeight="1" x14ac:dyDescent="0.25">
      <c r="A589" s="667">
        <v>581</v>
      </c>
      <c r="B589" s="668" t="s">
        <v>3049</v>
      </c>
      <c r="C589" s="885" t="s">
        <v>3047</v>
      </c>
      <c r="D589" s="669">
        <v>39000</v>
      </c>
    </row>
    <row r="590" spans="1:4" s="23" customFormat="1" ht="41.25" customHeight="1" x14ac:dyDescent="0.25">
      <c r="A590" s="667">
        <v>582</v>
      </c>
      <c r="B590" s="668" t="s">
        <v>3050</v>
      </c>
      <c r="C590" s="885" t="s">
        <v>3051</v>
      </c>
      <c r="D590" s="669">
        <v>26648</v>
      </c>
    </row>
    <row r="591" spans="1:4" s="23" customFormat="1" ht="41.25" customHeight="1" x14ac:dyDescent="0.25">
      <c r="A591" s="667">
        <v>583</v>
      </c>
      <c r="B591" s="668" t="s">
        <v>3052</v>
      </c>
      <c r="C591" s="885" t="s">
        <v>3053</v>
      </c>
      <c r="D591" s="669">
        <v>127000</v>
      </c>
    </row>
    <row r="592" spans="1:4" s="23" customFormat="1" ht="41.25" customHeight="1" x14ac:dyDescent="0.25">
      <c r="A592" s="667">
        <v>584</v>
      </c>
      <c r="B592" s="668" t="s">
        <v>3054</v>
      </c>
      <c r="C592" s="885" t="s">
        <v>3055</v>
      </c>
      <c r="D592" s="669">
        <v>14400</v>
      </c>
    </row>
    <row r="593" spans="1:4" s="23" customFormat="1" ht="41.25" customHeight="1" x14ac:dyDescent="0.25">
      <c r="A593" s="667">
        <v>585</v>
      </c>
      <c r="B593" s="668" t="s">
        <v>3056</v>
      </c>
      <c r="C593" s="885" t="s">
        <v>3057</v>
      </c>
      <c r="D593" s="669">
        <v>1690</v>
      </c>
    </row>
    <row r="594" spans="1:4" s="23" customFormat="1" ht="41.25" customHeight="1" x14ac:dyDescent="0.25">
      <c r="A594" s="667">
        <v>586</v>
      </c>
      <c r="B594" s="668" t="s">
        <v>3058</v>
      </c>
      <c r="C594" s="885" t="s">
        <v>3059</v>
      </c>
      <c r="D594" s="669">
        <v>3280</v>
      </c>
    </row>
    <row r="595" spans="1:4" s="23" customFormat="1" ht="41.25" customHeight="1" x14ac:dyDescent="0.25">
      <c r="A595" s="667">
        <v>587</v>
      </c>
      <c r="B595" s="668" t="s">
        <v>3060</v>
      </c>
      <c r="C595" s="885" t="s">
        <v>3061</v>
      </c>
      <c r="D595" s="669">
        <v>5570</v>
      </c>
    </row>
    <row r="596" spans="1:4" s="23" customFormat="1" ht="41.25" customHeight="1" x14ac:dyDescent="0.25">
      <c r="A596" s="667">
        <v>588</v>
      </c>
      <c r="B596" s="668" t="s">
        <v>3062</v>
      </c>
      <c r="C596" s="885" t="s">
        <v>3061</v>
      </c>
      <c r="D596" s="669">
        <v>5570</v>
      </c>
    </row>
    <row r="597" spans="1:4" s="23" customFormat="1" ht="41.25" customHeight="1" x14ac:dyDescent="0.25">
      <c r="A597" s="667">
        <v>589</v>
      </c>
      <c r="B597" s="668" t="s">
        <v>3063</v>
      </c>
      <c r="C597" s="885" t="s">
        <v>3064</v>
      </c>
      <c r="D597" s="669">
        <v>3355</v>
      </c>
    </row>
    <row r="598" spans="1:4" s="23" customFormat="1" ht="41.25" customHeight="1" x14ac:dyDescent="0.25">
      <c r="A598" s="667">
        <v>590</v>
      </c>
      <c r="B598" s="668" t="s">
        <v>3065</v>
      </c>
      <c r="C598" s="885" t="s">
        <v>3064</v>
      </c>
      <c r="D598" s="669">
        <v>3355</v>
      </c>
    </row>
    <row r="599" spans="1:4" s="23" customFormat="1" ht="25.5" x14ac:dyDescent="0.25">
      <c r="A599" s="667">
        <v>591</v>
      </c>
      <c r="B599" s="668" t="s">
        <v>3066</v>
      </c>
      <c r="C599" s="885" t="s">
        <v>3057</v>
      </c>
      <c r="D599" s="669">
        <v>1690</v>
      </c>
    </row>
    <row r="600" spans="1:4" s="23" customFormat="1" ht="22.5" customHeight="1" x14ac:dyDescent="0.25">
      <c r="A600" s="667">
        <v>592</v>
      </c>
      <c r="B600" s="668" t="s">
        <v>3067</v>
      </c>
      <c r="C600" s="885" t="s">
        <v>3068</v>
      </c>
      <c r="D600" s="669">
        <v>1200</v>
      </c>
    </row>
    <row r="601" spans="1:4" s="23" customFormat="1" ht="22.5" customHeight="1" x14ac:dyDescent="0.25">
      <c r="A601" s="667">
        <v>593</v>
      </c>
      <c r="B601" s="668" t="s">
        <v>3069</v>
      </c>
      <c r="C601" s="885" t="s">
        <v>3070</v>
      </c>
      <c r="D601" s="669">
        <v>8635</v>
      </c>
    </row>
    <row r="602" spans="1:4" s="23" customFormat="1" ht="22.5" customHeight="1" x14ac:dyDescent="0.25">
      <c r="A602" s="667">
        <v>594</v>
      </c>
      <c r="B602" s="668" t="s">
        <v>3071</v>
      </c>
      <c r="C602" s="885" t="s">
        <v>3072</v>
      </c>
      <c r="D602" s="669">
        <v>3275</v>
      </c>
    </row>
    <row r="603" spans="1:4" s="23" customFormat="1" ht="22.5" customHeight="1" x14ac:dyDescent="0.25">
      <c r="A603" s="667">
        <v>595</v>
      </c>
      <c r="B603" s="668" t="s">
        <v>3073</v>
      </c>
      <c r="C603" s="885" t="s">
        <v>3074</v>
      </c>
      <c r="D603" s="669">
        <v>4093</v>
      </c>
    </row>
    <row r="604" spans="1:4" s="23" customFormat="1" ht="22.5" customHeight="1" x14ac:dyDescent="0.25">
      <c r="A604" s="667">
        <v>596</v>
      </c>
      <c r="B604" s="668" t="s">
        <v>3075</v>
      </c>
      <c r="C604" s="885" t="s">
        <v>3076</v>
      </c>
      <c r="D604" s="669">
        <v>4671</v>
      </c>
    </row>
    <row r="605" spans="1:4" s="23" customFormat="1" ht="22.5" customHeight="1" x14ac:dyDescent="0.25">
      <c r="A605" s="667">
        <v>597</v>
      </c>
      <c r="B605" s="668" t="s">
        <v>3077</v>
      </c>
      <c r="C605" s="885" t="s">
        <v>3078</v>
      </c>
      <c r="D605" s="669">
        <v>2000</v>
      </c>
    </row>
    <row r="606" spans="1:4" s="23" customFormat="1" ht="25.5" x14ac:dyDescent="0.25">
      <c r="A606" s="667">
        <v>598</v>
      </c>
      <c r="B606" s="668" t="s">
        <v>3079</v>
      </c>
      <c r="C606" s="885" t="s">
        <v>3057</v>
      </c>
      <c r="D606" s="669">
        <v>1690</v>
      </c>
    </row>
    <row r="607" spans="1:4" s="23" customFormat="1" ht="22.5" customHeight="1" x14ac:dyDescent="0.25">
      <c r="A607" s="667">
        <v>599</v>
      </c>
      <c r="B607" s="668" t="s">
        <v>3080</v>
      </c>
      <c r="C607" s="885" t="s">
        <v>3081</v>
      </c>
      <c r="D607" s="669">
        <v>6190</v>
      </c>
    </row>
    <row r="608" spans="1:4" s="23" customFormat="1" ht="22.5" customHeight="1" x14ac:dyDescent="0.25">
      <c r="A608" s="667">
        <v>600</v>
      </c>
      <c r="B608" s="668" t="s">
        <v>3082</v>
      </c>
      <c r="C608" s="885" t="s">
        <v>3083</v>
      </c>
      <c r="D608" s="669">
        <v>3879.31</v>
      </c>
    </row>
    <row r="609" spans="1:4" s="23" customFormat="1" ht="22.5" customHeight="1" x14ac:dyDescent="0.25">
      <c r="A609" s="667">
        <v>601</v>
      </c>
      <c r="B609" s="668" t="s">
        <v>3084</v>
      </c>
      <c r="C609" s="885" t="s">
        <v>3083</v>
      </c>
      <c r="D609" s="669">
        <v>3879.31</v>
      </c>
    </row>
    <row r="610" spans="1:4" s="23" customFormat="1" ht="22.5" customHeight="1" x14ac:dyDescent="0.25">
      <c r="A610" s="667">
        <v>602</v>
      </c>
      <c r="B610" s="668" t="s">
        <v>3085</v>
      </c>
      <c r="C610" s="885" t="s">
        <v>3083</v>
      </c>
      <c r="D610" s="669">
        <v>3879.31</v>
      </c>
    </row>
    <row r="611" spans="1:4" s="23" customFormat="1" ht="22.5" customHeight="1" x14ac:dyDescent="0.25">
      <c r="A611" s="667">
        <v>603</v>
      </c>
      <c r="B611" s="668" t="s">
        <v>3086</v>
      </c>
      <c r="C611" s="885" t="s">
        <v>3087</v>
      </c>
      <c r="D611" s="669">
        <v>30415.599999999999</v>
      </c>
    </row>
    <row r="612" spans="1:4" s="23" customFormat="1" ht="22.5" customHeight="1" x14ac:dyDescent="0.25">
      <c r="A612" s="667">
        <v>604</v>
      </c>
      <c r="B612" s="668" t="s">
        <v>3088</v>
      </c>
      <c r="C612" s="885" t="s">
        <v>3089</v>
      </c>
      <c r="D612" s="669">
        <v>136206.89000000001</v>
      </c>
    </row>
    <row r="613" spans="1:4" s="23" customFormat="1" ht="22.5" customHeight="1" x14ac:dyDescent="0.25">
      <c r="A613" s="667">
        <v>605</v>
      </c>
      <c r="B613" s="668" t="s">
        <v>3090</v>
      </c>
      <c r="C613" s="885" t="s">
        <v>3091</v>
      </c>
      <c r="D613" s="669">
        <v>136206.89000000001</v>
      </c>
    </row>
    <row r="614" spans="1:4" s="23" customFormat="1" ht="22.5" customHeight="1" x14ac:dyDescent="0.25">
      <c r="A614" s="667">
        <v>606</v>
      </c>
      <c r="B614" s="668" t="s">
        <v>3092</v>
      </c>
      <c r="C614" s="885" t="s">
        <v>3093</v>
      </c>
      <c r="D614" s="669">
        <v>136206.89000000001</v>
      </c>
    </row>
    <row r="615" spans="1:4" s="23" customFormat="1" ht="22.5" customHeight="1" x14ac:dyDescent="0.25">
      <c r="A615" s="667">
        <v>607</v>
      </c>
      <c r="B615" s="668" t="s">
        <v>3094</v>
      </c>
      <c r="C615" s="885" t="s">
        <v>3095</v>
      </c>
      <c r="D615" s="669">
        <v>11803.32</v>
      </c>
    </row>
    <row r="616" spans="1:4" s="23" customFormat="1" ht="22.5" customHeight="1" x14ac:dyDescent="0.25">
      <c r="A616" s="667">
        <v>608</v>
      </c>
      <c r="B616" s="668" t="s">
        <v>3096</v>
      </c>
      <c r="C616" s="885" t="s">
        <v>3097</v>
      </c>
      <c r="D616" s="669">
        <v>2975.63</v>
      </c>
    </row>
    <row r="617" spans="1:4" s="23" customFormat="1" ht="22.5" customHeight="1" x14ac:dyDescent="0.25">
      <c r="A617" s="667">
        <v>609</v>
      </c>
      <c r="B617" s="668" t="s">
        <v>3096</v>
      </c>
      <c r="C617" s="885" t="s">
        <v>3097</v>
      </c>
      <c r="D617" s="669">
        <v>2975.63</v>
      </c>
    </row>
    <row r="618" spans="1:4" s="23" customFormat="1" ht="22.5" customHeight="1" x14ac:dyDescent="0.25">
      <c r="A618" s="667">
        <v>610</v>
      </c>
      <c r="B618" s="668" t="s">
        <v>3098</v>
      </c>
      <c r="C618" s="885" t="s">
        <v>3099</v>
      </c>
      <c r="D618" s="669">
        <v>809.89</v>
      </c>
    </row>
    <row r="619" spans="1:4" s="23" customFormat="1" ht="22.5" customHeight="1" x14ac:dyDescent="0.25">
      <c r="A619" s="667">
        <v>611</v>
      </c>
      <c r="B619" s="668" t="s">
        <v>3100</v>
      </c>
      <c r="C619" s="885" t="s">
        <v>3101</v>
      </c>
      <c r="D619" s="669">
        <v>3570.75</v>
      </c>
    </row>
    <row r="620" spans="1:4" s="23" customFormat="1" ht="22.5" customHeight="1" x14ac:dyDescent="0.25">
      <c r="A620" s="667">
        <v>612</v>
      </c>
      <c r="B620" s="668" t="s">
        <v>3102</v>
      </c>
      <c r="C620" s="885" t="s">
        <v>3103</v>
      </c>
      <c r="D620" s="669">
        <v>694.32</v>
      </c>
    </row>
    <row r="621" spans="1:4" s="23" customFormat="1" ht="22.5" customHeight="1" x14ac:dyDescent="0.25">
      <c r="A621" s="667">
        <v>613</v>
      </c>
      <c r="B621" s="668" t="s">
        <v>3104</v>
      </c>
      <c r="C621" s="885" t="s">
        <v>3105</v>
      </c>
      <c r="D621" s="669">
        <v>991.88</v>
      </c>
    </row>
    <row r="622" spans="1:4" s="23" customFormat="1" ht="22.5" customHeight="1" x14ac:dyDescent="0.25">
      <c r="A622" s="667">
        <v>614</v>
      </c>
      <c r="B622" s="668" t="s">
        <v>3106</v>
      </c>
      <c r="C622" s="885" t="s">
        <v>3107</v>
      </c>
      <c r="D622" s="669">
        <v>3967.5</v>
      </c>
    </row>
    <row r="623" spans="1:4" s="23" customFormat="1" ht="22.5" customHeight="1" x14ac:dyDescent="0.25">
      <c r="A623" s="667">
        <v>615</v>
      </c>
      <c r="B623" s="668" t="s">
        <v>3108</v>
      </c>
      <c r="C623" s="885" t="s">
        <v>3109</v>
      </c>
      <c r="D623" s="669">
        <v>10910.63</v>
      </c>
    </row>
    <row r="624" spans="1:4" s="23" customFormat="1" ht="22.5" customHeight="1" x14ac:dyDescent="0.25">
      <c r="A624" s="667">
        <v>616</v>
      </c>
      <c r="B624" s="668" t="s">
        <v>3110</v>
      </c>
      <c r="C624" s="885" t="s">
        <v>3111</v>
      </c>
      <c r="D624" s="669">
        <v>8232.57</v>
      </c>
    </row>
    <row r="625" spans="1:4" s="23" customFormat="1" ht="22.5" customHeight="1" x14ac:dyDescent="0.25">
      <c r="A625" s="667">
        <v>617</v>
      </c>
      <c r="B625" s="668" t="s">
        <v>3112</v>
      </c>
      <c r="C625" s="885" t="s">
        <v>3113</v>
      </c>
      <c r="D625" s="669">
        <v>1269.5999999999999</v>
      </c>
    </row>
    <row r="626" spans="1:4" s="23" customFormat="1" ht="22.5" customHeight="1" x14ac:dyDescent="0.25">
      <c r="A626" s="667">
        <v>618</v>
      </c>
      <c r="B626" s="668" t="s">
        <v>3114</v>
      </c>
      <c r="C626" s="885" t="s">
        <v>3115</v>
      </c>
      <c r="D626" s="669">
        <v>1686.18</v>
      </c>
    </row>
    <row r="627" spans="1:4" s="23" customFormat="1" ht="22.5" customHeight="1" x14ac:dyDescent="0.25">
      <c r="A627" s="667">
        <v>619</v>
      </c>
      <c r="B627" s="668" t="s">
        <v>3116</v>
      </c>
      <c r="C627" s="885" t="s">
        <v>3117</v>
      </c>
      <c r="D627" s="669">
        <v>34241.24</v>
      </c>
    </row>
    <row r="628" spans="1:4" s="23" customFormat="1" ht="22.5" customHeight="1" x14ac:dyDescent="0.25">
      <c r="A628" s="667">
        <v>620</v>
      </c>
      <c r="B628" s="668" t="s">
        <v>3118</v>
      </c>
      <c r="C628" s="885" t="s">
        <v>3119</v>
      </c>
      <c r="D628" s="669">
        <v>8430.93</v>
      </c>
    </row>
    <row r="629" spans="1:4" s="23" customFormat="1" ht="22.5" customHeight="1" x14ac:dyDescent="0.25">
      <c r="A629" s="667">
        <v>621</v>
      </c>
      <c r="B629" s="668" t="s">
        <v>3120</v>
      </c>
      <c r="C629" s="885" t="s">
        <v>3121</v>
      </c>
      <c r="D629" s="669">
        <v>10811.43</v>
      </c>
    </row>
    <row r="630" spans="1:4" s="23" customFormat="1" ht="22.5" customHeight="1" x14ac:dyDescent="0.25">
      <c r="A630" s="667">
        <v>622</v>
      </c>
      <c r="B630" s="668" t="s">
        <v>3122</v>
      </c>
      <c r="C630" s="885" t="s">
        <v>3123</v>
      </c>
      <c r="D630" s="669">
        <v>6645.56</v>
      </c>
    </row>
    <row r="631" spans="1:4" s="23" customFormat="1" ht="22.5" customHeight="1" x14ac:dyDescent="0.25">
      <c r="A631" s="667">
        <v>623</v>
      </c>
      <c r="B631" s="668" t="s">
        <v>3124</v>
      </c>
      <c r="C631" s="885" t="s">
        <v>3125</v>
      </c>
      <c r="D631" s="669">
        <v>4150</v>
      </c>
    </row>
    <row r="632" spans="1:4" s="23" customFormat="1" ht="22.5" customHeight="1" x14ac:dyDescent="0.25">
      <c r="A632" s="667">
        <v>624</v>
      </c>
      <c r="B632" s="668" t="s">
        <v>3126</v>
      </c>
      <c r="C632" s="885" t="s">
        <v>3125</v>
      </c>
      <c r="D632" s="669">
        <v>4150</v>
      </c>
    </row>
    <row r="633" spans="1:4" s="23" customFormat="1" ht="22.5" customHeight="1" x14ac:dyDescent="0.25">
      <c r="A633" s="667">
        <v>625</v>
      </c>
      <c r="B633" s="668" t="s">
        <v>3127</v>
      </c>
      <c r="C633" s="885" t="s">
        <v>3128</v>
      </c>
      <c r="D633" s="669">
        <v>35588</v>
      </c>
    </row>
    <row r="634" spans="1:4" s="23" customFormat="1" ht="22.5" customHeight="1" x14ac:dyDescent="0.25">
      <c r="A634" s="667">
        <v>626</v>
      </c>
      <c r="B634" s="668" t="s">
        <v>3129</v>
      </c>
      <c r="C634" s="885" t="s">
        <v>3130</v>
      </c>
      <c r="D634" s="669">
        <v>59083.97</v>
      </c>
    </row>
    <row r="635" spans="1:4" s="23" customFormat="1" ht="22.5" customHeight="1" x14ac:dyDescent="0.25">
      <c r="A635" s="667">
        <v>627</v>
      </c>
      <c r="B635" s="668" t="s">
        <v>3131</v>
      </c>
      <c r="C635" s="885" t="s">
        <v>3132</v>
      </c>
      <c r="D635" s="669">
        <v>2415</v>
      </c>
    </row>
    <row r="636" spans="1:4" s="23" customFormat="1" ht="22.5" customHeight="1" x14ac:dyDescent="0.25">
      <c r="A636" s="667">
        <v>628</v>
      </c>
      <c r="B636" s="668" t="s">
        <v>3133</v>
      </c>
      <c r="C636" s="885" t="s">
        <v>3134</v>
      </c>
      <c r="D636" s="669">
        <v>3484.5</v>
      </c>
    </row>
    <row r="637" spans="1:4" s="23" customFormat="1" ht="25.5" x14ac:dyDescent="0.25">
      <c r="A637" s="667">
        <v>629</v>
      </c>
      <c r="B637" s="668" t="s">
        <v>3135</v>
      </c>
      <c r="C637" s="885" t="s">
        <v>3136</v>
      </c>
      <c r="D637" s="669">
        <v>10557</v>
      </c>
    </row>
    <row r="638" spans="1:4" s="23" customFormat="1" ht="38.25" x14ac:dyDescent="0.25">
      <c r="A638" s="667">
        <v>630</v>
      </c>
      <c r="B638" s="668" t="s">
        <v>3137</v>
      </c>
      <c r="C638" s="885" t="s">
        <v>3138</v>
      </c>
      <c r="D638" s="669">
        <v>431</v>
      </c>
    </row>
    <row r="639" spans="1:4" s="23" customFormat="1" ht="38.25" x14ac:dyDescent="0.25">
      <c r="A639" s="667">
        <v>631</v>
      </c>
      <c r="B639" s="668" t="s">
        <v>3139</v>
      </c>
      <c r="C639" s="885" t="s">
        <v>3140</v>
      </c>
      <c r="D639" s="669">
        <v>598</v>
      </c>
    </row>
    <row r="640" spans="1:4" s="23" customFormat="1" ht="22.5" customHeight="1" x14ac:dyDescent="0.25">
      <c r="A640" s="667">
        <v>632</v>
      </c>
      <c r="B640" s="668" t="s">
        <v>3141</v>
      </c>
      <c r="C640" s="885" t="s">
        <v>3142</v>
      </c>
      <c r="D640" s="669">
        <v>16330</v>
      </c>
    </row>
    <row r="641" spans="1:4" s="23" customFormat="1" ht="38.25" x14ac:dyDescent="0.25">
      <c r="A641" s="667">
        <v>633</v>
      </c>
      <c r="B641" s="668" t="s">
        <v>3143</v>
      </c>
      <c r="C641" s="885" t="s">
        <v>3144</v>
      </c>
      <c r="D641" s="669">
        <v>159562.5</v>
      </c>
    </row>
    <row r="642" spans="1:4" s="23" customFormat="1" ht="22.5" customHeight="1" x14ac:dyDescent="0.25">
      <c r="A642" s="667">
        <v>634</v>
      </c>
      <c r="B642" s="668" t="s">
        <v>3145</v>
      </c>
      <c r="C642" s="885" t="s">
        <v>3146</v>
      </c>
      <c r="D642" s="669">
        <v>8400</v>
      </c>
    </row>
    <row r="643" spans="1:4" s="23" customFormat="1" ht="22.5" customHeight="1" x14ac:dyDescent="0.25">
      <c r="A643" s="667">
        <v>635</v>
      </c>
      <c r="B643" s="668" t="s">
        <v>3147</v>
      </c>
      <c r="C643" s="885" t="s">
        <v>3148</v>
      </c>
      <c r="D643" s="669">
        <v>8105</v>
      </c>
    </row>
    <row r="644" spans="1:4" s="23" customFormat="1" ht="22.5" customHeight="1" x14ac:dyDescent="0.25">
      <c r="A644" s="667">
        <v>636</v>
      </c>
      <c r="B644" s="668" t="s">
        <v>3149</v>
      </c>
      <c r="C644" s="885" t="s">
        <v>3150</v>
      </c>
      <c r="D644" s="669">
        <v>2150</v>
      </c>
    </row>
    <row r="645" spans="1:4" s="23" customFormat="1" ht="22.5" customHeight="1" x14ac:dyDescent="0.25">
      <c r="A645" s="667">
        <v>637</v>
      </c>
      <c r="B645" s="668" t="s">
        <v>3151</v>
      </c>
      <c r="C645" s="885" t="s">
        <v>3152</v>
      </c>
      <c r="D645" s="669">
        <v>1705</v>
      </c>
    </row>
    <row r="646" spans="1:4" s="23" customFormat="1" ht="22.5" customHeight="1" x14ac:dyDescent="0.25">
      <c r="A646" s="667">
        <v>638</v>
      </c>
      <c r="B646" s="668" t="s">
        <v>3153</v>
      </c>
      <c r="C646" s="885" t="s">
        <v>3154</v>
      </c>
      <c r="D646" s="669">
        <v>11009.28</v>
      </c>
    </row>
    <row r="647" spans="1:4" s="23" customFormat="1" ht="22.5" customHeight="1" x14ac:dyDescent="0.25">
      <c r="A647" s="667">
        <v>639</v>
      </c>
      <c r="B647" s="668" t="s">
        <v>3155</v>
      </c>
      <c r="C647" s="885" t="s">
        <v>3156</v>
      </c>
      <c r="D647" s="669">
        <v>44604.160000000003</v>
      </c>
    </row>
    <row r="648" spans="1:4" s="23" customFormat="1" ht="22.5" customHeight="1" x14ac:dyDescent="0.25">
      <c r="A648" s="667">
        <v>640</v>
      </c>
      <c r="B648" s="668" t="s">
        <v>3157</v>
      </c>
      <c r="C648" s="885" t="s">
        <v>3132</v>
      </c>
      <c r="D648" s="669">
        <v>2530</v>
      </c>
    </row>
    <row r="649" spans="1:4" s="23" customFormat="1" ht="38.25" x14ac:dyDescent="0.25">
      <c r="A649" s="667">
        <v>641</v>
      </c>
      <c r="B649" s="668" t="s">
        <v>3158</v>
      </c>
      <c r="C649" s="885" t="s">
        <v>3159</v>
      </c>
      <c r="D649" s="669">
        <v>12420</v>
      </c>
    </row>
    <row r="650" spans="1:4" s="23" customFormat="1" ht="63.75" x14ac:dyDescent="0.25">
      <c r="A650" s="667">
        <v>642</v>
      </c>
      <c r="B650" s="668" t="s">
        <v>3160</v>
      </c>
      <c r="C650" s="885" t="s">
        <v>3161</v>
      </c>
      <c r="D650" s="669">
        <v>5175</v>
      </c>
    </row>
    <row r="651" spans="1:4" s="23" customFormat="1" ht="76.5" x14ac:dyDescent="0.25">
      <c r="A651" s="667">
        <v>643</v>
      </c>
      <c r="B651" s="668" t="s">
        <v>3162</v>
      </c>
      <c r="C651" s="885" t="s">
        <v>3163</v>
      </c>
      <c r="D651" s="669">
        <v>7475</v>
      </c>
    </row>
    <row r="652" spans="1:4" s="23" customFormat="1" ht="102" x14ac:dyDescent="0.25">
      <c r="A652" s="667">
        <v>644</v>
      </c>
      <c r="B652" s="668" t="s">
        <v>3164</v>
      </c>
      <c r="C652" s="885" t="s">
        <v>3165</v>
      </c>
      <c r="D652" s="669">
        <v>74980</v>
      </c>
    </row>
    <row r="653" spans="1:4" s="23" customFormat="1" ht="25.5" x14ac:dyDescent="0.25">
      <c r="A653" s="667">
        <v>645</v>
      </c>
      <c r="B653" s="668" t="s">
        <v>3166</v>
      </c>
      <c r="C653" s="885" t="s">
        <v>3167</v>
      </c>
      <c r="D653" s="669">
        <v>173500</v>
      </c>
    </row>
    <row r="654" spans="1:4" s="23" customFormat="1" ht="38.25" x14ac:dyDescent="0.25">
      <c r="A654" s="667">
        <v>646</v>
      </c>
      <c r="B654" s="668" t="s">
        <v>3168</v>
      </c>
      <c r="C654" s="885" t="s">
        <v>3169</v>
      </c>
      <c r="D654" s="669">
        <v>67275</v>
      </c>
    </row>
    <row r="655" spans="1:4" s="23" customFormat="1" ht="25.5" x14ac:dyDescent="0.25">
      <c r="A655" s="667">
        <v>647</v>
      </c>
      <c r="B655" s="668" t="s">
        <v>3170</v>
      </c>
      <c r="C655" s="885" t="s">
        <v>3171</v>
      </c>
      <c r="D655" s="669">
        <v>1171.8499999999999</v>
      </c>
    </row>
    <row r="656" spans="1:4" s="23" customFormat="1" x14ac:dyDescent="0.25">
      <c r="A656" s="667">
        <v>648</v>
      </c>
      <c r="B656" s="668" t="s">
        <v>3172</v>
      </c>
      <c r="C656" s="885" t="s">
        <v>3173</v>
      </c>
      <c r="D656" s="669">
        <v>661.59</v>
      </c>
    </row>
    <row r="657" spans="1:4" s="23" customFormat="1" x14ac:dyDescent="0.25">
      <c r="A657" s="667">
        <v>649</v>
      </c>
      <c r="B657" s="668" t="s">
        <v>3174</v>
      </c>
      <c r="C657" s="885" t="s">
        <v>3175</v>
      </c>
      <c r="D657" s="669">
        <v>6841.47</v>
      </c>
    </row>
    <row r="658" spans="1:4" s="23" customFormat="1" x14ac:dyDescent="0.25">
      <c r="A658" s="667">
        <v>650</v>
      </c>
      <c r="B658" s="668" t="s">
        <v>3176</v>
      </c>
      <c r="C658" s="885" t="s">
        <v>3177</v>
      </c>
      <c r="D658" s="669">
        <v>5003.1000000000004</v>
      </c>
    </row>
    <row r="659" spans="1:4" s="23" customFormat="1" ht="25.5" x14ac:dyDescent="0.25">
      <c r="A659" s="667">
        <v>651</v>
      </c>
      <c r="B659" s="668" t="s">
        <v>3178</v>
      </c>
      <c r="C659" s="885" t="s">
        <v>3179</v>
      </c>
      <c r="D659" s="669">
        <v>2000</v>
      </c>
    </row>
    <row r="660" spans="1:4" s="23" customFormat="1" ht="25.5" x14ac:dyDescent="0.25">
      <c r="A660" s="667">
        <v>652</v>
      </c>
      <c r="B660" s="668" t="s">
        <v>3180</v>
      </c>
      <c r="C660" s="885" t="s">
        <v>3181</v>
      </c>
      <c r="D660" s="669">
        <v>2500</v>
      </c>
    </row>
    <row r="661" spans="1:4" s="23" customFormat="1" x14ac:dyDescent="0.25">
      <c r="A661" s="667">
        <v>653</v>
      </c>
      <c r="B661" s="668" t="s">
        <v>3182</v>
      </c>
      <c r="C661" s="885" t="s">
        <v>3183</v>
      </c>
      <c r="D661" s="669">
        <v>14040</v>
      </c>
    </row>
    <row r="662" spans="1:4" s="23" customFormat="1" x14ac:dyDescent="0.25">
      <c r="A662" s="667">
        <v>654</v>
      </c>
      <c r="B662" s="668" t="s">
        <v>3184</v>
      </c>
      <c r="C662" s="885" t="s">
        <v>3185</v>
      </c>
      <c r="D662" s="669">
        <v>4862</v>
      </c>
    </row>
    <row r="663" spans="1:4" s="23" customFormat="1" x14ac:dyDescent="0.25">
      <c r="A663" s="667">
        <v>655</v>
      </c>
      <c r="B663" s="668" t="s">
        <v>3186</v>
      </c>
      <c r="C663" s="885" t="s">
        <v>3187</v>
      </c>
      <c r="D663" s="669">
        <v>15797.07</v>
      </c>
    </row>
    <row r="664" spans="1:4" s="23" customFormat="1" ht="38.25" x14ac:dyDescent="0.25">
      <c r="A664" s="667">
        <v>656</v>
      </c>
      <c r="B664" s="668" t="s">
        <v>3188</v>
      </c>
      <c r="C664" s="885" t="s">
        <v>3189</v>
      </c>
      <c r="D664" s="669">
        <v>5130</v>
      </c>
    </row>
    <row r="665" spans="1:4" s="23" customFormat="1" ht="25.5" x14ac:dyDescent="0.25">
      <c r="A665" s="667">
        <v>657</v>
      </c>
      <c r="B665" s="668" t="s">
        <v>3190</v>
      </c>
      <c r="C665" s="885" t="s">
        <v>3191</v>
      </c>
      <c r="D665" s="669">
        <v>2970</v>
      </c>
    </row>
    <row r="666" spans="1:4" s="23" customFormat="1" x14ac:dyDescent="0.25">
      <c r="A666" s="667">
        <v>658</v>
      </c>
      <c r="B666" s="668" t="s">
        <v>3192</v>
      </c>
      <c r="C666" s="885" t="s">
        <v>3193</v>
      </c>
      <c r="D666" s="669">
        <v>2430</v>
      </c>
    </row>
    <row r="667" spans="1:4" s="23" customFormat="1" x14ac:dyDescent="0.25">
      <c r="A667" s="667">
        <v>659</v>
      </c>
      <c r="B667" s="668" t="s">
        <v>3194</v>
      </c>
      <c r="C667" s="885" t="s">
        <v>3195</v>
      </c>
      <c r="D667" s="669">
        <v>2565</v>
      </c>
    </row>
    <row r="668" spans="1:4" s="23" customFormat="1" ht="38.25" x14ac:dyDescent="0.25">
      <c r="A668" s="667">
        <v>660</v>
      </c>
      <c r="B668" s="668" t="s">
        <v>3196</v>
      </c>
      <c r="C668" s="885" t="s">
        <v>3197</v>
      </c>
      <c r="D668" s="669">
        <v>29821</v>
      </c>
    </row>
    <row r="669" spans="1:4" s="23" customFormat="1" x14ac:dyDescent="0.25">
      <c r="A669" s="667">
        <v>661</v>
      </c>
      <c r="B669" s="668" t="s">
        <v>3198</v>
      </c>
      <c r="C669" s="885" t="s">
        <v>3199</v>
      </c>
      <c r="D669" s="669">
        <v>29042.240000000002</v>
      </c>
    </row>
    <row r="670" spans="1:4" s="23" customFormat="1" x14ac:dyDescent="0.25">
      <c r="A670" s="667">
        <v>662</v>
      </c>
      <c r="B670" s="668" t="s">
        <v>3200</v>
      </c>
      <c r="C670" s="885" t="s">
        <v>3199</v>
      </c>
      <c r="D670" s="669">
        <v>12843.97</v>
      </c>
    </row>
    <row r="671" spans="1:4" s="23" customFormat="1" x14ac:dyDescent="0.25">
      <c r="A671" s="667">
        <v>663</v>
      </c>
      <c r="B671" s="668" t="s">
        <v>3201</v>
      </c>
      <c r="C671" s="885" t="s">
        <v>3199</v>
      </c>
      <c r="D671" s="669">
        <v>12843.97</v>
      </c>
    </row>
    <row r="672" spans="1:4" s="23" customFormat="1" x14ac:dyDescent="0.25">
      <c r="A672" s="667">
        <v>664</v>
      </c>
      <c r="B672" s="668" t="s">
        <v>3202</v>
      </c>
      <c r="C672" s="885" t="s">
        <v>3203</v>
      </c>
      <c r="D672" s="669">
        <v>2977400</v>
      </c>
    </row>
    <row r="673" spans="1:4" s="23" customFormat="1" x14ac:dyDescent="0.25">
      <c r="A673" s="667">
        <v>665</v>
      </c>
      <c r="B673" s="668" t="s">
        <v>3204</v>
      </c>
      <c r="C673" s="885" t="s">
        <v>3205</v>
      </c>
      <c r="D673" s="669">
        <v>1310344.83</v>
      </c>
    </row>
    <row r="674" spans="1:4" s="23" customFormat="1" x14ac:dyDescent="0.25">
      <c r="A674" s="667">
        <v>666</v>
      </c>
      <c r="B674" s="668" t="s">
        <v>3206</v>
      </c>
      <c r="C674" s="885" t="s">
        <v>3207</v>
      </c>
      <c r="D674" s="669">
        <v>12000000</v>
      </c>
    </row>
    <row r="675" spans="1:4" s="23" customFormat="1" ht="22.5" customHeight="1" x14ac:dyDescent="0.25">
      <c r="A675" s="667">
        <v>667</v>
      </c>
      <c r="B675" s="886" t="s">
        <v>3208</v>
      </c>
      <c r="C675" s="885" t="s">
        <v>3209</v>
      </c>
      <c r="D675" s="669">
        <v>219720</v>
      </c>
    </row>
    <row r="676" spans="1:4" s="23" customFormat="1" ht="22.5" customHeight="1" x14ac:dyDescent="0.25">
      <c r="A676" s="667">
        <v>668</v>
      </c>
      <c r="B676" s="886" t="s">
        <v>3210</v>
      </c>
      <c r="C676" s="885" t="s">
        <v>3211</v>
      </c>
      <c r="D676" s="669">
        <v>9935</v>
      </c>
    </row>
    <row r="677" spans="1:4" s="23" customFormat="1" ht="22.5" customHeight="1" x14ac:dyDescent="0.25">
      <c r="A677" s="667">
        <v>669</v>
      </c>
      <c r="B677" s="886" t="s">
        <v>3212</v>
      </c>
      <c r="C677" s="885" t="s">
        <v>3213</v>
      </c>
      <c r="D677" s="669">
        <v>18450</v>
      </c>
    </row>
    <row r="678" spans="1:4" s="23" customFormat="1" ht="22.5" customHeight="1" x14ac:dyDescent="0.25">
      <c r="A678" s="667">
        <v>670</v>
      </c>
      <c r="B678" s="886" t="s">
        <v>3214</v>
      </c>
      <c r="C678" s="885" t="s">
        <v>3215</v>
      </c>
      <c r="D678" s="669">
        <v>23950</v>
      </c>
    </row>
    <row r="679" spans="1:4" s="23" customFormat="1" ht="22.5" customHeight="1" x14ac:dyDescent="0.25">
      <c r="A679" s="667">
        <v>671</v>
      </c>
      <c r="B679" s="886" t="s">
        <v>3216</v>
      </c>
      <c r="C679" s="885" t="s">
        <v>3217</v>
      </c>
      <c r="D679" s="669">
        <v>16900</v>
      </c>
    </row>
    <row r="680" spans="1:4" s="23" customFormat="1" ht="22.5" customHeight="1" x14ac:dyDescent="0.25">
      <c r="A680" s="667">
        <v>672</v>
      </c>
      <c r="B680" s="886" t="s">
        <v>3218</v>
      </c>
      <c r="C680" s="885" t="s">
        <v>3219</v>
      </c>
      <c r="D680" s="669">
        <v>43850</v>
      </c>
    </row>
    <row r="681" spans="1:4" s="23" customFormat="1" ht="22.5" customHeight="1" x14ac:dyDescent="0.25">
      <c r="A681" s="667">
        <v>673</v>
      </c>
      <c r="B681" s="886" t="s">
        <v>3220</v>
      </c>
      <c r="C681" s="885" t="s">
        <v>3221</v>
      </c>
      <c r="D681" s="669">
        <v>6730</v>
      </c>
    </row>
    <row r="682" spans="1:4" s="23" customFormat="1" ht="22.5" customHeight="1" x14ac:dyDescent="0.25">
      <c r="A682" s="667">
        <v>674</v>
      </c>
      <c r="B682" s="886" t="s">
        <v>3222</v>
      </c>
      <c r="C682" s="885" t="s">
        <v>3223</v>
      </c>
      <c r="D682" s="669">
        <v>99826.65</v>
      </c>
    </row>
    <row r="683" spans="1:4" s="23" customFormat="1" ht="22.5" customHeight="1" x14ac:dyDescent="0.25">
      <c r="A683" s="667">
        <v>675</v>
      </c>
      <c r="B683" s="886" t="s">
        <v>3224</v>
      </c>
      <c r="C683" s="885" t="s">
        <v>3225</v>
      </c>
      <c r="D683" s="669">
        <v>43250</v>
      </c>
    </row>
    <row r="684" spans="1:4" s="23" customFormat="1" ht="22.5" customHeight="1" x14ac:dyDescent="0.25">
      <c r="A684" s="667">
        <v>676</v>
      </c>
      <c r="B684" s="886" t="s">
        <v>3226</v>
      </c>
      <c r="C684" s="885" t="s">
        <v>3227</v>
      </c>
      <c r="D684" s="669">
        <v>112051.5</v>
      </c>
    </row>
    <row r="685" spans="1:4" s="23" customFormat="1" ht="22.5" customHeight="1" x14ac:dyDescent="0.25">
      <c r="A685" s="667">
        <v>677</v>
      </c>
      <c r="B685" s="886" t="s">
        <v>3228</v>
      </c>
      <c r="C685" s="885" t="s">
        <v>3229</v>
      </c>
      <c r="D685" s="669">
        <v>45000</v>
      </c>
    </row>
    <row r="686" spans="1:4" s="23" customFormat="1" ht="22.5" customHeight="1" x14ac:dyDescent="0.25">
      <c r="A686" s="667">
        <v>678</v>
      </c>
      <c r="B686" s="886" t="s">
        <v>3230</v>
      </c>
      <c r="C686" s="885" t="s">
        <v>3231</v>
      </c>
      <c r="D686" s="669">
        <v>22500</v>
      </c>
    </row>
    <row r="687" spans="1:4" s="23" customFormat="1" ht="22.5" customHeight="1" x14ac:dyDescent="0.25">
      <c r="A687" s="667">
        <v>679</v>
      </c>
      <c r="B687" s="886" t="s">
        <v>3232</v>
      </c>
      <c r="C687" s="885" t="s">
        <v>3233</v>
      </c>
      <c r="D687" s="669">
        <v>1</v>
      </c>
    </row>
    <row r="688" spans="1:4" s="23" customFormat="1" ht="22.5" customHeight="1" x14ac:dyDescent="0.25">
      <c r="A688" s="667">
        <v>680</v>
      </c>
      <c r="B688" s="886" t="s">
        <v>3234</v>
      </c>
      <c r="C688" s="885" t="s">
        <v>3233</v>
      </c>
      <c r="D688" s="669">
        <v>1</v>
      </c>
    </row>
    <row r="689" spans="1:4" s="23" customFormat="1" ht="22.5" customHeight="1" x14ac:dyDescent="0.25">
      <c r="A689" s="667">
        <v>681</v>
      </c>
      <c r="B689" s="886" t="s">
        <v>3235</v>
      </c>
      <c r="C689" s="885" t="s">
        <v>3233</v>
      </c>
      <c r="D689" s="669">
        <v>1</v>
      </c>
    </row>
    <row r="690" spans="1:4" s="23" customFormat="1" ht="22.5" customHeight="1" x14ac:dyDescent="0.25">
      <c r="A690" s="667">
        <v>682</v>
      </c>
      <c r="B690" s="886" t="s">
        <v>3236</v>
      </c>
      <c r="C690" s="885" t="s">
        <v>3233</v>
      </c>
      <c r="D690" s="669">
        <v>1</v>
      </c>
    </row>
    <row r="691" spans="1:4" s="23" customFormat="1" ht="22.5" customHeight="1" x14ac:dyDescent="0.25">
      <c r="A691" s="667">
        <v>683</v>
      </c>
      <c r="B691" s="886" t="s">
        <v>3237</v>
      </c>
      <c r="C691" s="885" t="s">
        <v>3233</v>
      </c>
      <c r="D691" s="669">
        <v>1</v>
      </c>
    </row>
    <row r="692" spans="1:4" s="23" customFormat="1" ht="22.5" customHeight="1" x14ac:dyDescent="0.25">
      <c r="A692" s="667">
        <v>684</v>
      </c>
      <c r="B692" s="886" t="s">
        <v>3238</v>
      </c>
      <c r="C692" s="885" t="s">
        <v>3239</v>
      </c>
      <c r="D692" s="669">
        <v>9800</v>
      </c>
    </row>
    <row r="693" spans="1:4" s="23" customFormat="1" ht="22.5" customHeight="1" x14ac:dyDescent="0.25">
      <c r="A693" s="667">
        <v>685</v>
      </c>
      <c r="B693" s="886" t="s">
        <v>3240</v>
      </c>
      <c r="C693" s="885" t="s">
        <v>3241</v>
      </c>
      <c r="D693" s="669">
        <v>22425</v>
      </c>
    </row>
    <row r="694" spans="1:4" s="23" customFormat="1" ht="22.5" customHeight="1" x14ac:dyDescent="0.25">
      <c r="A694" s="667">
        <v>686</v>
      </c>
      <c r="B694" s="886" t="s">
        <v>3242</v>
      </c>
      <c r="C694" s="885" t="s">
        <v>3243</v>
      </c>
      <c r="D694" s="669">
        <v>8950</v>
      </c>
    </row>
    <row r="695" spans="1:4" s="23" customFormat="1" ht="22.5" customHeight="1" x14ac:dyDescent="0.25">
      <c r="A695" s="667">
        <v>687</v>
      </c>
      <c r="B695" s="886" t="s">
        <v>3244</v>
      </c>
      <c r="C695" s="885" t="s">
        <v>3245</v>
      </c>
      <c r="D695" s="669">
        <v>6600</v>
      </c>
    </row>
    <row r="696" spans="1:4" s="23" customFormat="1" ht="22.5" customHeight="1" x14ac:dyDescent="0.25">
      <c r="A696" s="667">
        <v>688</v>
      </c>
      <c r="B696" s="886" t="s">
        <v>3246</v>
      </c>
      <c r="C696" s="885" t="s">
        <v>3247</v>
      </c>
      <c r="D696" s="669">
        <v>24133.33</v>
      </c>
    </row>
    <row r="697" spans="1:4" s="23" customFormat="1" ht="22.5" customHeight="1" x14ac:dyDescent="0.25">
      <c r="A697" s="667">
        <v>689</v>
      </c>
      <c r="B697" s="886" t="s">
        <v>3248</v>
      </c>
      <c r="C697" s="885" t="s">
        <v>3249</v>
      </c>
      <c r="D697" s="669">
        <v>15000</v>
      </c>
    </row>
    <row r="698" spans="1:4" s="23" customFormat="1" ht="22.5" customHeight="1" x14ac:dyDescent="0.25">
      <c r="A698" s="667">
        <v>690</v>
      </c>
      <c r="B698" s="886" t="s">
        <v>3250</v>
      </c>
      <c r="C698" s="885" t="s">
        <v>3251</v>
      </c>
      <c r="D698" s="669">
        <v>7500</v>
      </c>
    </row>
    <row r="699" spans="1:4" s="23" customFormat="1" ht="22.5" customHeight="1" x14ac:dyDescent="0.25">
      <c r="A699" s="667">
        <v>691</v>
      </c>
      <c r="B699" s="886" t="s">
        <v>3252</v>
      </c>
      <c r="C699" s="885" t="s">
        <v>3253</v>
      </c>
      <c r="D699" s="669">
        <v>6500</v>
      </c>
    </row>
    <row r="700" spans="1:4" s="23" customFormat="1" ht="22.5" customHeight="1" x14ac:dyDescent="0.25">
      <c r="A700" s="667">
        <v>692</v>
      </c>
      <c r="B700" s="886" t="s">
        <v>3254</v>
      </c>
      <c r="C700" s="885" t="s">
        <v>3255</v>
      </c>
      <c r="D700" s="669">
        <v>20552</v>
      </c>
    </row>
    <row r="701" spans="1:4" s="23" customFormat="1" ht="22.5" customHeight="1" x14ac:dyDescent="0.25">
      <c r="A701" s="667">
        <v>693</v>
      </c>
      <c r="B701" s="886" t="s">
        <v>3256</v>
      </c>
      <c r="C701" s="885" t="s">
        <v>3257</v>
      </c>
      <c r="D701" s="669">
        <v>15860</v>
      </c>
    </row>
    <row r="702" spans="1:4" s="23" customFormat="1" ht="22.5" customHeight="1" x14ac:dyDescent="0.25">
      <c r="A702" s="667">
        <v>694</v>
      </c>
      <c r="B702" s="886" t="s">
        <v>3258</v>
      </c>
      <c r="C702" s="885" t="s">
        <v>3259</v>
      </c>
      <c r="D702" s="669">
        <v>35500</v>
      </c>
    </row>
    <row r="703" spans="1:4" s="23" customFormat="1" ht="22.5" customHeight="1" x14ac:dyDescent="0.25">
      <c r="A703" s="667">
        <v>695</v>
      </c>
      <c r="B703" s="886" t="s">
        <v>3260</v>
      </c>
      <c r="C703" s="885" t="s">
        <v>3255</v>
      </c>
      <c r="D703" s="669">
        <v>20500</v>
      </c>
    </row>
    <row r="704" spans="1:4" s="23" customFormat="1" ht="22.5" customHeight="1" x14ac:dyDescent="0.25">
      <c r="A704" s="667">
        <v>696</v>
      </c>
      <c r="B704" s="886" t="s">
        <v>3261</v>
      </c>
      <c r="C704" s="885" t="s">
        <v>3262</v>
      </c>
      <c r="D704" s="669">
        <v>41887.5</v>
      </c>
    </row>
    <row r="705" spans="1:4" s="23" customFormat="1" ht="22.5" customHeight="1" x14ac:dyDescent="0.25">
      <c r="A705" s="667">
        <v>697</v>
      </c>
      <c r="B705" s="886" t="s">
        <v>3263</v>
      </c>
      <c r="C705" s="885" t="s">
        <v>3264</v>
      </c>
      <c r="D705" s="669">
        <v>29209.55</v>
      </c>
    </row>
    <row r="706" spans="1:4" s="23" customFormat="1" ht="22.5" customHeight="1" x14ac:dyDescent="0.25">
      <c r="A706" s="667">
        <v>698</v>
      </c>
      <c r="B706" s="886" t="s">
        <v>3265</v>
      </c>
      <c r="C706" s="885" t="s">
        <v>3266</v>
      </c>
      <c r="D706" s="669">
        <v>95918.1</v>
      </c>
    </row>
    <row r="707" spans="1:4" s="23" customFormat="1" ht="22.5" customHeight="1" x14ac:dyDescent="0.25">
      <c r="A707" s="667">
        <v>699</v>
      </c>
      <c r="B707" s="886" t="s">
        <v>3267</v>
      </c>
      <c r="C707" s="885" t="s">
        <v>3268</v>
      </c>
      <c r="D707" s="669">
        <v>48931.35</v>
      </c>
    </row>
    <row r="708" spans="1:4" s="23" customFormat="1" ht="22.5" customHeight="1" x14ac:dyDescent="0.25">
      <c r="A708" s="667">
        <v>700</v>
      </c>
      <c r="B708" s="886" t="s">
        <v>3269</v>
      </c>
      <c r="C708" s="885" t="s">
        <v>3270</v>
      </c>
      <c r="D708" s="669">
        <v>374400</v>
      </c>
    </row>
    <row r="709" spans="1:4" s="23" customFormat="1" ht="22.5" customHeight="1" x14ac:dyDescent="0.25">
      <c r="A709" s="667">
        <v>701</v>
      </c>
      <c r="B709" s="886" t="s">
        <v>3271</v>
      </c>
      <c r="C709" s="885" t="s">
        <v>3272</v>
      </c>
      <c r="D709" s="669">
        <v>48610</v>
      </c>
    </row>
    <row r="710" spans="1:4" s="23" customFormat="1" ht="22.5" customHeight="1" x14ac:dyDescent="0.25">
      <c r="A710" s="667">
        <v>702</v>
      </c>
      <c r="B710" s="886" t="s">
        <v>3273</v>
      </c>
      <c r="C710" s="885" t="s">
        <v>3274</v>
      </c>
      <c r="D710" s="669">
        <v>27876.52</v>
      </c>
    </row>
    <row r="711" spans="1:4" s="23" customFormat="1" ht="22.5" customHeight="1" x14ac:dyDescent="0.25">
      <c r="A711" s="667">
        <v>703</v>
      </c>
      <c r="B711" s="886" t="s">
        <v>3275</v>
      </c>
      <c r="C711" s="885" t="s">
        <v>3274</v>
      </c>
      <c r="D711" s="669">
        <v>27876.52</v>
      </c>
    </row>
    <row r="712" spans="1:4" s="23" customFormat="1" ht="22.5" customHeight="1" x14ac:dyDescent="0.25">
      <c r="A712" s="667">
        <v>704</v>
      </c>
      <c r="B712" s="886" t="s">
        <v>3276</v>
      </c>
      <c r="C712" s="885" t="s">
        <v>3277</v>
      </c>
      <c r="D712" s="669">
        <v>2503317.06</v>
      </c>
    </row>
    <row r="713" spans="1:4" s="23" customFormat="1" ht="22.5" customHeight="1" x14ac:dyDescent="0.25">
      <c r="A713" s="667">
        <v>705</v>
      </c>
      <c r="B713" s="886" t="s">
        <v>3278</v>
      </c>
      <c r="C713" s="885" t="s">
        <v>3279</v>
      </c>
      <c r="D713" s="669">
        <v>32670</v>
      </c>
    </row>
    <row r="714" spans="1:4" s="23" customFormat="1" ht="22.5" customHeight="1" x14ac:dyDescent="0.25">
      <c r="A714" s="667">
        <v>706</v>
      </c>
      <c r="B714" s="886" t="s">
        <v>3280</v>
      </c>
      <c r="C714" s="885" t="s">
        <v>3281</v>
      </c>
      <c r="D714" s="669">
        <v>10000</v>
      </c>
    </row>
    <row r="715" spans="1:4" s="23" customFormat="1" ht="22.5" customHeight="1" x14ac:dyDescent="0.25">
      <c r="A715" s="667">
        <v>707</v>
      </c>
      <c r="B715" s="886" t="s">
        <v>3282</v>
      </c>
      <c r="C715" s="885" t="s">
        <v>3283</v>
      </c>
      <c r="D715" s="669">
        <v>56577.5</v>
      </c>
    </row>
    <row r="716" spans="1:4" s="23" customFormat="1" ht="22.5" customHeight="1" x14ac:dyDescent="0.25">
      <c r="A716" s="667">
        <v>708</v>
      </c>
      <c r="B716" s="886" t="s">
        <v>3284</v>
      </c>
      <c r="C716" s="885" t="s">
        <v>3285</v>
      </c>
      <c r="D716" s="669">
        <v>59200</v>
      </c>
    </row>
    <row r="717" spans="1:4" s="23" customFormat="1" ht="25.5" x14ac:dyDescent="0.25">
      <c r="A717" s="667">
        <v>709</v>
      </c>
      <c r="B717" s="886" t="s">
        <v>3286</v>
      </c>
      <c r="C717" s="885" t="s">
        <v>3287</v>
      </c>
      <c r="D717" s="669">
        <v>116205.8</v>
      </c>
    </row>
    <row r="718" spans="1:4" s="23" customFormat="1" ht="25.5" x14ac:dyDescent="0.25">
      <c r="A718" s="667">
        <v>710</v>
      </c>
      <c r="B718" s="886" t="s">
        <v>3288</v>
      </c>
      <c r="C718" s="885" t="s">
        <v>3289</v>
      </c>
      <c r="D718" s="669">
        <v>1</v>
      </c>
    </row>
    <row r="719" spans="1:4" s="23" customFormat="1" ht="25.5" x14ac:dyDescent="0.25">
      <c r="A719" s="667">
        <v>711</v>
      </c>
      <c r="B719" s="886" t="s">
        <v>3290</v>
      </c>
      <c r="C719" s="885" t="s">
        <v>3291</v>
      </c>
      <c r="D719" s="669">
        <v>1</v>
      </c>
    </row>
    <row r="720" spans="1:4" s="23" customFormat="1" ht="25.5" x14ac:dyDescent="0.25">
      <c r="A720" s="667">
        <v>712</v>
      </c>
      <c r="B720" s="886" t="s">
        <v>3292</v>
      </c>
      <c r="C720" s="885" t="s">
        <v>3293</v>
      </c>
      <c r="D720" s="669">
        <v>1</v>
      </c>
    </row>
    <row r="721" spans="1:4" s="23" customFormat="1" ht="25.5" x14ac:dyDescent="0.25">
      <c r="A721" s="667">
        <v>713</v>
      </c>
      <c r="B721" s="886" t="s">
        <v>3294</v>
      </c>
      <c r="C721" s="885" t="s">
        <v>3293</v>
      </c>
      <c r="D721" s="669">
        <v>1</v>
      </c>
    </row>
    <row r="722" spans="1:4" s="23" customFormat="1" ht="25.5" x14ac:dyDescent="0.25">
      <c r="A722" s="667">
        <v>714</v>
      </c>
      <c r="B722" s="886" t="s">
        <v>3295</v>
      </c>
      <c r="C722" s="885" t="s">
        <v>3296</v>
      </c>
      <c r="D722" s="669">
        <v>1</v>
      </c>
    </row>
    <row r="723" spans="1:4" s="23" customFormat="1" ht="25.5" x14ac:dyDescent="0.25">
      <c r="A723" s="667">
        <v>715</v>
      </c>
      <c r="B723" s="886" t="s">
        <v>3297</v>
      </c>
      <c r="C723" s="885" t="s">
        <v>3296</v>
      </c>
      <c r="D723" s="669">
        <v>1</v>
      </c>
    </row>
    <row r="724" spans="1:4" s="23" customFormat="1" ht="25.5" x14ac:dyDescent="0.25">
      <c r="A724" s="667">
        <v>716</v>
      </c>
      <c r="B724" s="886" t="s">
        <v>3290</v>
      </c>
      <c r="C724" s="885" t="s">
        <v>3298</v>
      </c>
      <c r="D724" s="669">
        <v>164909</v>
      </c>
    </row>
    <row r="725" spans="1:4" s="23" customFormat="1" ht="25.5" x14ac:dyDescent="0.25">
      <c r="A725" s="667">
        <v>717</v>
      </c>
      <c r="B725" s="886" t="s">
        <v>3292</v>
      </c>
      <c r="C725" s="885" t="s">
        <v>3298</v>
      </c>
      <c r="D725" s="669">
        <v>126453</v>
      </c>
    </row>
    <row r="726" spans="1:4" s="23" customFormat="1" ht="22.5" customHeight="1" x14ac:dyDescent="0.25">
      <c r="A726" s="667">
        <v>718</v>
      </c>
      <c r="B726" s="886" t="s">
        <v>3292</v>
      </c>
      <c r="C726" s="885" t="s">
        <v>3299</v>
      </c>
      <c r="D726" s="669">
        <v>36130</v>
      </c>
    </row>
    <row r="727" spans="1:4" s="23" customFormat="1" ht="22.5" customHeight="1" x14ac:dyDescent="0.25">
      <c r="A727" s="667">
        <v>719</v>
      </c>
      <c r="B727" s="886" t="s">
        <v>3294</v>
      </c>
      <c r="C727" s="885" t="s">
        <v>3300</v>
      </c>
      <c r="D727" s="669">
        <v>24000</v>
      </c>
    </row>
    <row r="728" spans="1:4" s="23" customFormat="1" ht="22.5" customHeight="1" x14ac:dyDescent="0.25">
      <c r="A728" s="667">
        <v>720</v>
      </c>
      <c r="B728" s="886" t="s">
        <v>3295</v>
      </c>
      <c r="C728" s="885" t="s">
        <v>3274</v>
      </c>
      <c r="D728" s="669">
        <v>19584</v>
      </c>
    </row>
    <row r="729" spans="1:4" s="23" customFormat="1" ht="22.5" customHeight="1" x14ac:dyDescent="0.25">
      <c r="A729" s="667">
        <v>721</v>
      </c>
      <c r="B729" s="886" t="s">
        <v>3297</v>
      </c>
      <c r="C729" s="885" t="s">
        <v>3301</v>
      </c>
      <c r="D729" s="669">
        <v>6739.2</v>
      </c>
    </row>
    <row r="730" spans="1:4" s="23" customFormat="1" ht="22.5" customHeight="1" x14ac:dyDescent="0.25">
      <c r="A730" s="667">
        <v>722</v>
      </c>
      <c r="B730" s="886" t="s">
        <v>3302</v>
      </c>
      <c r="C730" s="885" t="s">
        <v>3303</v>
      </c>
      <c r="D730" s="669">
        <v>78720</v>
      </c>
    </row>
    <row r="731" spans="1:4" s="23" customFormat="1" ht="22.5" customHeight="1" x14ac:dyDescent="0.25">
      <c r="A731" s="667">
        <v>723</v>
      </c>
      <c r="B731" s="886" t="s">
        <v>3304</v>
      </c>
      <c r="C731" s="885" t="s">
        <v>3305</v>
      </c>
      <c r="D731" s="669">
        <v>27300</v>
      </c>
    </row>
    <row r="732" spans="1:4" s="23" customFormat="1" ht="22.5" customHeight="1" x14ac:dyDescent="0.25">
      <c r="A732" s="667">
        <v>724</v>
      </c>
      <c r="B732" s="886" t="s">
        <v>3306</v>
      </c>
      <c r="C732" s="885" t="s">
        <v>3307</v>
      </c>
      <c r="D732" s="669">
        <v>14619.93</v>
      </c>
    </row>
    <row r="733" spans="1:4" s="23" customFormat="1" ht="22.5" customHeight="1" x14ac:dyDescent="0.25">
      <c r="A733" s="667">
        <v>725</v>
      </c>
      <c r="B733" s="886" t="s">
        <v>3308</v>
      </c>
      <c r="C733" s="885" t="s">
        <v>3309</v>
      </c>
      <c r="D733" s="669">
        <v>38448</v>
      </c>
    </row>
    <row r="734" spans="1:4" s="23" customFormat="1" ht="22.5" customHeight="1" x14ac:dyDescent="0.25">
      <c r="A734" s="667">
        <v>726</v>
      </c>
      <c r="B734" s="886" t="s">
        <v>3310</v>
      </c>
      <c r="C734" s="885" t="s">
        <v>3311</v>
      </c>
      <c r="D734" s="669">
        <v>75431</v>
      </c>
    </row>
    <row r="735" spans="1:4" s="23" customFormat="1" ht="22.5" customHeight="1" x14ac:dyDescent="0.25">
      <c r="A735" s="667">
        <v>727</v>
      </c>
      <c r="B735" s="886" t="s">
        <v>3312</v>
      </c>
      <c r="C735" s="885" t="s">
        <v>3313</v>
      </c>
      <c r="D735" s="669">
        <v>56028.79</v>
      </c>
    </row>
    <row r="736" spans="1:4" s="23" customFormat="1" ht="22.5" customHeight="1" x14ac:dyDescent="0.25">
      <c r="A736" s="667">
        <v>728</v>
      </c>
      <c r="B736" s="886" t="s">
        <v>3314</v>
      </c>
      <c r="C736" s="885" t="s">
        <v>3315</v>
      </c>
      <c r="D736" s="669">
        <v>29793.1</v>
      </c>
    </row>
    <row r="737" spans="1:4" s="23" customFormat="1" ht="22.5" customHeight="1" x14ac:dyDescent="0.25">
      <c r="A737" s="667">
        <v>729</v>
      </c>
      <c r="B737" s="886" t="s">
        <v>3316</v>
      </c>
      <c r="C737" s="885" t="s">
        <v>3317</v>
      </c>
      <c r="D737" s="669">
        <v>161220</v>
      </c>
    </row>
    <row r="738" spans="1:4" s="23" customFormat="1" ht="22.5" customHeight="1" x14ac:dyDescent="0.25">
      <c r="A738" s="667">
        <v>730</v>
      </c>
      <c r="B738" s="886" t="s">
        <v>3318</v>
      </c>
      <c r="C738" s="885" t="s">
        <v>3319</v>
      </c>
      <c r="D738" s="669">
        <v>54264</v>
      </c>
    </row>
    <row r="739" spans="1:4" s="23" customFormat="1" ht="22.5" customHeight="1" x14ac:dyDescent="0.25">
      <c r="A739" s="667">
        <v>731</v>
      </c>
      <c r="B739" s="886" t="s">
        <v>3320</v>
      </c>
      <c r="C739" s="885" t="s">
        <v>3321</v>
      </c>
      <c r="D739" s="669">
        <v>24032.15</v>
      </c>
    </row>
    <row r="740" spans="1:4" s="23" customFormat="1" ht="22.5" customHeight="1" x14ac:dyDescent="0.25">
      <c r="A740" s="667">
        <v>732</v>
      </c>
      <c r="B740" s="886" t="s">
        <v>3322</v>
      </c>
      <c r="C740" s="885" t="s">
        <v>3323</v>
      </c>
      <c r="D740" s="669">
        <v>46400</v>
      </c>
    </row>
    <row r="741" spans="1:4" s="23" customFormat="1" ht="22.5" customHeight="1" x14ac:dyDescent="0.25">
      <c r="A741" s="667">
        <v>733</v>
      </c>
      <c r="B741" s="886" t="s">
        <v>3324</v>
      </c>
      <c r="C741" s="885" t="s">
        <v>3323</v>
      </c>
      <c r="D741" s="669">
        <v>46400</v>
      </c>
    </row>
    <row r="742" spans="1:4" s="23" customFormat="1" ht="22.5" customHeight="1" x14ac:dyDescent="0.25">
      <c r="A742" s="667">
        <v>734</v>
      </c>
      <c r="B742" s="886" t="s">
        <v>3325</v>
      </c>
      <c r="C742" s="885" t="s">
        <v>3326</v>
      </c>
      <c r="D742" s="669">
        <v>77000</v>
      </c>
    </row>
    <row r="743" spans="1:4" s="23" customFormat="1" ht="22.5" customHeight="1" x14ac:dyDescent="0.25">
      <c r="A743" s="667">
        <v>735</v>
      </c>
      <c r="B743" s="886" t="s">
        <v>3327</v>
      </c>
      <c r="C743" s="885" t="s">
        <v>3326</v>
      </c>
      <c r="D743" s="669">
        <v>77000</v>
      </c>
    </row>
    <row r="744" spans="1:4" s="23" customFormat="1" ht="22.5" customHeight="1" x14ac:dyDescent="0.25">
      <c r="A744" s="667">
        <v>736</v>
      </c>
      <c r="B744" s="886" t="s">
        <v>3328</v>
      </c>
      <c r="C744" s="885" t="s">
        <v>3329</v>
      </c>
      <c r="D744" s="669">
        <v>237000</v>
      </c>
    </row>
    <row r="745" spans="1:4" s="23" customFormat="1" ht="22.5" customHeight="1" x14ac:dyDescent="0.25">
      <c r="A745" s="667">
        <v>737</v>
      </c>
      <c r="B745" s="886" t="s">
        <v>3330</v>
      </c>
      <c r="C745" s="885" t="s">
        <v>3329</v>
      </c>
      <c r="D745" s="669">
        <v>237000</v>
      </c>
    </row>
    <row r="746" spans="1:4" s="23" customFormat="1" ht="22.5" customHeight="1" x14ac:dyDescent="0.25">
      <c r="A746" s="667">
        <v>738</v>
      </c>
      <c r="B746" s="886" t="s">
        <v>3331</v>
      </c>
      <c r="C746" s="885" t="s">
        <v>3332</v>
      </c>
      <c r="D746" s="669">
        <v>32680</v>
      </c>
    </row>
    <row r="747" spans="1:4" s="23" customFormat="1" ht="22.5" customHeight="1" x14ac:dyDescent="0.25">
      <c r="A747" s="667">
        <v>739</v>
      </c>
      <c r="B747" s="886" t="s">
        <v>3333</v>
      </c>
      <c r="C747" s="885" t="s">
        <v>3334</v>
      </c>
      <c r="D747" s="669">
        <v>5378.63</v>
      </c>
    </row>
    <row r="748" spans="1:4" s="23" customFormat="1" ht="22.5" customHeight="1" x14ac:dyDescent="0.25">
      <c r="A748" s="667">
        <v>740</v>
      </c>
      <c r="B748" s="886" t="s">
        <v>3335</v>
      </c>
      <c r="C748" s="885" t="s">
        <v>3336</v>
      </c>
      <c r="D748" s="669">
        <v>32350</v>
      </c>
    </row>
    <row r="749" spans="1:4" s="23" customFormat="1" ht="22.5" customHeight="1" x14ac:dyDescent="0.25">
      <c r="A749" s="667">
        <v>741</v>
      </c>
      <c r="B749" s="886" t="s">
        <v>3337</v>
      </c>
      <c r="C749" s="885" t="s">
        <v>3338</v>
      </c>
      <c r="D749" s="669">
        <v>33000</v>
      </c>
    </row>
    <row r="750" spans="1:4" s="23" customFormat="1" ht="22.5" customHeight="1" x14ac:dyDescent="0.25">
      <c r="A750" s="667">
        <v>742</v>
      </c>
      <c r="B750" s="886" t="s">
        <v>3339</v>
      </c>
      <c r="C750" s="885" t="s">
        <v>3340</v>
      </c>
      <c r="D750" s="669">
        <v>23000</v>
      </c>
    </row>
    <row r="751" spans="1:4" s="23" customFormat="1" ht="22.5" customHeight="1" x14ac:dyDescent="0.25">
      <c r="A751" s="667">
        <v>743</v>
      </c>
      <c r="B751" s="886" t="s">
        <v>3341</v>
      </c>
      <c r="C751" s="885" t="s">
        <v>3342</v>
      </c>
      <c r="D751" s="669">
        <v>35527.54</v>
      </c>
    </row>
    <row r="752" spans="1:4" s="23" customFormat="1" ht="22.5" customHeight="1" x14ac:dyDescent="0.25">
      <c r="A752" s="667">
        <v>744</v>
      </c>
      <c r="B752" s="886" t="s">
        <v>3343</v>
      </c>
      <c r="C752" s="885" t="s">
        <v>3344</v>
      </c>
      <c r="D752" s="669">
        <v>119448</v>
      </c>
    </row>
    <row r="753" spans="1:4" s="23" customFormat="1" ht="22.5" customHeight="1" x14ac:dyDescent="0.25">
      <c r="A753" s="667">
        <v>745</v>
      </c>
      <c r="B753" s="886" t="s">
        <v>3345</v>
      </c>
      <c r="C753" s="885" t="s">
        <v>3344</v>
      </c>
      <c r="D753" s="669">
        <v>119448</v>
      </c>
    </row>
    <row r="754" spans="1:4" s="23" customFormat="1" ht="22.5" customHeight="1" x14ac:dyDescent="0.25">
      <c r="A754" s="667">
        <v>746</v>
      </c>
      <c r="B754" s="886" t="s">
        <v>3346</v>
      </c>
      <c r="C754" s="885" t="s">
        <v>3347</v>
      </c>
      <c r="D754" s="669">
        <v>60556.800000000003</v>
      </c>
    </row>
    <row r="755" spans="1:4" s="23" customFormat="1" ht="22.5" customHeight="1" x14ac:dyDescent="0.25">
      <c r="A755" s="667">
        <v>747</v>
      </c>
      <c r="B755" s="886" t="s">
        <v>3348</v>
      </c>
      <c r="C755" s="885" t="s">
        <v>3349</v>
      </c>
      <c r="D755" s="669">
        <v>41500</v>
      </c>
    </row>
    <row r="756" spans="1:4" s="23" customFormat="1" ht="22.5" customHeight="1" x14ac:dyDescent="0.25">
      <c r="A756" s="667">
        <v>748</v>
      </c>
      <c r="B756" s="886" t="s">
        <v>3350</v>
      </c>
      <c r="C756" s="885" t="s">
        <v>3351</v>
      </c>
      <c r="D756" s="669">
        <v>65400</v>
      </c>
    </row>
    <row r="757" spans="1:4" s="23" customFormat="1" ht="22.5" customHeight="1" x14ac:dyDescent="0.25">
      <c r="A757" s="667">
        <v>749</v>
      </c>
      <c r="B757" s="886" t="s">
        <v>3352</v>
      </c>
      <c r="C757" s="885" t="s">
        <v>3353</v>
      </c>
      <c r="D757" s="669">
        <v>97000</v>
      </c>
    </row>
    <row r="758" spans="1:4" s="23" customFormat="1" ht="22.5" customHeight="1" x14ac:dyDescent="0.25">
      <c r="A758" s="667">
        <v>750</v>
      </c>
      <c r="B758" s="886" t="s">
        <v>3354</v>
      </c>
      <c r="C758" s="885" t="s">
        <v>3355</v>
      </c>
      <c r="D758" s="669">
        <v>46000</v>
      </c>
    </row>
    <row r="759" spans="1:4" s="23" customFormat="1" ht="22.5" customHeight="1" x14ac:dyDescent="0.25">
      <c r="A759" s="667">
        <v>751</v>
      </c>
      <c r="B759" s="886" t="s">
        <v>3356</v>
      </c>
      <c r="C759" s="885" t="s">
        <v>3357</v>
      </c>
      <c r="D759" s="669">
        <v>1</v>
      </c>
    </row>
    <row r="760" spans="1:4" s="23" customFormat="1" ht="22.5" customHeight="1" x14ac:dyDescent="0.25">
      <c r="A760" s="667">
        <v>752</v>
      </c>
      <c r="B760" s="886" t="s">
        <v>3358</v>
      </c>
      <c r="C760" s="885" t="s">
        <v>3359</v>
      </c>
      <c r="D760" s="669">
        <v>43041.38</v>
      </c>
    </row>
    <row r="761" spans="1:4" s="23" customFormat="1" ht="22.5" customHeight="1" x14ac:dyDescent="0.25">
      <c r="A761" s="667">
        <v>753</v>
      </c>
      <c r="B761" s="886" t="s">
        <v>3360</v>
      </c>
      <c r="C761" s="885" t="s">
        <v>3361</v>
      </c>
      <c r="D761" s="669">
        <v>93000</v>
      </c>
    </row>
    <row r="762" spans="1:4" s="23" customFormat="1" ht="22.5" customHeight="1" x14ac:dyDescent="0.25">
      <c r="A762" s="667">
        <v>754</v>
      </c>
      <c r="B762" s="886" t="s">
        <v>3362</v>
      </c>
      <c r="C762" s="885" t="s">
        <v>3361</v>
      </c>
      <c r="D762" s="669">
        <v>78300</v>
      </c>
    </row>
    <row r="763" spans="1:4" s="23" customFormat="1" ht="22.5" customHeight="1" x14ac:dyDescent="0.25">
      <c r="A763" s="667">
        <v>755</v>
      </c>
      <c r="B763" s="886" t="s">
        <v>3363</v>
      </c>
      <c r="C763" s="885" t="s">
        <v>3364</v>
      </c>
      <c r="D763" s="669">
        <v>36000</v>
      </c>
    </row>
    <row r="764" spans="1:4" s="23" customFormat="1" ht="22.5" customHeight="1" x14ac:dyDescent="0.25">
      <c r="A764" s="667">
        <v>756</v>
      </c>
      <c r="B764" s="886" t="s">
        <v>3365</v>
      </c>
      <c r="C764" s="885" t="s">
        <v>3366</v>
      </c>
      <c r="D764" s="669">
        <v>4107384.18</v>
      </c>
    </row>
    <row r="765" spans="1:4" s="23" customFormat="1" ht="22.5" customHeight="1" x14ac:dyDescent="0.25">
      <c r="A765" s="667">
        <v>757</v>
      </c>
      <c r="B765" s="886" t="s">
        <v>3367</v>
      </c>
      <c r="C765" s="885" t="s">
        <v>3368</v>
      </c>
      <c r="D765" s="669">
        <v>1312066.25</v>
      </c>
    </row>
    <row r="766" spans="1:4" s="23" customFormat="1" ht="22.5" customHeight="1" x14ac:dyDescent="0.25">
      <c r="A766" s="667">
        <v>758</v>
      </c>
      <c r="B766" s="886" t="s">
        <v>3369</v>
      </c>
      <c r="C766" s="885" t="s">
        <v>3370</v>
      </c>
      <c r="D766" s="669">
        <v>16940588.969999999</v>
      </c>
    </row>
    <row r="767" spans="1:4" s="23" customFormat="1" ht="22.5" customHeight="1" x14ac:dyDescent="0.25">
      <c r="A767" s="667">
        <v>759</v>
      </c>
      <c r="B767" s="886" t="s">
        <v>3371</v>
      </c>
      <c r="C767" s="885" t="s">
        <v>3372</v>
      </c>
      <c r="D767" s="669">
        <v>1516970.18</v>
      </c>
    </row>
    <row r="768" spans="1:4" s="23" customFormat="1" ht="22.5" customHeight="1" x14ac:dyDescent="0.25">
      <c r="A768" s="667">
        <v>760</v>
      </c>
      <c r="B768" s="886" t="s">
        <v>3373</v>
      </c>
      <c r="C768" s="885" t="s">
        <v>3372</v>
      </c>
      <c r="D768" s="669">
        <v>1516970.18</v>
      </c>
    </row>
    <row r="769" spans="1:4" s="23" customFormat="1" ht="22.5" customHeight="1" x14ac:dyDescent="0.25">
      <c r="A769" s="667">
        <v>761</v>
      </c>
      <c r="B769" s="886" t="s">
        <v>3374</v>
      </c>
      <c r="C769" s="885" t="s">
        <v>3372</v>
      </c>
      <c r="D769" s="669">
        <v>1516970.18</v>
      </c>
    </row>
    <row r="770" spans="1:4" s="23" customFormat="1" ht="22.5" customHeight="1" x14ac:dyDescent="0.25">
      <c r="A770" s="667">
        <v>762</v>
      </c>
      <c r="B770" s="886" t="s">
        <v>3375</v>
      </c>
      <c r="C770" s="885" t="s">
        <v>3376</v>
      </c>
      <c r="D770" s="669">
        <v>19817473.93</v>
      </c>
    </row>
    <row r="771" spans="1:4" s="23" customFormat="1" ht="22.5" customHeight="1" x14ac:dyDescent="0.25">
      <c r="A771" s="667">
        <v>763</v>
      </c>
      <c r="B771" s="886" t="s">
        <v>3377</v>
      </c>
      <c r="C771" s="885" t="s">
        <v>3378</v>
      </c>
      <c r="D771" s="669">
        <v>127000</v>
      </c>
    </row>
    <row r="772" spans="1:4" s="23" customFormat="1" ht="22.5" customHeight="1" x14ac:dyDescent="0.25">
      <c r="A772" s="667">
        <v>764</v>
      </c>
      <c r="B772" s="886" t="s">
        <v>3379</v>
      </c>
      <c r="C772" s="885" t="s">
        <v>3380</v>
      </c>
      <c r="D772" s="669">
        <v>167000</v>
      </c>
    </row>
    <row r="773" spans="1:4" s="23" customFormat="1" ht="22.5" customHeight="1" x14ac:dyDescent="0.25">
      <c r="A773" s="667">
        <v>765</v>
      </c>
      <c r="B773" s="886" t="s">
        <v>3381</v>
      </c>
      <c r="C773" s="885" t="s">
        <v>3382</v>
      </c>
      <c r="D773" s="669">
        <v>34225</v>
      </c>
    </row>
    <row r="774" spans="1:4" s="23" customFormat="1" ht="22.5" customHeight="1" x14ac:dyDescent="0.25">
      <c r="A774" s="667">
        <v>766</v>
      </c>
      <c r="B774" s="886" t="s">
        <v>3383</v>
      </c>
      <c r="C774" s="885" t="s">
        <v>3384</v>
      </c>
      <c r="D774" s="669">
        <v>19547.62</v>
      </c>
    </row>
    <row r="775" spans="1:4" s="23" customFormat="1" ht="22.5" customHeight="1" x14ac:dyDescent="0.25">
      <c r="A775" s="667">
        <v>767</v>
      </c>
      <c r="B775" s="886" t="s">
        <v>3385</v>
      </c>
      <c r="C775" s="885" t="s">
        <v>3386</v>
      </c>
      <c r="D775" s="669">
        <v>13000</v>
      </c>
    </row>
    <row r="776" spans="1:4" s="23" customFormat="1" ht="22.5" customHeight="1" x14ac:dyDescent="0.25">
      <c r="A776" s="667">
        <v>768</v>
      </c>
      <c r="B776" s="886" t="s">
        <v>3387</v>
      </c>
      <c r="C776" s="885" t="s">
        <v>3388</v>
      </c>
      <c r="D776" s="669">
        <v>3200</v>
      </c>
    </row>
    <row r="777" spans="1:4" s="23" customFormat="1" ht="22.5" customHeight="1" x14ac:dyDescent="0.25">
      <c r="A777" s="667">
        <v>769</v>
      </c>
      <c r="B777" s="886" t="s">
        <v>3389</v>
      </c>
      <c r="C777" s="885" t="s">
        <v>3390</v>
      </c>
      <c r="D777" s="669">
        <v>3400</v>
      </c>
    </row>
    <row r="778" spans="1:4" s="23" customFormat="1" ht="22.5" customHeight="1" x14ac:dyDescent="0.25">
      <c r="A778" s="667">
        <v>770</v>
      </c>
      <c r="B778" s="886" t="s">
        <v>3391</v>
      </c>
      <c r="C778" s="885" t="s">
        <v>3392</v>
      </c>
      <c r="D778" s="669">
        <v>25000</v>
      </c>
    </row>
    <row r="779" spans="1:4" s="23" customFormat="1" ht="22.5" customHeight="1" x14ac:dyDescent="0.25">
      <c r="A779" s="667">
        <v>771</v>
      </c>
      <c r="B779" s="886" t="s">
        <v>3393</v>
      </c>
      <c r="C779" s="885" t="s">
        <v>3394</v>
      </c>
      <c r="D779" s="669">
        <v>4680.0200000000004</v>
      </c>
    </row>
    <row r="780" spans="1:4" s="23" customFormat="1" ht="22.5" customHeight="1" x14ac:dyDescent="0.25">
      <c r="A780" s="667">
        <v>772</v>
      </c>
      <c r="B780" s="886" t="s">
        <v>3395</v>
      </c>
      <c r="C780" s="885" t="s">
        <v>3396</v>
      </c>
      <c r="D780" s="669">
        <v>30503.74</v>
      </c>
    </row>
    <row r="781" spans="1:4" s="23" customFormat="1" ht="22.5" customHeight="1" x14ac:dyDescent="0.25">
      <c r="A781" s="667">
        <v>773</v>
      </c>
      <c r="B781" s="886" t="s">
        <v>3397</v>
      </c>
      <c r="C781" s="885" t="s">
        <v>3398</v>
      </c>
      <c r="D781" s="669">
        <v>218295</v>
      </c>
    </row>
    <row r="782" spans="1:4" s="23" customFormat="1" ht="22.5" customHeight="1" x14ac:dyDescent="0.25">
      <c r="A782" s="667">
        <v>774</v>
      </c>
      <c r="B782" s="886" t="s">
        <v>3399</v>
      </c>
      <c r="C782" s="885" t="s">
        <v>3400</v>
      </c>
      <c r="D782" s="669">
        <v>7300</v>
      </c>
    </row>
    <row r="783" spans="1:4" s="23" customFormat="1" ht="22.5" customHeight="1" x14ac:dyDescent="0.25">
      <c r="A783" s="667">
        <v>775</v>
      </c>
      <c r="B783" s="886" t="s">
        <v>3401</v>
      </c>
      <c r="C783" s="885" t="s">
        <v>3402</v>
      </c>
      <c r="D783" s="669">
        <v>1250</v>
      </c>
    </row>
    <row r="784" spans="1:4" s="23" customFormat="1" ht="22.5" customHeight="1" x14ac:dyDescent="0.25">
      <c r="A784" s="667">
        <v>776</v>
      </c>
      <c r="B784" s="886" t="s">
        <v>3403</v>
      </c>
      <c r="C784" s="885" t="s">
        <v>3404</v>
      </c>
      <c r="D784" s="669">
        <v>250</v>
      </c>
    </row>
    <row r="785" spans="1:4" s="23" customFormat="1" ht="22.5" customHeight="1" x14ac:dyDescent="0.25">
      <c r="A785" s="667">
        <v>777</v>
      </c>
      <c r="B785" s="886" t="s">
        <v>3405</v>
      </c>
      <c r="C785" s="885" t="s">
        <v>3406</v>
      </c>
      <c r="D785" s="669">
        <v>3300</v>
      </c>
    </row>
    <row r="786" spans="1:4" s="23" customFormat="1" ht="22.5" customHeight="1" x14ac:dyDescent="0.25">
      <c r="A786" s="667">
        <v>778</v>
      </c>
      <c r="B786" s="886" t="s">
        <v>3407</v>
      </c>
      <c r="C786" s="885" t="s">
        <v>3408</v>
      </c>
      <c r="D786" s="669">
        <v>13595.21</v>
      </c>
    </row>
    <row r="787" spans="1:4" s="23" customFormat="1" ht="25.5" x14ac:dyDescent="0.25">
      <c r="A787" s="667">
        <v>779</v>
      </c>
      <c r="B787" s="886" t="s">
        <v>3409</v>
      </c>
      <c r="C787" s="885" t="s">
        <v>3410</v>
      </c>
      <c r="D787" s="669">
        <v>93425</v>
      </c>
    </row>
    <row r="788" spans="1:4" s="23" customFormat="1" ht="25.5" x14ac:dyDescent="0.25">
      <c r="A788" s="667">
        <v>780</v>
      </c>
      <c r="B788" s="886" t="s">
        <v>3411</v>
      </c>
      <c r="C788" s="885" t="s">
        <v>3412</v>
      </c>
      <c r="D788" s="669">
        <v>3600</v>
      </c>
    </row>
    <row r="789" spans="1:4" s="23" customFormat="1" ht="25.5" x14ac:dyDescent="0.25">
      <c r="A789" s="667">
        <v>781</v>
      </c>
      <c r="B789" s="886" t="s">
        <v>3411</v>
      </c>
      <c r="C789" s="885" t="s">
        <v>3412</v>
      </c>
      <c r="D789" s="669">
        <v>3600</v>
      </c>
    </row>
    <row r="790" spans="1:4" s="23" customFormat="1" ht="25.5" x14ac:dyDescent="0.25">
      <c r="A790" s="667">
        <v>782</v>
      </c>
      <c r="B790" s="886" t="s">
        <v>3411</v>
      </c>
      <c r="C790" s="885" t="s">
        <v>3412</v>
      </c>
      <c r="D790" s="669">
        <v>3600</v>
      </c>
    </row>
    <row r="791" spans="1:4" s="23" customFormat="1" ht="25.5" x14ac:dyDescent="0.25">
      <c r="A791" s="667">
        <v>783</v>
      </c>
      <c r="B791" s="886" t="s">
        <v>3411</v>
      </c>
      <c r="C791" s="885" t="s">
        <v>3412</v>
      </c>
      <c r="D791" s="669">
        <v>3600</v>
      </c>
    </row>
    <row r="792" spans="1:4" s="23" customFormat="1" ht="25.5" x14ac:dyDescent="0.25">
      <c r="A792" s="667">
        <v>784</v>
      </c>
      <c r="B792" s="886" t="s">
        <v>3411</v>
      </c>
      <c r="C792" s="885" t="s">
        <v>3412</v>
      </c>
      <c r="D792" s="669">
        <v>3600</v>
      </c>
    </row>
    <row r="793" spans="1:4" s="23" customFormat="1" ht="22.5" customHeight="1" x14ac:dyDescent="0.25">
      <c r="A793" s="667">
        <v>785</v>
      </c>
      <c r="B793" s="886" t="s">
        <v>3413</v>
      </c>
      <c r="C793" s="885" t="s">
        <v>3414</v>
      </c>
      <c r="D793" s="669">
        <v>169501.24</v>
      </c>
    </row>
    <row r="794" spans="1:4" s="23" customFormat="1" ht="22.5" customHeight="1" x14ac:dyDescent="0.25">
      <c r="A794" s="667">
        <v>786</v>
      </c>
      <c r="B794" s="886" t="s">
        <v>3415</v>
      </c>
      <c r="C794" s="885" t="s">
        <v>3416</v>
      </c>
      <c r="D794" s="669">
        <v>21529</v>
      </c>
    </row>
    <row r="795" spans="1:4" s="23" customFormat="1" ht="22.5" customHeight="1" x14ac:dyDescent="0.25">
      <c r="A795" s="667">
        <v>787</v>
      </c>
      <c r="B795" s="886" t="s">
        <v>3417</v>
      </c>
      <c r="C795" s="885" t="s">
        <v>3418</v>
      </c>
      <c r="D795" s="669">
        <v>2400</v>
      </c>
    </row>
    <row r="796" spans="1:4" s="23" customFormat="1" ht="22.5" customHeight="1" x14ac:dyDescent="0.25">
      <c r="A796" s="667">
        <v>788</v>
      </c>
      <c r="B796" s="886" t="s">
        <v>3419</v>
      </c>
      <c r="C796" s="885" t="s">
        <v>3404</v>
      </c>
      <c r="D796" s="669">
        <v>672</v>
      </c>
    </row>
    <row r="797" spans="1:4" s="23" customFormat="1" ht="22.5" customHeight="1" x14ac:dyDescent="0.25">
      <c r="A797" s="667">
        <v>789</v>
      </c>
      <c r="B797" s="886" t="s">
        <v>3420</v>
      </c>
      <c r="C797" s="885" t="s">
        <v>3421</v>
      </c>
      <c r="D797" s="669">
        <v>9672</v>
      </c>
    </row>
    <row r="798" spans="1:4" s="23" customFormat="1" ht="38.25" x14ac:dyDescent="0.25">
      <c r="A798" s="667">
        <v>790</v>
      </c>
      <c r="B798" s="886" t="s">
        <v>3422</v>
      </c>
      <c r="C798" s="885" t="s">
        <v>3423</v>
      </c>
      <c r="D798" s="669">
        <v>146463</v>
      </c>
    </row>
    <row r="799" spans="1:4" s="23" customFormat="1" ht="22.5" customHeight="1" x14ac:dyDescent="0.25">
      <c r="A799" s="667">
        <v>791</v>
      </c>
      <c r="B799" s="886" t="s">
        <v>3424</v>
      </c>
      <c r="C799" s="885" t="s">
        <v>3425</v>
      </c>
      <c r="D799" s="669">
        <v>9604.4</v>
      </c>
    </row>
    <row r="800" spans="1:4" s="23" customFormat="1" ht="22.5" customHeight="1" x14ac:dyDescent="0.25">
      <c r="A800" s="667">
        <v>792</v>
      </c>
      <c r="B800" s="886" t="s">
        <v>3426</v>
      </c>
      <c r="C800" s="885" t="s">
        <v>3427</v>
      </c>
      <c r="D800" s="669">
        <v>2955.2</v>
      </c>
    </row>
    <row r="801" spans="1:4" s="23" customFormat="1" ht="22.5" customHeight="1" x14ac:dyDescent="0.25">
      <c r="A801" s="667">
        <v>793</v>
      </c>
      <c r="B801" s="886" t="s">
        <v>3428</v>
      </c>
      <c r="C801" s="885" t="s">
        <v>3429</v>
      </c>
      <c r="D801" s="669">
        <v>4169.58</v>
      </c>
    </row>
    <row r="802" spans="1:4" s="23" customFormat="1" ht="22.5" customHeight="1" x14ac:dyDescent="0.25">
      <c r="A802" s="667">
        <v>794</v>
      </c>
      <c r="B802" s="886" t="s">
        <v>3428</v>
      </c>
      <c r="C802" s="885" t="s">
        <v>3429</v>
      </c>
      <c r="D802" s="669">
        <v>4169.58</v>
      </c>
    </row>
    <row r="803" spans="1:4" s="23" customFormat="1" ht="22.5" customHeight="1" x14ac:dyDescent="0.25">
      <c r="A803" s="667">
        <v>795</v>
      </c>
      <c r="B803" s="886" t="s">
        <v>3428</v>
      </c>
      <c r="C803" s="885" t="s">
        <v>3429</v>
      </c>
      <c r="D803" s="669">
        <v>4169.58</v>
      </c>
    </row>
    <row r="804" spans="1:4" s="23" customFormat="1" ht="22.5" customHeight="1" x14ac:dyDescent="0.25">
      <c r="A804" s="667">
        <v>796</v>
      </c>
      <c r="B804" s="886" t="s">
        <v>3428</v>
      </c>
      <c r="C804" s="885" t="s">
        <v>3429</v>
      </c>
      <c r="D804" s="669">
        <v>4169.58</v>
      </c>
    </row>
    <row r="805" spans="1:4" s="23" customFormat="1" ht="22.5" customHeight="1" x14ac:dyDescent="0.25">
      <c r="A805" s="667">
        <v>797</v>
      </c>
      <c r="B805" s="886" t="s">
        <v>3428</v>
      </c>
      <c r="C805" s="885" t="s">
        <v>3429</v>
      </c>
      <c r="D805" s="669">
        <v>4169.58</v>
      </c>
    </row>
    <row r="806" spans="1:4" s="23" customFormat="1" ht="22.5" customHeight="1" x14ac:dyDescent="0.25">
      <c r="A806" s="667">
        <v>798</v>
      </c>
      <c r="B806" s="886" t="s">
        <v>3428</v>
      </c>
      <c r="C806" s="885" t="s">
        <v>3429</v>
      </c>
      <c r="D806" s="669">
        <v>4169.58</v>
      </c>
    </row>
    <row r="807" spans="1:4" s="23" customFormat="1" ht="22.5" customHeight="1" x14ac:dyDescent="0.25">
      <c r="A807" s="667">
        <v>799</v>
      </c>
      <c r="B807" s="886" t="s">
        <v>3430</v>
      </c>
      <c r="C807" s="885" t="s">
        <v>3431</v>
      </c>
      <c r="D807" s="669">
        <v>64057.93</v>
      </c>
    </row>
    <row r="808" spans="1:4" s="23" customFormat="1" ht="22.5" customHeight="1" x14ac:dyDescent="0.25">
      <c r="A808" s="667">
        <v>800</v>
      </c>
      <c r="B808" s="886" t="s">
        <v>3432</v>
      </c>
      <c r="C808" s="885" t="s">
        <v>3431</v>
      </c>
      <c r="D808" s="669">
        <v>69057.929999999993</v>
      </c>
    </row>
    <row r="809" spans="1:4" s="23" customFormat="1" ht="22.5" customHeight="1" x14ac:dyDescent="0.25">
      <c r="A809" s="667">
        <v>801</v>
      </c>
      <c r="B809" s="886" t="s">
        <v>3433</v>
      </c>
      <c r="C809" s="885" t="s">
        <v>3434</v>
      </c>
      <c r="D809" s="669">
        <v>17456.25</v>
      </c>
    </row>
    <row r="810" spans="1:4" s="23" customFormat="1" ht="22.5" customHeight="1" x14ac:dyDescent="0.25">
      <c r="A810" s="667">
        <v>802</v>
      </c>
      <c r="B810" s="886" t="s">
        <v>3435</v>
      </c>
      <c r="C810" s="885" t="s">
        <v>3436</v>
      </c>
      <c r="D810" s="669">
        <v>277290.34000000003</v>
      </c>
    </row>
    <row r="811" spans="1:4" s="23" customFormat="1" ht="22.5" customHeight="1" x14ac:dyDescent="0.25">
      <c r="A811" s="667">
        <v>803</v>
      </c>
      <c r="B811" s="886" t="s">
        <v>3437</v>
      </c>
      <c r="C811" s="885" t="s">
        <v>3438</v>
      </c>
      <c r="D811" s="669">
        <v>8825</v>
      </c>
    </row>
    <row r="812" spans="1:4" s="23" customFormat="1" ht="22.5" customHeight="1" x14ac:dyDescent="0.25">
      <c r="A812" s="667">
        <v>804</v>
      </c>
      <c r="B812" s="886" t="s">
        <v>3439</v>
      </c>
      <c r="C812" s="885" t="s">
        <v>3440</v>
      </c>
      <c r="D812" s="669">
        <v>5200</v>
      </c>
    </row>
    <row r="813" spans="1:4" s="23" customFormat="1" ht="22.5" customHeight="1" x14ac:dyDescent="0.25">
      <c r="A813" s="667">
        <v>805</v>
      </c>
      <c r="B813" s="886" t="s">
        <v>3441</v>
      </c>
      <c r="C813" s="885" t="s">
        <v>3442</v>
      </c>
      <c r="D813" s="669">
        <v>3800</v>
      </c>
    </row>
    <row r="814" spans="1:4" s="23" customFormat="1" ht="22.5" customHeight="1" x14ac:dyDescent="0.25">
      <c r="A814" s="667">
        <v>806</v>
      </c>
      <c r="B814" s="886" t="s">
        <v>3443</v>
      </c>
      <c r="C814" s="885" t="s">
        <v>3444</v>
      </c>
      <c r="D814" s="669">
        <v>85000</v>
      </c>
    </row>
    <row r="815" spans="1:4" s="23" customFormat="1" ht="22.5" customHeight="1" x14ac:dyDescent="0.25">
      <c r="A815" s="667">
        <v>807</v>
      </c>
      <c r="B815" s="886" t="s">
        <v>3445</v>
      </c>
      <c r="C815" s="885" t="s">
        <v>3446</v>
      </c>
      <c r="D815" s="669">
        <v>49695</v>
      </c>
    </row>
    <row r="816" spans="1:4" s="23" customFormat="1" ht="22.5" customHeight="1" x14ac:dyDescent="0.25">
      <c r="A816" s="667">
        <v>808</v>
      </c>
      <c r="B816" s="886" t="s">
        <v>3447</v>
      </c>
      <c r="C816" s="885" t="s">
        <v>3448</v>
      </c>
      <c r="D816" s="669">
        <v>10400</v>
      </c>
    </row>
    <row r="817" spans="1:4" s="23" customFormat="1" ht="22.5" customHeight="1" x14ac:dyDescent="0.25">
      <c r="A817" s="667">
        <v>809</v>
      </c>
      <c r="B817" s="886" t="s">
        <v>3449</v>
      </c>
      <c r="C817" s="885" t="s">
        <v>3448</v>
      </c>
      <c r="D817" s="669">
        <v>10400</v>
      </c>
    </row>
    <row r="818" spans="1:4" s="23" customFormat="1" ht="22.5" customHeight="1" x14ac:dyDescent="0.25">
      <c r="A818" s="667">
        <v>810</v>
      </c>
      <c r="B818" s="886" t="s">
        <v>3450</v>
      </c>
      <c r="C818" s="885" t="s">
        <v>3451</v>
      </c>
      <c r="D818" s="669">
        <v>21900</v>
      </c>
    </row>
    <row r="819" spans="1:4" s="23" customFormat="1" ht="22.5" customHeight="1" x14ac:dyDescent="0.25">
      <c r="A819" s="667">
        <v>811</v>
      </c>
      <c r="B819" s="886" t="s">
        <v>3452</v>
      </c>
      <c r="C819" s="885" t="s">
        <v>3451</v>
      </c>
      <c r="D819" s="669">
        <v>21900</v>
      </c>
    </row>
    <row r="820" spans="1:4" s="23" customFormat="1" ht="22.5" customHeight="1" x14ac:dyDescent="0.25">
      <c r="A820" s="667">
        <v>812</v>
      </c>
      <c r="B820" s="886" t="s">
        <v>3453</v>
      </c>
      <c r="C820" s="885" t="s">
        <v>3454</v>
      </c>
      <c r="D820" s="669">
        <v>150000</v>
      </c>
    </row>
    <row r="821" spans="1:4" s="23" customFormat="1" ht="22.5" customHeight="1" x14ac:dyDescent="0.25">
      <c r="A821" s="667">
        <v>813</v>
      </c>
      <c r="B821" s="886" t="s">
        <v>3455</v>
      </c>
      <c r="C821" s="885" t="s">
        <v>3456</v>
      </c>
      <c r="D821" s="669">
        <v>15100</v>
      </c>
    </row>
    <row r="822" spans="1:4" s="23" customFormat="1" ht="22.5" customHeight="1" x14ac:dyDescent="0.25">
      <c r="A822" s="667">
        <v>814</v>
      </c>
      <c r="B822" s="886" t="s">
        <v>3457</v>
      </c>
      <c r="C822" s="885" t="s">
        <v>3458</v>
      </c>
      <c r="D822" s="669">
        <v>23400</v>
      </c>
    </row>
    <row r="823" spans="1:4" s="23" customFormat="1" ht="22.5" customHeight="1" x14ac:dyDescent="0.25">
      <c r="A823" s="667">
        <v>815</v>
      </c>
      <c r="B823" s="886" t="s">
        <v>3459</v>
      </c>
      <c r="C823" s="885" t="s">
        <v>3460</v>
      </c>
      <c r="D823" s="669">
        <v>220000</v>
      </c>
    </row>
    <row r="824" spans="1:4" s="23" customFormat="1" ht="22.5" customHeight="1" x14ac:dyDescent="0.25">
      <c r="A824" s="667">
        <v>816</v>
      </c>
      <c r="B824" s="886" t="s">
        <v>3461</v>
      </c>
      <c r="C824" s="885" t="s">
        <v>3462</v>
      </c>
      <c r="D824" s="669">
        <v>168659.58</v>
      </c>
    </row>
    <row r="825" spans="1:4" s="23" customFormat="1" ht="22.5" customHeight="1" x14ac:dyDescent="0.25">
      <c r="A825" s="667">
        <v>817</v>
      </c>
      <c r="B825" s="886" t="s">
        <v>3463</v>
      </c>
      <c r="C825" s="885" t="s">
        <v>3464</v>
      </c>
      <c r="D825" s="669">
        <v>320000</v>
      </c>
    </row>
    <row r="826" spans="1:4" s="23" customFormat="1" ht="22.5" customHeight="1" x14ac:dyDescent="0.25">
      <c r="A826" s="667">
        <v>818</v>
      </c>
      <c r="B826" s="886" t="s">
        <v>3465</v>
      </c>
      <c r="C826" s="885" t="s">
        <v>3466</v>
      </c>
      <c r="D826" s="669">
        <v>33824.699999999997</v>
      </c>
    </row>
    <row r="827" spans="1:4" s="23" customFormat="1" ht="22.5" customHeight="1" x14ac:dyDescent="0.25">
      <c r="A827" s="667">
        <v>819</v>
      </c>
      <c r="B827" s="886" t="s">
        <v>3467</v>
      </c>
      <c r="C827" s="885" t="s">
        <v>3468</v>
      </c>
      <c r="D827" s="669">
        <v>105000</v>
      </c>
    </row>
    <row r="828" spans="1:4" s="23" customFormat="1" ht="22.5" customHeight="1" x14ac:dyDescent="0.25">
      <c r="A828" s="667">
        <v>820</v>
      </c>
      <c r="B828" s="886" t="s">
        <v>3469</v>
      </c>
      <c r="C828" s="885" t="s">
        <v>3470</v>
      </c>
      <c r="D828" s="669">
        <v>14972</v>
      </c>
    </row>
    <row r="829" spans="1:4" s="23" customFormat="1" ht="22.5" customHeight="1" x14ac:dyDescent="0.25">
      <c r="A829" s="667">
        <v>821</v>
      </c>
      <c r="B829" s="886" t="s">
        <v>3471</v>
      </c>
      <c r="C829" s="885" t="s">
        <v>3472</v>
      </c>
      <c r="D829" s="669">
        <v>27352</v>
      </c>
    </row>
    <row r="830" spans="1:4" s="23" customFormat="1" ht="22.5" customHeight="1" x14ac:dyDescent="0.25">
      <c r="A830" s="667">
        <v>822</v>
      </c>
      <c r="B830" s="886" t="s">
        <v>3473</v>
      </c>
      <c r="C830" s="885" t="s">
        <v>3474</v>
      </c>
      <c r="D830" s="669">
        <v>19352</v>
      </c>
    </row>
    <row r="831" spans="1:4" s="23" customFormat="1" ht="22.5" customHeight="1" x14ac:dyDescent="0.25">
      <c r="A831" s="667">
        <v>823</v>
      </c>
      <c r="B831" s="886" t="s">
        <v>3475</v>
      </c>
      <c r="C831" s="885" t="s">
        <v>3380</v>
      </c>
      <c r="D831" s="669">
        <v>42000</v>
      </c>
    </row>
    <row r="832" spans="1:4" s="23" customFormat="1" ht="22.5" customHeight="1" x14ac:dyDescent="0.25">
      <c r="A832" s="667">
        <v>824</v>
      </c>
      <c r="B832" s="886" t="s">
        <v>3476</v>
      </c>
      <c r="C832" s="885" t="s">
        <v>3259</v>
      </c>
      <c r="D832" s="669">
        <v>151552.12</v>
      </c>
    </row>
    <row r="833" spans="1:4" s="23" customFormat="1" ht="22.5" customHeight="1" x14ac:dyDescent="0.25">
      <c r="A833" s="667">
        <v>825</v>
      </c>
      <c r="B833" s="886" t="s">
        <v>3477</v>
      </c>
      <c r="C833" s="885" t="s">
        <v>3478</v>
      </c>
      <c r="D833" s="669">
        <v>10400</v>
      </c>
    </row>
    <row r="834" spans="1:4" s="23" customFormat="1" ht="22.5" customHeight="1" x14ac:dyDescent="0.25">
      <c r="A834" s="667">
        <v>826</v>
      </c>
      <c r="B834" s="886" t="s">
        <v>3479</v>
      </c>
      <c r="C834" s="885" t="s">
        <v>2073</v>
      </c>
      <c r="D834" s="669">
        <v>55653</v>
      </c>
    </row>
    <row r="835" spans="1:4" s="23" customFormat="1" ht="22.5" customHeight="1" x14ac:dyDescent="0.25">
      <c r="A835" s="667">
        <v>827</v>
      </c>
      <c r="B835" s="886" t="s">
        <v>3480</v>
      </c>
      <c r="C835" s="885" t="s">
        <v>3481</v>
      </c>
      <c r="D835" s="669">
        <v>10775</v>
      </c>
    </row>
    <row r="836" spans="1:4" s="23" customFormat="1" ht="22.5" customHeight="1" x14ac:dyDescent="0.25">
      <c r="A836" s="667">
        <v>828</v>
      </c>
      <c r="B836" s="886" t="s">
        <v>3482</v>
      </c>
      <c r="C836" s="885" t="s">
        <v>3483</v>
      </c>
      <c r="D836" s="669"/>
    </row>
    <row r="837" spans="1:4" s="23" customFormat="1" ht="22.5" customHeight="1" x14ac:dyDescent="0.25">
      <c r="A837" s="667">
        <v>829</v>
      </c>
      <c r="B837" s="886" t="s">
        <v>3484</v>
      </c>
      <c r="C837" s="885" t="s">
        <v>3485</v>
      </c>
      <c r="D837" s="669">
        <v>5290</v>
      </c>
    </row>
    <row r="838" spans="1:4" s="23" customFormat="1" ht="22.5" customHeight="1" x14ac:dyDescent="0.25">
      <c r="A838" s="667">
        <v>830</v>
      </c>
      <c r="B838" s="886" t="s">
        <v>3486</v>
      </c>
      <c r="C838" s="885" t="s">
        <v>3485</v>
      </c>
      <c r="D838" s="669">
        <v>5290</v>
      </c>
    </row>
    <row r="839" spans="1:4" s="23" customFormat="1" ht="22.5" customHeight="1" x14ac:dyDescent="0.25">
      <c r="A839" s="667">
        <v>831</v>
      </c>
      <c r="B839" s="886" t="s">
        <v>3487</v>
      </c>
      <c r="C839" s="885" t="s">
        <v>3483</v>
      </c>
      <c r="D839" s="669">
        <v>14938.5</v>
      </c>
    </row>
    <row r="840" spans="1:4" s="23" customFormat="1" ht="22.5" customHeight="1" x14ac:dyDescent="0.25">
      <c r="A840" s="667">
        <v>832</v>
      </c>
      <c r="B840" s="886" t="s">
        <v>3488</v>
      </c>
      <c r="C840" s="885" t="s">
        <v>3483</v>
      </c>
      <c r="D840" s="669">
        <v>14938.5</v>
      </c>
    </row>
    <row r="841" spans="1:4" s="23" customFormat="1" ht="22.5" customHeight="1" x14ac:dyDescent="0.25">
      <c r="A841" s="667">
        <v>833</v>
      </c>
      <c r="B841" s="886" t="s">
        <v>3489</v>
      </c>
      <c r="C841" s="885" t="s">
        <v>3483</v>
      </c>
      <c r="D841" s="669">
        <v>14938.5</v>
      </c>
    </row>
    <row r="842" spans="1:4" s="23" customFormat="1" ht="22.5" customHeight="1" x14ac:dyDescent="0.25">
      <c r="A842" s="667">
        <v>834</v>
      </c>
      <c r="B842" s="886" t="s">
        <v>3490</v>
      </c>
      <c r="C842" s="885" t="s">
        <v>3483</v>
      </c>
      <c r="D842" s="669">
        <v>14938.5</v>
      </c>
    </row>
    <row r="843" spans="1:4" s="23" customFormat="1" ht="22.5" customHeight="1" x14ac:dyDescent="0.25">
      <c r="A843" s="667">
        <v>835</v>
      </c>
      <c r="B843" s="886" t="s">
        <v>3491</v>
      </c>
      <c r="C843" s="885" t="s">
        <v>3492</v>
      </c>
      <c r="D843" s="669">
        <v>0</v>
      </c>
    </row>
    <row r="844" spans="1:4" s="23" customFormat="1" ht="22.5" customHeight="1" x14ac:dyDescent="0.25">
      <c r="A844" s="667">
        <v>836</v>
      </c>
      <c r="B844" s="886" t="s">
        <v>3493</v>
      </c>
      <c r="C844" s="885" t="s">
        <v>3492</v>
      </c>
      <c r="D844" s="669">
        <v>0</v>
      </c>
    </row>
    <row r="845" spans="1:4" s="23" customFormat="1" ht="22.5" customHeight="1" x14ac:dyDescent="0.25">
      <c r="A845" s="667">
        <v>837</v>
      </c>
      <c r="B845" s="886" t="s">
        <v>3494</v>
      </c>
      <c r="C845" s="885" t="s">
        <v>3492</v>
      </c>
      <c r="D845" s="669">
        <v>0</v>
      </c>
    </row>
    <row r="846" spans="1:4" s="23" customFormat="1" ht="22.5" customHeight="1" x14ac:dyDescent="0.25">
      <c r="A846" s="667">
        <v>838</v>
      </c>
      <c r="B846" s="886" t="s">
        <v>3495</v>
      </c>
      <c r="C846" s="885" t="s">
        <v>3492</v>
      </c>
      <c r="D846" s="669">
        <v>0</v>
      </c>
    </row>
    <row r="847" spans="1:4" s="23" customFormat="1" ht="22.5" customHeight="1" x14ac:dyDescent="0.25">
      <c r="A847" s="667">
        <v>839</v>
      </c>
      <c r="B847" s="886" t="s">
        <v>3496</v>
      </c>
      <c r="C847" s="885" t="s">
        <v>3492</v>
      </c>
      <c r="D847" s="669">
        <v>0</v>
      </c>
    </row>
    <row r="848" spans="1:4" s="23" customFormat="1" ht="22.5" customHeight="1" x14ac:dyDescent="0.25">
      <c r="A848" s="667">
        <v>840</v>
      </c>
      <c r="B848" s="886" t="s">
        <v>3497</v>
      </c>
      <c r="C848" s="885" t="s">
        <v>3492</v>
      </c>
      <c r="D848" s="669">
        <v>0</v>
      </c>
    </row>
    <row r="849" spans="1:4" s="23" customFormat="1" ht="22.5" customHeight="1" x14ac:dyDescent="0.25">
      <c r="A849" s="667">
        <v>841</v>
      </c>
      <c r="B849" s="886" t="s">
        <v>3498</v>
      </c>
      <c r="C849" s="885" t="s">
        <v>3492</v>
      </c>
      <c r="D849" s="669">
        <v>0</v>
      </c>
    </row>
    <row r="850" spans="1:4" s="23" customFormat="1" ht="22.5" customHeight="1" x14ac:dyDescent="0.25">
      <c r="A850" s="667">
        <v>842</v>
      </c>
      <c r="B850" s="886" t="s">
        <v>3499</v>
      </c>
      <c r="C850" s="885" t="s">
        <v>3500</v>
      </c>
      <c r="D850" s="669">
        <v>4890</v>
      </c>
    </row>
    <row r="851" spans="1:4" s="23" customFormat="1" ht="22.5" customHeight="1" x14ac:dyDescent="0.25">
      <c r="A851" s="667">
        <v>843</v>
      </c>
      <c r="B851" s="886" t="s">
        <v>3501</v>
      </c>
      <c r="C851" s="885" t="s">
        <v>3502</v>
      </c>
      <c r="D851" s="669">
        <v>7900</v>
      </c>
    </row>
    <row r="852" spans="1:4" s="23" customFormat="1" ht="22.5" customHeight="1" x14ac:dyDescent="0.25">
      <c r="A852" s="667">
        <v>844</v>
      </c>
      <c r="B852" s="886" t="s">
        <v>3503</v>
      </c>
      <c r="C852" s="885" t="s">
        <v>3502</v>
      </c>
      <c r="D852" s="669">
        <v>7900</v>
      </c>
    </row>
    <row r="853" spans="1:4" s="23" customFormat="1" ht="22.5" customHeight="1" x14ac:dyDescent="0.25">
      <c r="A853" s="667">
        <v>845</v>
      </c>
      <c r="B853" s="886" t="s">
        <v>3504</v>
      </c>
      <c r="C853" s="885" t="s">
        <v>3502</v>
      </c>
      <c r="D853" s="669">
        <v>7900</v>
      </c>
    </row>
    <row r="854" spans="1:4" s="23" customFormat="1" ht="22.5" customHeight="1" x14ac:dyDescent="0.25">
      <c r="A854" s="667">
        <v>846</v>
      </c>
      <c r="B854" s="886" t="s">
        <v>3505</v>
      </c>
      <c r="C854" s="885" t="s">
        <v>3506</v>
      </c>
      <c r="D854" s="669">
        <v>2900</v>
      </c>
    </row>
    <row r="855" spans="1:4" s="23" customFormat="1" ht="22.5" customHeight="1" x14ac:dyDescent="0.25">
      <c r="A855" s="667">
        <v>847</v>
      </c>
      <c r="B855" s="886" t="s">
        <v>3507</v>
      </c>
      <c r="C855" s="885" t="s">
        <v>3508</v>
      </c>
      <c r="D855" s="669">
        <v>8600</v>
      </c>
    </row>
    <row r="856" spans="1:4" s="23" customFormat="1" ht="22.5" customHeight="1" x14ac:dyDescent="0.25">
      <c r="A856" s="667">
        <v>848</v>
      </c>
      <c r="B856" s="886" t="s">
        <v>3509</v>
      </c>
      <c r="C856" s="885" t="s">
        <v>3510</v>
      </c>
      <c r="D856" s="669">
        <v>6762.7</v>
      </c>
    </row>
    <row r="857" spans="1:4" s="23" customFormat="1" ht="22.5" customHeight="1" x14ac:dyDescent="0.25">
      <c r="A857" s="667">
        <v>849</v>
      </c>
      <c r="B857" s="886" t="s">
        <v>3511</v>
      </c>
      <c r="C857" s="885" t="s">
        <v>3512</v>
      </c>
      <c r="D857" s="669">
        <v>6350</v>
      </c>
    </row>
    <row r="858" spans="1:4" s="23" customFormat="1" ht="22.5" customHeight="1" x14ac:dyDescent="0.25">
      <c r="A858" s="667">
        <v>850</v>
      </c>
      <c r="B858" s="886" t="s">
        <v>3513</v>
      </c>
      <c r="C858" s="885" t="s">
        <v>3514</v>
      </c>
      <c r="D858" s="669">
        <v>1</v>
      </c>
    </row>
    <row r="859" spans="1:4" s="23" customFormat="1" ht="22.5" customHeight="1" x14ac:dyDescent="0.25">
      <c r="A859" s="667">
        <v>851</v>
      </c>
      <c r="B859" s="886" t="s">
        <v>3515</v>
      </c>
      <c r="C859" s="885" t="s">
        <v>3516</v>
      </c>
      <c r="D859" s="669">
        <v>9142</v>
      </c>
    </row>
    <row r="860" spans="1:4" s="23" customFormat="1" ht="22.5" customHeight="1" x14ac:dyDescent="0.25">
      <c r="A860" s="667">
        <v>852</v>
      </c>
      <c r="B860" s="886" t="s">
        <v>3517</v>
      </c>
      <c r="C860" s="885" t="s">
        <v>3518</v>
      </c>
      <c r="D860" s="669">
        <v>1812</v>
      </c>
    </row>
    <row r="861" spans="1:4" s="23" customFormat="1" ht="22.5" customHeight="1" x14ac:dyDescent="0.25">
      <c r="A861" s="667">
        <v>853</v>
      </c>
      <c r="B861" s="886" t="s">
        <v>3519</v>
      </c>
      <c r="C861" s="885" t="s">
        <v>3520</v>
      </c>
      <c r="D861" s="669">
        <v>16489</v>
      </c>
    </row>
    <row r="862" spans="1:4" s="23" customFormat="1" ht="22.5" customHeight="1" x14ac:dyDescent="0.25">
      <c r="A862" s="667">
        <v>854</v>
      </c>
      <c r="B862" s="886" t="s">
        <v>3521</v>
      </c>
      <c r="C862" s="885" t="s">
        <v>3520</v>
      </c>
      <c r="D862" s="669">
        <v>16489</v>
      </c>
    </row>
    <row r="863" spans="1:4" s="23" customFormat="1" ht="22.5" customHeight="1" x14ac:dyDescent="0.25">
      <c r="A863" s="667">
        <v>855</v>
      </c>
      <c r="B863" s="886" t="s">
        <v>3522</v>
      </c>
      <c r="C863" s="885" t="s">
        <v>3520</v>
      </c>
      <c r="D863" s="669">
        <v>16489</v>
      </c>
    </row>
    <row r="864" spans="1:4" s="23" customFormat="1" ht="22.5" customHeight="1" x14ac:dyDescent="0.25">
      <c r="A864" s="667">
        <v>856</v>
      </c>
      <c r="B864" s="886" t="s">
        <v>3523</v>
      </c>
      <c r="C864" s="885" t="s">
        <v>3520</v>
      </c>
      <c r="D864" s="669">
        <v>16489</v>
      </c>
    </row>
    <row r="865" spans="1:4" s="23" customFormat="1" ht="22.5" customHeight="1" x14ac:dyDescent="0.25">
      <c r="A865" s="667">
        <v>857</v>
      </c>
      <c r="B865" s="886" t="s">
        <v>3524</v>
      </c>
      <c r="C865" s="885" t="s">
        <v>3525</v>
      </c>
      <c r="D865" s="669">
        <v>10603.45</v>
      </c>
    </row>
    <row r="866" spans="1:4" s="23" customFormat="1" ht="22.5" customHeight="1" x14ac:dyDescent="0.25">
      <c r="A866" s="667">
        <v>858</v>
      </c>
      <c r="B866" s="886" t="s">
        <v>3526</v>
      </c>
      <c r="C866" s="885" t="s">
        <v>3525</v>
      </c>
      <c r="D866" s="669">
        <v>10603.45</v>
      </c>
    </row>
    <row r="867" spans="1:4" s="23" customFormat="1" ht="22.5" customHeight="1" x14ac:dyDescent="0.25">
      <c r="A867" s="667">
        <v>859</v>
      </c>
      <c r="B867" s="886" t="s">
        <v>3527</v>
      </c>
      <c r="C867" s="885" t="s">
        <v>3528</v>
      </c>
      <c r="D867" s="669">
        <v>1150</v>
      </c>
    </row>
    <row r="868" spans="1:4" s="23" customFormat="1" ht="22.5" customHeight="1" x14ac:dyDescent="0.25">
      <c r="A868" s="667">
        <v>860</v>
      </c>
      <c r="B868" s="886" t="s">
        <v>3529</v>
      </c>
      <c r="C868" s="885" t="s">
        <v>3530</v>
      </c>
      <c r="D868" s="669">
        <v>13590</v>
      </c>
    </row>
    <row r="869" spans="1:4" s="23" customFormat="1" ht="22.5" customHeight="1" x14ac:dyDescent="0.25">
      <c r="A869" s="667">
        <v>861</v>
      </c>
      <c r="B869" s="886" t="s">
        <v>3531</v>
      </c>
      <c r="C869" s="885" t="s">
        <v>3532</v>
      </c>
      <c r="D869" s="669">
        <v>12150</v>
      </c>
    </row>
    <row r="870" spans="1:4" s="23" customFormat="1" ht="22.5" customHeight="1" x14ac:dyDescent="0.25">
      <c r="A870" s="667">
        <v>862</v>
      </c>
      <c r="B870" s="886" t="s">
        <v>3533</v>
      </c>
      <c r="C870" s="885" t="s">
        <v>3528</v>
      </c>
      <c r="D870" s="669">
        <v>3390</v>
      </c>
    </row>
    <row r="871" spans="1:4" s="23" customFormat="1" ht="22.5" customHeight="1" x14ac:dyDescent="0.25">
      <c r="A871" s="667">
        <v>863</v>
      </c>
      <c r="B871" s="886" t="s">
        <v>3534</v>
      </c>
      <c r="C871" s="885" t="s">
        <v>3535</v>
      </c>
      <c r="D871" s="669">
        <v>2922.41</v>
      </c>
    </row>
    <row r="872" spans="1:4" s="23" customFormat="1" ht="22.5" customHeight="1" x14ac:dyDescent="0.25">
      <c r="A872" s="667">
        <v>864</v>
      </c>
      <c r="B872" s="886" t="s">
        <v>3536</v>
      </c>
      <c r="C872" s="885" t="s">
        <v>3537</v>
      </c>
      <c r="D872" s="669">
        <v>9827.59</v>
      </c>
    </row>
    <row r="873" spans="1:4" s="23" customFormat="1" ht="22.5" customHeight="1" x14ac:dyDescent="0.25">
      <c r="A873" s="667">
        <v>865</v>
      </c>
      <c r="B873" s="886" t="s">
        <v>3538</v>
      </c>
      <c r="C873" s="885" t="s">
        <v>3539</v>
      </c>
      <c r="D873" s="669">
        <v>3170</v>
      </c>
    </row>
    <row r="874" spans="1:4" s="23" customFormat="1" ht="22.5" customHeight="1" x14ac:dyDescent="0.25">
      <c r="A874" s="667">
        <v>866</v>
      </c>
      <c r="B874" s="886" t="s">
        <v>3540</v>
      </c>
      <c r="C874" s="885" t="s">
        <v>3541</v>
      </c>
      <c r="D874" s="669">
        <v>4827.59</v>
      </c>
    </row>
    <row r="875" spans="1:4" s="23" customFormat="1" ht="22.5" customHeight="1" x14ac:dyDescent="0.25">
      <c r="A875" s="667">
        <v>867</v>
      </c>
      <c r="B875" s="886" t="s">
        <v>3542</v>
      </c>
      <c r="C875" s="885" t="s">
        <v>3543</v>
      </c>
      <c r="D875" s="669">
        <v>5086.21</v>
      </c>
    </row>
    <row r="876" spans="1:4" s="23" customFormat="1" ht="22.5" customHeight="1" x14ac:dyDescent="0.25">
      <c r="A876" s="667">
        <v>868</v>
      </c>
      <c r="B876" s="886" t="s">
        <v>3544</v>
      </c>
      <c r="C876" s="885" t="s">
        <v>3545</v>
      </c>
      <c r="D876" s="669">
        <v>11750</v>
      </c>
    </row>
    <row r="877" spans="1:4" s="23" customFormat="1" ht="22.5" customHeight="1" x14ac:dyDescent="0.25">
      <c r="A877" s="667">
        <v>869</v>
      </c>
      <c r="B877" s="886" t="s">
        <v>3546</v>
      </c>
      <c r="C877" s="885" t="s">
        <v>3547</v>
      </c>
      <c r="D877" s="669">
        <v>6759.26</v>
      </c>
    </row>
    <row r="878" spans="1:4" s="23" customFormat="1" ht="22.5" customHeight="1" x14ac:dyDescent="0.25">
      <c r="A878" s="667">
        <v>870</v>
      </c>
      <c r="B878" s="886" t="s">
        <v>3548</v>
      </c>
      <c r="C878" s="885" t="s">
        <v>3547</v>
      </c>
      <c r="D878" s="669">
        <v>7018.52</v>
      </c>
    </row>
    <row r="879" spans="1:4" s="23" customFormat="1" ht="22.5" customHeight="1" x14ac:dyDescent="0.25">
      <c r="A879" s="667">
        <v>871</v>
      </c>
      <c r="B879" s="886" t="s">
        <v>3549</v>
      </c>
      <c r="C879" s="885" t="s">
        <v>3550</v>
      </c>
      <c r="D879" s="669">
        <v>16489</v>
      </c>
    </row>
    <row r="880" spans="1:4" s="23" customFormat="1" ht="22.5" customHeight="1" x14ac:dyDescent="0.25">
      <c r="A880" s="667">
        <v>872</v>
      </c>
      <c r="B880" s="886" t="s">
        <v>3551</v>
      </c>
      <c r="C880" s="885" t="s">
        <v>3550</v>
      </c>
      <c r="D880" s="669">
        <v>16489</v>
      </c>
    </row>
    <row r="881" spans="1:4" s="23" customFormat="1" ht="22.5" customHeight="1" x14ac:dyDescent="0.25">
      <c r="A881" s="667">
        <v>873</v>
      </c>
      <c r="B881" s="886" t="s">
        <v>3552</v>
      </c>
      <c r="C881" s="885" t="s">
        <v>3553</v>
      </c>
      <c r="D881" s="669">
        <v>2150</v>
      </c>
    </row>
    <row r="882" spans="1:4" s="23" customFormat="1" ht="22.5" customHeight="1" x14ac:dyDescent="0.25">
      <c r="A882" s="667">
        <v>874</v>
      </c>
      <c r="B882" s="886" t="s">
        <v>3554</v>
      </c>
      <c r="C882" s="885" t="s">
        <v>3553</v>
      </c>
      <c r="D882" s="669">
        <v>2150</v>
      </c>
    </row>
    <row r="883" spans="1:4" s="23" customFormat="1" ht="25.5" x14ac:dyDescent="0.25">
      <c r="A883" s="667">
        <v>875</v>
      </c>
      <c r="B883" s="886" t="s">
        <v>3555</v>
      </c>
      <c r="C883" s="885" t="s">
        <v>3556</v>
      </c>
      <c r="D883" s="669">
        <v>13700</v>
      </c>
    </row>
    <row r="884" spans="1:4" s="23" customFormat="1" ht="25.5" x14ac:dyDescent="0.25">
      <c r="A884" s="667">
        <v>876</v>
      </c>
      <c r="B884" s="886" t="s">
        <v>3555</v>
      </c>
      <c r="C884" s="885" t="s">
        <v>3557</v>
      </c>
      <c r="D884" s="669">
        <v>13700</v>
      </c>
    </row>
    <row r="885" spans="1:4" s="23" customFormat="1" ht="25.5" x14ac:dyDescent="0.25">
      <c r="A885" s="667">
        <v>877</v>
      </c>
      <c r="B885" s="886" t="s">
        <v>3555</v>
      </c>
      <c r="C885" s="885" t="s">
        <v>3558</v>
      </c>
      <c r="D885" s="669">
        <v>13700</v>
      </c>
    </row>
    <row r="886" spans="1:4" s="23" customFormat="1" ht="25.5" x14ac:dyDescent="0.25">
      <c r="A886" s="667">
        <v>878</v>
      </c>
      <c r="B886" s="886" t="s">
        <v>3555</v>
      </c>
      <c r="C886" s="885" t="s">
        <v>3559</v>
      </c>
      <c r="D886" s="669">
        <v>13700</v>
      </c>
    </row>
    <row r="887" spans="1:4" s="23" customFormat="1" ht="25.5" x14ac:dyDescent="0.25">
      <c r="A887" s="667">
        <v>879</v>
      </c>
      <c r="B887" s="886" t="s">
        <v>3555</v>
      </c>
      <c r="C887" s="885" t="s">
        <v>3560</v>
      </c>
      <c r="D887" s="669">
        <v>13700</v>
      </c>
    </row>
    <row r="888" spans="1:4" s="23" customFormat="1" ht="25.5" x14ac:dyDescent="0.25">
      <c r="A888" s="667">
        <v>880</v>
      </c>
      <c r="B888" s="886" t="s">
        <v>3555</v>
      </c>
      <c r="C888" s="885" t="s">
        <v>3561</v>
      </c>
      <c r="D888" s="669">
        <v>13700</v>
      </c>
    </row>
    <row r="889" spans="1:4" s="23" customFormat="1" ht="25.5" x14ac:dyDescent="0.25">
      <c r="A889" s="667">
        <v>881</v>
      </c>
      <c r="B889" s="886" t="s">
        <v>3555</v>
      </c>
      <c r="C889" s="885" t="s">
        <v>3562</v>
      </c>
      <c r="D889" s="669">
        <v>13700</v>
      </c>
    </row>
    <row r="890" spans="1:4" s="23" customFormat="1" ht="25.5" x14ac:dyDescent="0.25">
      <c r="A890" s="667">
        <v>882</v>
      </c>
      <c r="B890" s="886" t="s">
        <v>3555</v>
      </c>
      <c r="C890" s="885" t="s">
        <v>3563</v>
      </c>
      <c r="D890" s="669">
        <v>13700</v>
      </c>
    </row>
    <row r="891" spans="1:4" s="23" customFormat="1" ht="25.5" x14ac:dyDescent="0.25">
      <c r="A891" s="667">
        <v>883</v>
      </c>
      <c r="B891" s="886" t="s">
        <v>3555</v>
      </c>
      <c r="C891" s="885" t="s">
        <v>3564</v>
      </c>
      <c r="D891" s="669">
        <v>13700</v>
      </c>
    </row>
    <row r="892" spans="1:4" s="23" customFormat="1" ht="25.5" x14ac:dyDescent="0.25">
      <c r="A892" s="667">
        <v>884</v>
      </c>
      <c r="B892" s="886" t="s">
        <v>3555</v>
      </c>
      <c r="C892" s="885" t="s">
        <v>3565</v>
      </c>
      <c r="D892" s="669">
        <v>13700</v>
      </c>
    </row>
    <row r="893" spans="1:4" s="23" customFormat="1" ht="25.5" x14ac:dyDescent="0.25">
      <c r="A893" s="667">
        <v>885</v>
      </c>
      <c r="B893" s="886" t="s">
        <v>3566</v>
      </c>
      <c r="C893" s="885" t="s">
        <v>3567</v>
      </c>
      <c r="D893" s="669">
        <v>39250</v>
      </c>
    </row>
    <row r="894" spans="1:4" s="23" customFormat="1" ht="22.5" customHeight="1" x14ac:dyDescent="0.25">
      <c r="A894" s="667">
        <v>886</v>
      </c>
      <c r="B894" s="886" t="s">
        <v>3568</v>
      </c>
      <c r="C894" s="885" t="s">
        <v>3569</v>
      </c>
      <c r="D894" s="669">
        <v>4510</v>
      </c>
    </row>
    <row r="895" spans="1:4" s="23" customFormat="1" ht="22.5" customHeight="1" x14ac:dyDescent="0.25">
      <c r="A895" s="667">
        <v>887</v>
      </c>
      <c r="B895" s="886" t="s">
        <v>3570</v>
      </c>
      <c r="C895" s="885" t="s">
        <v>3500</v>
      </c>
      <c r="D895" s="669">
        <v>8245</v>
      </c>
    </row>
    <row r="896" spans="1:4" s="23" customFormat="1" ht="22.5" customHeight="1" x14ac:dyDescent="0.25">
      <c r="A896" s="667">
        <v>888</v>
      </c>
      <c r="B896" s="886" t="s">
        <v>3571</v>
      </c>
      <c r="C896" s="885" t="s">
        <v>3572</v>
      </c>
      <c r="D896" s="669">
        <v>6400</v>
      </c>
    </row>
    <row r="897" spans="1:4" s="23" customFormat="1" ht="22.5" customHeight="1" x14ac:dyDescent="0.25">
      <c r="A897" s="667">
        <v>889</v>
      </c>
      <c r="B897" s="886" t="s">
        <v>3573</v>
      </c>
      <c r="C897" s="885" t="s">
        <v>3574</v>
      </c>
      <c r="D897" s="669">
        <v>6985</v>
      </c>
    </row>
    <row r="898" spans="1:4" s="23" customFormat="1" ht="22.5" customHeight="1" x14ac:dyDescent="0.25">
      <c r="A898" s="667">
        <v>890</v>
      </c>
      <c r="B898" s="886" t="s">
        <v>3575</v>
      </c>
      <c r="C898" s="885"/>
      <c r="D898" s="669">
        <v>20000</v>
      </c>
    </row>
    <row r="899" spans="1:4" s="23" customFormat="1" ht="22.5" customHeight="1" x14ac:dyDescent="0.25">
      <c r="A899" s="667">
        <v>891</v>
      </c>
      <c r="B899" s="886" t="s">
        <v>3576</v>
      </c>
      <c r="C899" s="885" t="s">
        <v>3577</v>
      </c>
      <c r="D899" s="669">
        <v>10400</v>
      </c>
    </row>
    <row r="900" spans="1:4" s="23" customFormat="1" ht="22.5" customHeight="1" x14ac:dyDescent="0.25">
      <c r="A900" s="667">
        <v>892</v>
      </c>
      <c r="B900" s="886" t="s">
        <v>3578</v>
      </c>
      <c r="C900" s="885" t="s">
        <v>3579</v>
      </c>
      <c r="D900" s="669">
        <v>298000</v>
      </c>
    </row>
    <row r="901" spans="1:4" s="23" customFormat="1" ht="22.5" customHeight="1" x14ac:dyDescent="0.25">
      <c r="A901" s="667">
        <v>893</v>
      </c>
      <c r="B901" s="886" t="s">
        <v>3580</v>
      </c>
      <c r="C901" s="885" t="s">
        <v>3581</v>
      </c>
      <c r="D901" s="669">
        <v>5280</v>
      </c>
    </row>
    <row r="902" spans="1:4" s="23" customFormat="1" ht="22.5" customHeight="1" x14ac:dyDescent="0.25">
      <c r="A902" s="667">
        <v>894</v>
      </c>
      <c r="B902" s="886" t="s">
        <v>3582</v>
      </c>
      <c r="C902" s="885" t="s">
        <v>3583</v>
      </c>
      <c r="D902" s="669">
        <v>1347</v>
      </c>
    </row>
    <row r="903" spans="1:4" s="23" customFormat="1" ht="22.5" customHeight="1" x14ac:dyDescent="0.25">
      <c r="A903" s="667">
        <v>895</v>
      </c>
      <c r="B903" s="886" t="s">
        <v>3584</v>
      </c>
      <c r="C903" s="885" t="s">
        <v>3585</v>
      </c>
      <c r="D903" s="669">
        <v>2346.96</v>
      </c>
    </row>
    <row r="904" spans="1:4" s="23" customFormat="1" ht="22.5" customHeight="1" x14ac:dyDescent="0.25">
      <c r="A904" s="667">
        <v>896</v>
      </c>
      <c r="B904" s="886" t="s">
        <v>3586</v>
      </c>
      <c r="C904" s="885" t="s">
        <v>3587</v>
      </c>
      <c r="D904" s="669">
        <v>6913.04</v>
      </c>
    </row>
    <row r="905" spans="1:4" s="23" customFormat="1" ht="22.5" customHeight="1" x14ac:dyDescent="0.25">
      <c r="A905" s="667">
        <v>897</v>
      </c>
      <c r="B905" s="886" t="s">
        <v>3588</v>
      </c>
      <c r="C905" s="885" t="s">
        <v>3589</v>
      </c>
      <c r="D905" s="669">
        <v>20000</v>
      </c>
    </row>
    <row r="906" spans="1:4" s="23" customFormat="1" ht="22.5" customHeight="1" x14ac:dyDescent="0.25">
      <c r="A906" s="667">
        <v>898</v>
      </c>
      <c r="B906" s="886" t="s">
        <v>3590</v>
      </c>
      <c r="C906" s="885" t="s">
        <v>3591</v>
      </c>
      <c r="D906" s="669">
        <v>2272.73</v>
      </c>
    </row>
    <row r="907" spans="1:4" s="23" customFormat="1" ht="22.5" customHeight="1" x14ac:dyDescent="0.25">
      <c r="A907" s="667">
        <v>899</v>
      </c>
      <c r="B907" s="886" t="s">
        <v>3592</v>
      </c>
      <c r="C907" s="885" t="s">
        <v>3593</v>
      </c>
      <c r="D907" s="669">
        <v>2200</v>
      </c>
    </row>
    <row r="908" spans="1:4" s="23" customFormat="1" ht="22.5" customHeight="1" x14ac:dyDescent="0.25">
      <c r="A908" s="667">
        <v>900</v>
      </c>
      <c r="B908" s="886" t="s">
        <v>3594</v>
      </c>
      <c r="C908" s="885" t="s">
        <v>3595</v>
      </c>
      <c r="D908" s="669">
        <f>30946.81-870-870-870-2660-1609-1409-1409</f>
        <v>21249.81</v>
      </c>
    </row>
    <row r="909" spans="1:4" s="23" customFormat="1" ht="22.5" customHeight="1" x14ac:dyDescent="0.25">
      <c r="A909" s="667">
        <v>901</v>
      </c>
      <c r="B909" s="886" t="s">
        <v>3596</v>
      </c>
      <c r="C909" s="885" t="s">
        <v>3597</v>
      </c>
      <c r="D909" s="669"/>
    </row>
    <row r="910" spans="1:4" s="23" customFormat="1" ht="22.5" customHeight="1" x14ac:dyDescent="0.25">
      <c r="A910" s="667">
        <v>902</v>
      </c>
      <c r="B910" s="886" t="s">
        <v>3598</v>
      </c>
      <c r="C910" s="885" t="s">
        <v>3597</v>
      </c>
      <c r="D910" s="669"/>
    </row>
    <row r="911" spans="1:4" s="23" customFormat="1" ht="22.5" customHeight="1" x14ac:dyDescent="0.25">
      <c r="A911" s="667">
        <v>903</v>
      </c>
      <c r="B911" s="886" t="s">
        <v>3599</v>
      </c>
      <c r="C911" s="885" t="s">
        <v>3595</v>
      </c>
      <c r="D911" s="669"/>
    </row>
    <row r="912" spans="1:4" s="23" customFormat="1" ht="22.5" customHeight="1" x14ac:dyDescent="0.25">
      <c r="A912" s="667">
        <v>904</v>
      </c>
      <c r="B912" s="886" t="s">
        <v>3600</v>
      </c>
      <c r="C912" s="885" t="s">
        <v>3601</v>
      </c>
      <c r="D912" s="669"/>
    </row>
    <row r="913" spans="1:4" s="23" customFormat="1" ht="22.5" customHeight="1" x14ac:dyDescent="0.25">
      <c r="A913" s="667">
        <v>905</v>
      </c>
      <c r="B913" s="886" t="s">
        <v>3602</v>
      </c>
      <c r="C913" s="885" t="s">
        <v>3595</v>
      </c>
      <c r="D913" s="669"/>
    </row>
    <row r="914" spans="1:4" s="23" customFormat="1" ht="22.5" customHeight="1" x14ac:dyDescent="0.25">
      <c r="A914" s="667">
        <v>906</v>
      </c>
      <c r="B914" s="886" t="s">
        <v>3603</v>
      </c>
      <c r="C914" s="885" t="s">
        <v>3604</v>
      </c>
      <c r="D914" s="669"/>
    </row>
    <row r="915" spans="1:4" s="23" customFormat="1" ht="22.5" customHeight="1" x14ac:dyDescent="0.25">
      <c r="A915" s="667">
        <v>907</v>
      </c>
      <c r="B915" s="886" t="s">
        <v>3605</v>
      </c>
      <c r="C915" s="885" t="s">
        <v>3595</v>
      </c>
      <c r="D915" s="669"/>
    </row>
    <row r="916" spans="1:4" s="23" customFormat="1" ht="22.5" customHeight="1" x14ac:dyDescent="0.25">
      <c r="A916" s="667">
        <v>908</v>
      </c>
      <c r="B916" s="886" t="s">
        <v>3606</v>
      </c>
      <c r="C916" s="885" t="s">
        <v>3607</v>
      </c>
      <c r="D916" s="669"/>
    </row>
    <row r="917" spans="1:4" s="23" customFormat="1" ht="22.5" customHeight="1" x14ac:dyDescent="0.25">
      <c r="A917" s="667">
        <v>909</v>
      </c>
      <c r="B917" s="886" t="s">
        <v>3608</v>
      </c>
      <c r="C917" s="885" t="s">
        <v>3609</v>
      </c>
      <c r="D917" s="669">
        <v>7964</v>
      </c>
    </row>
    <row r="918" spans="1:4" s="23" customFormat="1" ht="22.5" customHeight="1" x14ac:dyDescent="0.25">
      <c r="A918" s="667">
        <v>910</v>
      </c>
      <c r="B918" s="886" t="s">
        <v>3610</v>
      </c>
      <c r="C918" s="885" t="s">
        <v>3611</v>
      </c>
      <c r="D918" s="669">
        <v>35130</v>
      </c>
    </row>
    <row r="919" spans="1:4" s="23" customFormat="1" ht="22.5" customHeight="1" x14ac:dyDescent="0.25">
      <c r="A919" s="667">
        <v>911</v>
      </c>
      <c r="B919" s="886" t="s">
        <v>3612</v>
      </c>
      <c r="C919" s="885" t="s">
        <v>3613</v>
      </c>
      <c r="D919" s="669">
        <v>7413.93</v>
      </c>
    </row>
    <row r="920" spans="1:4" s="23" customFormat="1" ht="22.5" customHeight="1" x14ac:dyDescent="0.25">
      <c r="A920" s="667">
        <v>912</v>
      </c>
      <c r="B920" s="886" t="s">
        <v>3614</v>
      </c>
      <c r="C920" s="885" t="s">
        <v>3615</v>
      </c>
      <c r="D920" s="669"/>
    </row>
    <row r="921" spans="1:4" s="23" customFormat="1" ht="22.5" customHeight="1" x14ac:dyDescent="0.25">
      <c r="A921" s="667">
        <v>913</v>
      </c>
      <c r="B921" s="886" t="s">
        <v>3616</v>
      </c>
      <c r="C921" s="885" t="s">
        <v>3617</v>
      </c>
      <c r="D921" s="669">
        <v>10810</v>
      </c>
    </row>
    <row r="922" spans="1:4" s="23" customFormat="1" ht="22.5" customHeight="1" x14ac:dyDescent="0.25">
      <c r="A922" s="667">
        <v>914</v>
      </c>
      <c r="B922" s="886" t="s">
        <v>3618</v>
      </c>
      <c r="C922" s="885" t="s">
        <v>3619</v>
      </c>
      <c r="D922" s="669">
        <v>1675</v>
      </c>
    </row>
    <row r="923" spans="1:4" s="23" customFormat="1" ht="22.5" customHeight="1" x14ac:dyDescent="0.25">
      <c r="A923" s="667">
        <v>915</v>
      </c>
      <c r="B923" s="886" t="s">
        <v>3620</v>
      </c>
      <c r="C923" s="885" t="s">
        <v>3621</v>
      </c>
      <c r="D923" s="669">
        <v>1070</v>
      </c>
    </row>
    <row r="924" spans="1:4" s="23" customFormat="1" ht="22.5" customHeight="1" x14ac:dyDescent="0.25">
      <c r="A924" s="667">
        <v>916</v>
      </c>
      <c r="B924" s="886" t="s">
        <v>3622</v>
      </c>
      <c r="C924" s="885" t="s">
        <v>3623</v>
      </c>
      <c r="D924" s="669">
        <v>2782.61</v>
      </c>
    </row>
    <row r="925" spans="1:4" s="23" customFormat="1" ht="22.5" customHeight="1" x14ac:dyDescent="0.25">
      <c r="A925" s="667">
        <v>917</v>
      </c>
      <c r="B925" s="886" t="s">
        <v>3624</v>
      </c>
      <c r="C925" s="885" t="s">
        <v>3625</v>
      </c>
      <c r="D925" s="669">
        <v>6534.5</v>
      </c>
    </row>
    <row r="926" spans="1:4" s="23" customFormat="1" ht="22.5" customHeight="1" x14ac:dyDescent="0.25">
      <c r="A926" s="667">
        <v>918</v>
      </c>
      <c r="B926" s="886" t="s">
        <v>3626</v>
      </c>
      <c r="C926" s="885" t="s">
        <v>3627</v>
      </c>
      <c r="D926" s="669">
        <v>1462</v>
      </c>
    </row>
    <row r="927" spans="1:4" s="23" customFormat="1" ht="22.5" customHeight="1" x14ac:dyDescent="0.25">
      <c r="A927" s="667">
        <v>919</v>
      </c>
      <c r="B927" s="886" t="s">
        <v>3628</v>
      </c>
      <c r="C927" s="885" t="s">
        <v>3629</v>
      </c>
      <c r="D927" s="669">
        <v>7822.83</v>
      </c>
    </row>
    <row r="928" spans="1:4" s="23" customFormat="1" ht="22.5" customHeight="1" x14ac:dyDescent="0.25">
      <c r="A928" s="667">
        <v>920</v>
      </c>
      <c r="B928" s="886" t="s">
        <v>3630</v>
      </c>
      <c r="C928" s="885" t="s">
        <v>3631</v>
      </c>
      <c r="D928" s="669">
        <v>11823.15</v>
      </c>
    </row>
    <row r="929" spans="1:4" s="23" customFormat="1" ht="22.5" customHeight="1" x14ac:dyDescent="0.25">
      <c r="A929" s="667">
        <v>921</v>
      </c>
      <c r="B929" s="886" t="s">
        <v>3632</v>
      </c>
      <c r="C929" s="885" t="s">
        <v>3633</v>
      </c>
      <c r="D929" s="669">
        <v>861.21</v>
      </c>
    </row>
    <row r="930" spans="1:4" s="23" customFormat="1" ht="22.5" customHeight="1" x14ac:dyDescent="0.25">
      <c r="A930" s="667">
        <v>922</v>
      </c>
      <c r="B930" s="886" t="s">
        <v>3634</v>
      </c>
      <c r="C930" s="885" t="s">
        <v>3635</v>
      </c>
      <c r="D930" s="669">
        <v>1335.34</v>
      </c>
    </row>
    <row r="931" spans="1:4" s="23" customFormat="1" ht="25.5" x14ac:dyDescent="0.25">
      <c r="A931" s="667">
        <v>923</v>
      </c>
      <c r="B931" s="886" t="s">
        <v>3636</v>
      </c>
      <c r="C931" s="885" t="s">
        <v>3637</v>
      </c>
      <c r="D931" s="669">
        <v>16245</v>
      </c>
    </row>
    <row r="932" spans="1:4" s="23" customFormat="1" ht="25.5" x14ac:dyDescent="0.25">
      <c r="A932" s="667">
        <v>924</v>
      </c>
      <c r="B932" s="886" t="s">
        <v>3638</v>
      </c>
      <c r="C932" s="885" t="s">
        <v>3639</v>
      </c>
      <c r="D932" s="669">
        <v>4455</v>
      </c>
    </row>
    <row r="933" spans="1:4" s="23" customFormat="1" ht="25.5" x14ac:dyDescent="0.25">
      <c r="A933" s="667">
        <v>925</v>
      </c>
      <c r="B933" s="886" t="s">
        <v>3640</v>
      </c>
      <c r="C933" s="885" t="s">
        <v>3641</v>
      </c>
      <c r="D933" s="669">
        <v>1610</v>
      </c>
    </row>
    <row r="934" spans="1:4" s="23" customFormat="1" ht="25.5" x14ac:dyDescent="0.25">
      <c r="A934" s="667">
        <v>926</v>
      </c>
      <c r="B934" s="886" t="s">
        <v>3642</v>
      </c>
      <c r="C934" s="885" t="s">
        <v>3643</v>
      </c>
      <c r="D934" s="669">
        <v>6093.85</v>
      </c>
    </row>
    <row r="935" spans="1:4" s="23" customFormat="1" ht="25.5" x14ac:dyDescent="0.25">
      <c r="A935" s="667">
        <v>927</v>
      </c>
      <c r="B935" s="886" t="s">
        <v>3644</v>
      </c>
      <c r="C935" s="885" t="s">
        <v>3645</v>
      </c>
      <c r="D935" s="669">
        <v>2217.4</v>
      </c>
    </row>
    <row r="936" spans="1:4" s="23" customFormat="1" x14ac:dyDescent="0.25">
      <c r="A936" s="667">
        <v>928</v>
      </c>
      <c r="B936" s="886" t="s">
        <v>3646</v>
      </c>
      <c r="C936" s="885" t="s">
        <v>3647</v>
      </c>
      <c r="D936" s="669">
        <v>3300</v>
      </c>
    </row>
    <row r="937" spans="1:4" s="23" customFormat="1" x14ac:dyDescent="0.25">
      <c r="A937" s="667">
        <v>929</v>
      </c>
      <c r="B937" s="886" t="s">
        <v>3648</v>
      </c>
      <c r="C937" s="885" t="s">
        <v>3649</v>
      </c>
      <c r="D937" s="669">
        <v>2930.3</v>
      </c>
    </row>
    <row r="938" spans="1:4" s="23" customFormat="1" x14ac:dyDescent="0.25">
      <c r="A938" s="667">
        <v>930</v>
      </c>
      <c r="B938" s="886" t="s">
        <v>3650</v>
      </c>
      <c r="C938" s="885" t="s">
        <v>3649</v>
      </c>
      <c r="D938" s="669">
        <v>2930.3</v>
      </c>
    </row>
    <row r="939" spans="1:4" s="23" customFormat="1" ht="25.5" x14ac:dyDescent="0.25">
      <c r="A939" s="667">
        <v>931</v>
      </c>
      <c r="B939" s="886" t="s">
        <v>3651</v>
      </c>
      <c r="C939" s="885" t="s">
        <v>3652</v>
      </c>
      <c r="D939" s="669">
        <v>6000</v>
      </c>
    </row>
    <row r="940" spans="1:4" s="23" customFormat="1" x14ac:dyDescent="0.25">
      <c r="A940" s="667">
        <v>932</v>
      </c>
      <c r="B940" s="886" t="s">
        <v>3653</v>
      </c>
      <c r="C940" s="885" t="s">
        <v>3654</v>
      </c>
      <c r="D940" s="669">
        <v>696</v>
      </c>
    </row>
    <row r="941" spans="1:4" s="23" customFormat="1" ht="25.5" x14ac:dyDescent="0.25">
      <c r="A941" s="667">
        <v>933</v>
      </c>
      <c r="B941" s="886" t="s">
        <v>3655</v>
      </c>
      <c r="C941" s="885" t="s">
        <v>3656</v>
      </c>
      <c r="D941" s="669">
        <v>1322</v>
      </c>
    </row>
    <row r="942" spans="1:4" s="23" customFormat="1" ht="22.5" customHeight="1" x14ac:dyDescent="0.25">
      <c r="A942" s="667">
        <v>934</v>
      </c>
      <c r="B942" s="886" t="s">
        <v>3657</v>
      </c>
      <c r="C942" s="885" t="s">
        <v>3658</v>
      </c>
      <c r="D942" s="669">
        <v>4353.45</v>
      </c>
    </row>
    <row r="943" spans="1:4" s="23" customFormat="1" ht="22.5" customHeight="1" x14ac:dyDescent="0.25">
      <c r="A943" s="667">
        <v>935</v>
      </c>
      <c r="B943" s="886" t="s">
        <v>3659</v>
      </c>
      <c r="C943" s="885" t="s">
        <v>3658</v>
      </c>
      <c r="D943" s="669">
        <v>4353.45</v>
      </c>
    </row>
    <row r="944" spans="1:4" s="23" customFormat="1" ht="22.5" customHeight="1" x14ac:dyDescent="0.25">
      <c r="A944" s="667">
        <v>936</v>
      </c>
      <c r="B944" s="886" t="s">
        <v>3660</v>
      </c>
      <c r="C944" s="885" t="s">
        <v>3661</v>
      </c>
      <c r="D944" s="669">
        <v>8404.31</v>
      </c>
    </row>
    <row r="945" spans="1:4" s="23" customFormat="1" ht="22.5" customHeight="1" x14ac:dyDescent="0.25">
      <c r="A945" s="667">
        <v>937</v>
      </c>
      <c r="B945" s="886" t="s">
        <v>3662</v>
      </c>
      <c r="C945" s="885" t="s">
        <v>3663</v>
      </c>
      <c r="D945" s="669">
        <v>8188.79</v>
      </c>
    </row>
    <row r="946" spans="1:4" s="23" customFormat="1" ht="22.5" customHeight="1" x14ac:dyDescent="0.25">
      <c r="A946" s="667">
        <v>938</v>
      </c>
      <c r="B946" s="886" t="s">
        <v>3664</v>
      </c>
      <c r="C946" s="885" t="s">
        <v>2970</v>
      </c>
      <c r="D946" s="669">
        <v>2737.07</v>
      </c>
    </row>
    <row r="947" spans="1:4" s="23" customFormat="1" ht="22.5" customHeight="1" x14ac:dyDescent="0.25">
      <c r="A947" s="667">
        <v>939</v>
      </c>
      <c r="B947" s="886" t="s">
        <v>3665</v>
      </c>
      <c r="C947" s="885" t="s">
        <v>3666</v>
      </c>
      <c r="D947" s="669">
        <v>4212.07</v>
      </c>
    </row>
    <row r="948" spans="1:4" s="23" customFormat="1" ht="38.25" x14ac:dyDescent="0.25">
      <c r="A948" s="667">
        <v>940</v>
      </c>
      <c r="B948" s="886" t="s">
        <v>3667</v>
      </c>
      <c r="C948" s="885" t="s">
        <v>3668</v>
      </c>
      <c r="D948" s="669">
        <v>5600</v>
      </c>
    </row>
    <row r="949" spans="1:4" s="23" customFormat="1" x14ac:dyDescent="0.25">
      <c r="A949" s="667">
        <v>941</v>
      </c>
      <c r="B949" s="886" t="s">
        <v>3669</v>
      </c>
      <c r="C949" s="885" t="s">
        <v>3670</v>
      </c>
      <c r="D949" s="669">
        <v>12100</v>
      </c>
    </row>
    <row r="950" spans="1:4" s="23" customFormat="1" ht="25.5" x14ac:dyDescent="0.25">
      <c r="A950" s="667">
        <v>942</v>
      </c>
      <c r="B950" s="886" t="s">
        <v>3671</v>
      </c>
      <c r="C950" s="885" t="s">
        <v>3672</v>
      </c>
      <c r="D950" s="669">
        <v>6800</v>
      </c>
    </row>
    <row r="951" spans="1:4" s="23" customFormat="1" ht="25.5" x14ac:dyDescent="0.25">
      <c r="A951" s="667">
        <v>943</v>
      </c>
      <c r="B951" s="886" t="s">
        <v>3673</v>
      </c>
      <c r="C951" s="885" t="s">
        <v>3674</v>
      </c>
      <c r="D951" s="669">
        <v>4650</v>
      </c>
    </row>
    <row r="952" spans="1:4" s="23" customFormat="1" ht="22.5" customHeight="1" x14ac:dyDescent="0.25">
      <c r="A952" s="667">
        <v>944</v>
      </c>
      <c r="B952" s="886" t="s">
        <v>3675</v>
      </c>
      <c r="C952" s="885" t="s">
        <v>3676</v>
      </c>
      <c r="D952" s="669">
        <v>5450</v>
      </c>
    </row>
    <row r="953" spans="1:4" s="23" customFormat="1" ht="22.5" customHeight="1" x14ac:dyDescent="0.25">
      <c r="A953" s="667">
        <v>945</v>
      </c>
      <c r="B953" s="886" t="s">
        <v>3677</v>
      </c>
      <c r="C953" s="885" t="s">
        <v>3678</v>
      </c>
      <c r="D953" s="669">
        <v>6009.26</v>
      </c>
    </row>
    <row r="954" spans="1:4" s="23" customFormat="1" ht="22.5" customHeight="1" x14ac:dyDescent="0.25">
      <c r="A954" s="667">
        <v>946</v>
      </c>
      <c r="B954" s="886" t="s">
        <v>3679</v>
      </c>
      <c r="C954" s="885" t="s">
        <v>3678</v>
      </c>
      <c r="D954" s="669">
        <v>5138.8900000000003</v>
      </c>
    </row>
    <row r="955" spans="1:4" s="23" customFormat="1" ht="25.5" x14ac:dyDescent="0.25">
      <c r="A955" s="667">
        <v>947</v>
      </c>
      <c r="B955" s="886" t="s">
        <v>3680</v>
      </c>
      <c r="C955" s="885" t="s">
        <v>3681</v>
      </c>
      <c r="D955" s="669">
        <v>100000</v>
      </c>
    </row>
    <row r="956" spans="1:4" s="23" customFormat="1" ht="25.5" x14ac:dyDescent="0.25">
      <c r="A956" s="667">
        <v>948</v>
      </c>
      <c r="B956" s="886" t="s">
        <v>3682</v>
      </c>
      <c r="C956" s="885" t="s">
        <v>3683</v>
      </c>
      <c r="D956" s="669">
        <v>1</v>
      </c>
    </row>
    <row r="957" spans="1:4" s="23" customFormat="1" ht="25.5" x14ac:dyDescent="0.25">
      <c r="A957" s="667">
        <v>949</v>
      </c>
      <c r="B957" s="886" t="s">
        <v>3684</v>
      </c>
      <c r="C957" s="885" t="s">
        <v>3685</v>
      </c>
      <c r="D957" s="669">
        <v>1</v>
      </c>
    </row>
    <row r="958" spans="1:4" s="23" customFormat="1" ht="22.5" customHeight="1" x14ac:dyDescent="0.25">
      <c r="A958" s="667">
        <v>950</v>
      </c>
      <c r="B958" s="886" t="s">
        <v>3686</v>
      </c>
      <c r="C958" s="885" t="s">
        <v>3687</v>
      </c>
      <c r="D958" s="669">
        <v>71465.52</v>
      </c>
    </row>
    <row r="959" spans="1:4" s="23" customFormat="1" ht="22.5" customHeight="1" x14ac:dyDescent="0.25">
      <c r="A959" s="667">
        <v>951</v>
      </c>
      <c r="B959" s="886" t="s">
        <v>3688</v>
      </c>
      <c r="C959" s="885" t="s">
        <v>3687</v>
      </c>
      <c r="D959" s="669">
        <v>71465.52</v>
      </c>
    </row>
    <row r="960" spans="1:4" s="23" customFormat="1" ht="22.5" customHeight="1" x14ac:dyDescent="0.25">
      <c r="A960" s="667">
        <v>952</v>
      </c>
      <c r="B960" s="886" t="s">
        <v>3689</v>
      </c>
      <c r="C960" s="885" t="s">
        <v>3687</v>
      </c>
      <c r="D960" s="669">
        <v>71465.52</v>
      </c>
    </row>
    <row r="961" spans="1:4" s="23" customFormat="1" ht="22.5" customHeight="1" x14ac:dyDescent="0.25">
      <c r="A961" s="667">
        <v>953</v>
      </c>
      <c r="B961" s="886" t="s">
        <v>3690</v>
      </c>
      <c r="C961" s="885" t="s">
        <v>3687</v>
      </c>
      <c r="D961" s="669">
        <v>77500</v>
      </c>
    </row>
    <row r="962" spans="1:4" s="23" customFormat="1" ht="25.5" x14ac:dyDescent="0.25">
      <c r="A962" s="667">
        <v>954</v>
      </c>
      <c r="B962" s="668" t="s">
        <v>3691</v>
      </c>
      <c r="C962" s="885" t="s">
        <v>3692</v>
      </c>
      <c r="D962" s="669">
        <v>4826.09</v>
      </c>
    </row>
    <row r="963" spans="1:4" s="23" customFormat="1" ht="38.25" x14ac:dyDescent="0.25">
      <c r="A963" s="667">
        <v>955</v>
      </c>
      <c r="B963" s="668" t="s">
        <v>3693</v>
      </c>
      <c r="C963" s="885" t="s">
        <v>3694</v>
      </c>
      <c r="D963" s="669">
        <v>5900</v>
      </c>
    </row>
    <row r="964" spans="1:4" s="23" customFormat="1" ht="25.5" x14ac:dyDescent="0.25">
      <c r="A964" s="667">
        <v>956</v>
      </c>
      <c r="B964" s="668" t="s">
        <v>3695</v>
      </c>
      <c r="C964" s="885" t="s">
        <v>3696</v>
      </c>
      <c r="D964" s="669">
        <v>5100</v>
      </c>
    </row>
    <row r="965" spans="1:4" s="23" customFormat="1" ht="51" x14ac:dyDescent="0.25">
      <c r="A965" s="667">
        <v>957</v>
      </c>
      <c r="B965" s="668" t="s">
        <v>3697</v>
      </c>
      <c r="C965" s="885" t="s">
        <v>3698</v>
      </c>
      <c r="D965" s="669">
        <v>8000</v>
      </c>
    </row>
    <row r="966" spans="1:4" s="23" customFormat="1" ht="51" x14ac:dyDescent="0.25">
      <c r="A966" s="667">
        <v>958</v>
      </c>
      <c r="B966" s="668" t="s">
        <v>3699</v>
      </c>
      <c r="C966" s="885" t="s">
        <v>3700</v>
      </c>
      <c r="D966" s="669">
        <v>8000</v>
      </c>
    </row>
    <row r="967" spans="1:4" s="23" customFormat="1" ht="38.25" x14ac:dyDescent="0.25">
      <c r="A967" s="667">
        <v>959</v>
      </c>
      <c r="B967" s="668" t="s">
        <v>3701</v>
      </c>
      <c r="C967" s="885" t="s">
        <v>3702</v>
      </c>
      <c r="D967" s="669">
        <v>4700</v>
      </c>
    </row>
    <row r="968" spans="1:4" s="23" customFormat="1" ht="38.25" x14ac:dyDescent="0.25">
      <c r="A968" s="667">
        <v>960</v>
      </c>
      <c r="B968" s="668" t="s">
        <v>3703</v>
      </c>
      <c r="C968" s="885" t="s">
        <v>3704</v>
      </c>
      <c r="D968" s="669">
        <v>4800</v>
      </c>
    </row>
    <row r="969" spans="1:4" s="23" customFormat="1" ht="38.25" x14ac:dyDescent="0.25">
      <c r="A969" s="667">
        <v>961</v>
      </c>
      <c r="B969" s="668" t="s">
        <v>3705</v>
      </c>
      <c r="C969" s="885" t="s">
        <v>3706</v>
      </c>
      <c r="D969" s="669">
        <v>1450</v>
      </c>
    </row>
    <row r="970" spans="1:4" s="23" customFormat="1" ht="51" x14ac:dyDescent="0.25">
      <c r="A970" s="667">
        <v>962</v>
      </c>
      <c r="B970" s="668" t="s">
        <v>3707</v>
      </c>
      <c r="C970" s="885" t="s">
        <v>3708</v>
      </c>
      <c r="D970" s="669">
        <v>13064.5</v>
      </c>
    </row>
    <row r="971" spans="1:4" s="23" customFormat="1" ht="51" x14ac:dyDescent="0.25">
      <c r="A971" s="667">
        <v>963</v>
      </c>
      <c r="B971" s="668" t="s">
        <v>3709</v>
      </c>
      <c r="C971" s="885" t="s">
        <v>3710</v>
      </c>
      <c r="D971" s="669">
        <v>7400</v>
      </c>
    </row>
    <row r="972" spans="1:4" s="23" customFormat="1" ht="51" x14ac:dyDescent="0.25">
      <c r="A972" s="667">
        <v>964</v>
      </c>
      <c r="B972" s="668" t="s">
        <v>3711</v>
      </c>
      <c r="C972" s="885" t="s">
        <v>3712</v>
      </c>
      <c r="D972" s="669">
        <v>7400</v>
      </c>
    </row>
    <row r="973" spans="1:4" s="23" customFormat="1" ht="51" x14ac:dyDescent="0.25">
      <c r="A973" s="667">
        <v>965</v>
      </c>
      <c r="B973" s="668" t="s">
        <v>3713</v>
      </c>
      <c r="C973" s="885" t="s">
        <v>3714</v>
      </c>
      <c r="D973" s="669">
        <v>7400</v>
      </c>
    </row>
    <row r="974" spans="1:4" s="23" customFormat="1" ht="25.5" x14ac:dyDescent="0.25">
      <c r="A974" s="667">
        <v>966</v>
      </c>
      <c r="B974" s="668" t="s">
        <v>3715</v>
      </c>
      <c r="C974" s="885" t="s">
        <v>3716</v>
      </c>
      <c r="D974" s="669">
        <v>4500</v>
      </c>
    </row>
    <row r="975" spans="1:4" s="23" customFormat="1" ht="51" x14ac:dyDescent="0.25">
      <c r="A975" s="667">
        <v>967</v>
      </c>
      <c r="B975" s="668" t="s">
        <v>3717</v>
      </c>
      <c r="C975" s="885" t="s">
        <v>3718</v>
      </c>
      <c r="D975" s="669">
        <v>8500</v>
      </c>
    </row>
    <row r="976" spans="1:4" s="23" customFormat="1" ht="38.25" x14ac:dyDescent="0.25">
      <c r="A976" s="667">
        <v>968</v>
      </c>
      <c r="B976" s="668" t="s">
        <v>3719</v>
      </c>
      <c r="C976" s="885" t="s">
        <v>3720</v>
      </c>
      <c r="D976" s="669">
        <v>1850</v>
      </c>
    </row>
    <row r="977" spans="1:4" s="23" customFormat="1" ht="25.5" x14ac:dyDescent="0.25">
      <c r="A977" s="667">
        <v>969</v>
      </c>
      <c r="B977" s="668" t="s">
        <v>3721</v>
      </c>
      <c r="C977" s="885" t="s">
        <v>3722</v>
      </c>
      <c r="D977" s="669">
        <v>1850</v>
      </c>
    </row>
    <row r="978" spans="1:4" s="23" customFormat="1" ht="25.5" x14ac:dyDescent="0.25">
      <c r="A978" s="667">
        <v>970</v>
      </c>
      <c r="B978" s="668" t="s">
        <v>3723</v>
      </c>
      <c r="C978" s="885" t="s">
        <v>3724</v>
      </c>
      <c r="D978" s="669">
        <v>1850</v>
      </c>
    </row>
    <row r="979" spans="1:4" s="23" customFormat="1" ht="25.5" x14ac:dyDescent="0.25">
      <c r="A979" s="667">
        <v>971</v>
      </c>
      <c r="B979" s="668" t="s">
        <v>3725</v>
      </c>
      <c r="C979" s="885" t="s">
        <v>3726</v>
      </c>
      <c r="D979" s="669">
        <v>7800</v>
      </c>
    </row>
    <row r="980" spans="1:4" s="23" customFormat="1" ht="51" x14ac:dyDescent="0.25">
      <c r="A980" s="667">
        <v>972</v>
      </c>
      <c r="B980" s="668" t="s">
        <v>3727</v>
      </c>
      <c r="C980" s="885" t="s">
        <v>3728</v>
      </c>
      <c r="D980" s="669">
        <v>7800</v>
      </c>
    </row>
    <row r="981" spans="1:4" s="23" customFormat="1" ht="51" x14ac:dyDescent="0.25">
      <c r="A981" s="667">
        <v>973</v>
      </c>
      <c r="B981" s="668" t="s">
        <v>3729</v>
      </c>
      <c r="C981" s="885" t="s">
        <v>3730</v>
      </c>
      <c r="D981" s="669">
        <v>8600</v>
      </c>
    </row>
    <row r="982" spans="1:4" s="23" customFormat="1" ht="25.5" x14ac:dyDescent="0.25">
      <c r="A982" s="667">
        <v>974</v>
      </c>
      <c r="B982" s="668" t="s">
        <v>3731</v>
      </c>
      <c r="C982" s="885" t="s">
        <v>3732</v>
      </c>
      <c r="D982" s="669">
        <v>8600</v>
      </c>
    </row>
    <row r="983" spans="1:4" s="23" customFormat="1" ht="25.5" x14ac:dyDescent="0.25">
      <c r="A983" s="667">
        <v>975</v>
      </c>
      <c r="B983" s="668" t="s">
        <v>3733</v>
      </c>
      <c r="C983" s="885" t="s">
        <v>3734</v>
      </c>
      <c r="D983" s="669">
        <v>3300</v>
      </c>
    </row>
    <row r="984" spans="1:4" s="23" customFormat="1" ht="25.5" x14ac:dyDescent="0.25">
      <c r="A984" s="667">
        <v>976</v>
      </c>
      <c r="B984" s="668" t="s">
        <v>3735</v>
      </c>
      <c r="C984" s="885" t="s">
        <v>3736</v>
      </c>
      <c r="D984" s="669">
        <v>3300</v>
      </c>
    </row>
    <row r="985" spans="1:4" s="23" customFormat="1" ht="38.25" x14ac:dyDescent="0.25">
      <c r="A985" s="667">
        <v>977</v>
      </c>
      <c r="B985" s="668" t="s">
        <v>3737</v>
      </c>
      <c r="C985" s="885" t="s">
        <v>3738</v>
      </c>
      <c r="D985" s="669">
        <v>12700</v>
      </c>
    </row>
    <row r="986" spans="1:4" s="23" customFormat="1" ht="25.5" x14ac:dyDescent="0.25">
      <c r="A986" s="667">
        <v>978</v>
      </c>
      <c r="B986" s="668" t="s">
        <v>3739</v>
      </c>
      <c r="C986" s="885" t="s">
        <v>3740</v>
      </c>
      <c r="D986" s="669">
        <v>7800</v>
      </c>
    </row>
    <row r="987" spans="1:4" s="23" customFormat="1" ht="76.5" x14ac:dyDescent="0.25">
      <c r="A987" s="667">
        <v>979</v>
      </c>
      <c r="B987" s="668" t="s">
        <v>3741</v>
      </c>
      <c r="C987" s="885" t="s">
        <v>3742</v>
      </c>
      <c r="D987" s="669">
        <v>7800</v>
      </c>
    </row>
    <row r="988" spans="1:4" s="23" customFormat="1" ht="76.5" x14ac:dyDescent="0.25">
      <c r="A988" s="667">
        <v>980</v>
      </c>
      <c r="B988" s="668" t="s">
        <v>3743</v>
      </c>
      <c r="C988" s="885" t="s">
        <v>3744</v>
      </c>
      <c r="D988" s="669">
        <v>7800</v>
      </c>
    </row>
    <row r="989" spans="1:4" s="23" customFormat="1" ht="38.25" x14ac:dyDescent="0.25">
      <c r="A989" s="667">
        <v>981</v>
      </c>
      <c r="B989" s="668" t="s">
        <v>3745</v>
      </c>
      <c r="C989" s="885" t="s">
        <v>3746</v>
      </c>
      <c r="D989" s="669">
        <v>1800</v>
      </c>
    </row>
    <row r="990" spans="1:4" s="23" customFormat="1" ht="25.5" x14ac:dyDescent="0.25">
      <c r="A990" s="667">
        <v>982</v>
      </c>
      <c r="B990" s="668" t="s">
        <v>3747</v>
      </c>
      <c r="C990" s="885" t="s">
        <v>3748</v>
      </c>
      <c r="D990" s="669">
        <v>1850</v>
      </c>
    </row>
    <row r="991" spans="1:4" s="23" customFormat="1" ht="25.5" x14ac:dyDescent="0.25">
      <c r="A991" s="667">
        <v>983</v>
      </c>
      <c r="B991" s="668" t="s">
        <v>3749</v>
      </c>
      <c r="C991" s="885" t="s">
        <v>3750</v>
      </c>
      <c r="D991" s="669">
        <v>1850</v>
      </c>
    </row>
    <row r="992" spans="1:4" s="23" customFormat="1" ht="51" x14ac:dyDescent="0.25">
      <c r="A992" s="667">
        <v>984</v>
      </c>
      <c r="B992" s="668" t="s">
        <v>3751</v>
      </c>
      <c r="C992" s="885" t="s">
        <v>3752</v>
      </c>
      <c r="D992" s="669">
        <v>49902.58</v>
      </c>
    </row>
    <row r="993" spans="1:4" s="23" customFormat="1" ht="25.5" x14ac:dyDescent="0.25">
      <c r="A993" s="667">
        <v>985</v>
      </c>
      <c r="B993" s="668" t="s">
        <v>3753</v>
      </c>
      <c r="C993" s="885" t="s">
        <v>3754</v>
      </c>
      <c r="D993" s="669">
        <v>1550</v>
      </c>
    </row>
    <row r="994" spans="1:4" s="23" customFormat="1" ht="25.5" x14ac:dyDescent="0.25">
      <c r="A994" s="667">
        <v>986</v>
      </c>
      <c r="B994" s="668" t="s">
        <v>3755</v>
      </c>
      <c r="C994" s="885" t="s">
        <v>3756</v>
      </c>
      <c r="D994" s="669">
        <v>1550</v>
      </c>
    </row>
    <row r="995" spans="1:4" s="23" customFormat="1" ht="38.25" x14ac:dyDescent="0.25">
      <c r="A995" s="667">
        <v>987</v>
      </c>
      <c r="B995" s="668" t="s">
        <v>3757</v>
      </c>
      <c r="C995" s="885" t="s">
        <v>3758</v>
      </c>
      <c r="D995" s="669">
        <v>1550</v>
      </c>
    </row>
    <row r="996" spans="1:4" s="23" customFormat="1" ht="25.5" x14ac:dyDescent="0.25">
      <c r="A996" s="667">
        <v>988</v>
      </c>
      <c r="B996" s="668" t="s">
        <v>3759</v>
      </c>
      <c r="C996" s="885" t="s">
        <v>3760</v>
      </c>
      <c r="D996" s="669">
        <v>1675</v>
      </c>
    </row>
    <row r="997" spans="1:4" s="23" customFormat="1" ht="25.5" x14ac:dyDescent="0.25">
      <c r="A997" s="667">
        <v>989</v>
      </c>
      <c r="B997" s="668" t="s">
        <v>3761</v>
      </c>
      <c r="C997" s="885" t="s">
        <v>3762</v>
      </c>
      <c r="D997" s="669">
        <v>1675</v>
      </c>
    </row>
    <row r="998" spans="1:4" s="23" customFormat="1" ht="25.5" x14ac:dyDescent="0.25">
      <c r="A998" s="667">
        <v>990</v>
      </c>
      <c r="B998" s="668" t="s">
        <v>3763</v>
      </c>
      <c r="C998" s="885" t="s">
        <v>3764</v>
      </c>
      <c r="D998" s="669">
        <v>113580.98</v>
      </c>
    </row>
    <row r="999" spans="1:4" s="23" customFormat="1" ht="51" x14ac:dyDescent="0.25">
      <c r="A999" s="667">
        <v>991</v>
      </c>
      <c r="B999" s="668" t="s">
        <v>3765</v>
      </c>
      <c r="C999" s="885" t="s">
        <v>3766</v>
      </c>
      <c r="D999" s="669">
        <v>38359.360000000001</v>
      </c>
    </row>
    <row r="1000" spans="1:4" s="23" customFormat="1" ht="25.5" x14ac:dyDescent="0.25">
      <c r="A1000" s="667">
        <v>992</v>
      </c>
      <c r="B1000" s="668" t="s">
        <v>3767</v>
      </c>
      <c r="C1000" s="885" t="s">
        <v>3768</v>
      </c>
      <c r="D1000" s="669">
        <v>2102.5</v>
      </c>
    </row>
    <row r="1001" spans="1:4" s="23" customFormat="1" ht="25.5" x14ac:dyDescent="0.25">
      <c r="A1001" s="667">
        <v>993</v>
      </c>
      <c r="B1001" s="668" t="s">
        <v>3769</v>
      </c>
      <c r="C1001" s="885" t="s">
        <v>3770</v>
      </c>
      <c r="D1001" s="669">
        <v>2494</v>
      </c>
    </row>
    <row r="1002" spans="1:4" s="23" customFormat="1" ht="51" x14ac:dyDescent="0.25">
      <c r="A1002" s="667">
        <v>994</v>
      </c>
      <c r="B1002" s="668" t="s">
        <v>3771</v>
      </c>
      <c r="C1002" s="885" t="s">
        <v>3772</v>
      </c>
      <c r="D1002" s="669">
        <v>6000</v>
      </c>
    </row>
    <row r="1003" spans="1:4" s="23" customFormat="1" ht="38.25" x14ac:dyDescent="0.25">
      <c r="A1003" s="667">
        <v>995</v>
      </c>
      <c r="B1003" s="668" t="s">
        <v>3773</v>
      </c>
      <c r="C1003" s="885" t="s">
        <v>3774</v>
      </c>
      <c r="D1003" s="669">
        <v>4800</v>
      </c>
    </row>
    <row r="1004" spans="1:4" s="23" customFormat="1" ht="38.25" x14ac:dyDescent="0.25">
      <c r="A1004" s="667">
        <v>996</v>
      </c>
      <c r="B1004" s="668" t="s">
        <v>3775</v>
      </c>
      <c r="C1004" s="885" t="s">
        <v>3776</v>
      </c>
      <c r="D1004" s="669">
        <v>1650</v>
      </c>
    </row>
    <row r="1005" spans="1:4" s="23" customFormat="1" ht="51" x14ac:dyDescent="0.25">
      <c r="A1005" s="667">
        <v>997</v>
      </c>
      <c r="B1005" s="668" t="s">
        <v>3777</v>
      </c>
      <c r="C1005" s="885" t="s">
        <v>3778</v>
      </c>
      <c r="D1005" s="669">
        <v>21000</v>
      </c>
    </row>
    <row r="1006" spans="1:4" s="23" customFormat="1" ht="25.5" x14ac:dyDescent="0.25">
      <c r="A1006" s="667">
        <v>998</v>
      </c>
      <c r="B1006" s="668" t="s">
        <v>3779</v>
      </c>
      <c r="C1006" s="885" t="s">
        <v>3780</v>
      </c>
      <c r="D1006" s="669">
        <v>1650</v>
      </c>
    </row>
    <row r="1007" spans="1:4" s="23" customFormat="1" ht="51" x14ac:dyDescent="0.25">
      <c r="A1007" s="667">
        <v>999</v>
      </c>
      <c r="B1007" s="668" t="s">
        <v>3781</v>
      </c>
      <c r="C1007" s="885" t="s">
        <v>3782</v>
      </c>
      <c r="D1007" s="669">
        <v>2300</v>
      </c>
    </row>
    <row r="1008" spans="1:4" s="23" customFormat="1" ht="51" x14ac:dyDescent="0.25">
      <c r="A1008" s="667">
        <v>1000</v>
      </c>
      <c r="B1008" s="668" t="s">
        <v>3783</v>
      </c>
      <c r="C1008" s="885" t="s">
        <v>3784</v>
      </c>
      <c r="D1008" s="669">
        <v>8800</v>
      </c>
    </row>
    <row r="1009" spans="1:4" s="23" customFormat="1" ht="51" x14ac:dyDescent="0.25">
      <c r="A1009" s="667">
        <v>1001</v>
      </c>
      <c r="B1009" s="668" t="s">
        <v>3785</v>
      </c>
      <c r="C1009" s="885" t="s">
        <v>3786</v>
      </c>
      <c r="D1009" s="669">
        <v>7400</v>
      </c>
    </row>
    <row r="1010" spans="1:4" s="23" customFormat="1" ht="51" x14ac:dyDescent="0.25">
      <c r="A1010" s="667">
        <v>1002</v>
      </c>
      <c r="B1010" s="668" t="s">
        <v>3787</v>
      </c>
      <c r="C1010" s="885" t="s">
        <v>3788</v>
      </c>
      <c r="D1010" s="669">
        <v>7400</v>
      </c>
    </row>
    <row r="1011" spans="1:4" s="23" customFormat="1" ht="51" x14ac:dyDescent="0.25">
      <c r="A1011" s="667">
        <v>1003</v>
      </c>
      <c r="B1011" s="668" t="s">
        <v>3789</v>
      </c>
      <c r="C1011" s="885" t="s">
        <v>3790</v>
      </c>
      <c r="D1011" s="669">
        <v>3800</v>
      </c>
    </row>
    <row r="1012" spans="1:4" s="23" customFormat="1" ht="38.25" x14ac:dyDescent="0.25">
      <c r="A1012" s="667">
        <v>1004</v>
      </c>
      <c r="B1012" s="668" t="s">
        <v>3791</v>
      </c>
      <c r="C1012" s="885" t="s">
        <v>3792</v>
      </c>
      <c r="D1012" s="669">
        <v>8235.09</v>
      </c>
    </row>
    <row r="1013" spans="1:4" s="23" customFormat="1" ht="25.5" x14ac:dyDescent="0.25">
      <c r="A1013" s="667">
        <v>1005</v>
      </c>
      <c r="B1013" s="668" t="s">
        <v>3793</v>
      </c>
      <c r="C1013" s="885" t="s">
        <v>3794</v>
      </c>
      <c r="D1013" s="669">
        <v>1250</v>
      </c>
    </row>
    <row r="1014" spans="1:4" s="23" customFormat="1" ht="25.5" x14ac:dyDescent="0.25">
      <c r="A1014" s="667">
        <v>1006</v>
      </c>
      <c r="B1014" s="668" t="s">
        <v>3795</v>
      </c>
      <c r="C1014" s="885" t="s">
        <v>3796</v>
      </c>
      <c r="D1014" s="669">
        <v>1250</v>
      </c>
    </row>
    <row r="1015" spans="1:4" s="23" customFormat="1" ht="38.25" x14ac:dyDescent="0.25">
      <c r="A1015" s="667">
        <v>1007</v>
      </c>
      <c r="B1015" s="668" t="s">
        <v>3797</v>
      </c>
      <c r="C1015" s="885" t="s">
        <v>3798</v>
      </c>
      <c r="D1015" s="669">
        <v>4600</v>
      </c>
    </row>
    <row r="1016" spans="1:4" s="23" customFormat="1" ht="51" x14ac:dyDescent="0.25">
      <c r="A1016" s="667">
        <v>1008</v>
      </c>
      <c r="B1016" s="668" t="s">
        <v>3799</v>
      </c>
      <c r="C1016" s="885" t="s">
        <v>3800</v>
      </c>
      <c r="D1016" s="669">
        <v>2050</v>
      </c>
    </row>
    <row r="1017" spans="1:4" s="23" customFormat="1" ht="38.25" x14ac:dyDescent="0.25">
      <c r="A1017" s="667">
        <v>1009</v>
      </c>
      <c r="B1017" s="668" t="s">
        <v>3801</v>
      </c>
      <c r="C1017" s="885" t="s">
        <v>3802</v>
      </c>
      <c r="D1017" s="669">
        <v>4600</v>
      </c>
    </row>
    <row r="1018" spans="1:4" s="23" customFormat="1" ht="51" x14ac:dyDescent="0.25">
      <c r="A1018" s="667">
        <v>1010</v>
      </c>
      <c r="B1018" s="668" t="s">
        <v>3803</v>
      </c>
      <c r="C1018" s="885" t="s">
        <v>3804</v>
      </c>
      <c r="D1018" s="669">
        <v>2050</v>
      </c>
    </row>
    <row r="1019" spans="1:4" s="23" customFormat="1" ht="51" x14ac:dyDescent="0.25">
      <c r="A1019" s="667">
        <v>1011</v>
      </c>
      <c r="B1019" s="668" t="s">
        <v>3805</v>
      </c>
      <c r="C1019" s="885" t="s">
        <v>3806</v>
      </c>
      <c r="D1019" s="669">
        <v>2050</v>
      </c>
    </row>
    <row r="1020" spans="1:4" s="23" customFormat="1" ht="25.5" x14ac:dyDescent="0.25">
      <c r="A1020" s="667">
        <v>1012</v>
      </c>
      <c r="B1020" s="668" t="s">
        <v>3807</v>
      </c>
      <c r="C1020" s="885" t="s">
        <v>3808</v>
      </c>
      <c r="D1020" s="669">
        <v>4600</v>
      </c>
    </row>
    <row r="1021" spans="1:4" s="23" customFormat="1" ht="51" x14ac:dyDescent="0.25">
      <c r="A1021" s="667">
        <v>1013</v>
      </c>
      <c r="B1021" s="668" t="s">
        <v>3809</v>
      </c>
      <c r="C1021" s="885" t="s">
        <v>3810</v>
      </c>
      <c r="D1021" s="669">
        <v>2050</v>
      </c>
    </row>
    <row r="1022" spans="1:4" s="23" customFormat="1" ht="25.5" x14ac:dyDescent="0.25">
      <c r="A1022" s="667">
        <v>1014</v>
      </c>
      <c r="B1022" s="668" t="s">
        <v>3811</v>
      </c>
      <c r="C1022" s="885" t="s">
        <v>3812</v>
      </c>
      <c r="D1022" s="669">
        <v>4600</v>
      </c>
    </row>
    <row r="1023" spans="1:4" s="23" customFormat="1" ht="51" x14ac:dyDescent="0.25">
      <c r="A1023" s="667">
        <v>1015</v>
      </c>
      <c r="B1023" s="668" t="s">
        <v>3813</v>
      </c>
      <c r="C1023" s="885" t="s">
        <v>3814</v>
      </c>
      <c r="D1023" s="669">
        <v>2050</v>
      </c>
    </row>
    <row r="1024" spans="1:4" s="23" customFormat="1" ht="51" x14ac:dyDescent="0.25">
      <c r="A1024" s="667">
        <v>1016</v>
      </c>
      <c r="B1024" s="668" t="s">
        <v>3815</v>
      </c>
      <c r="C1024" s="885" t="s">
        <v>3816</v>
      </c>
      <c r="D1024" s="669">
        <v>3650</v>
      </c>
    </row>
    <row r="1025" spans="1:4" s="23" customFormat="1" ht="51" x14ac:dyDescent="0.25">
      <c r="A1025" s="667">
        <v>1017</v>
      </c>
      <c r="B1025" s="668" t="s">
        <v>3817</v>
      </c>
      <c r="C1025" s="885" t="s">
        <v>3818</v>
      </c>
      <c r="D1025" s="669">
        <v>21627.59</v>
      </c>
    </row>
    <row r="1026" spans="1:4" s="23" customFormat="1" x14ac:dyDescent="0.25">
      <c r="A1026" s="667">
        <v>1018</v>
      </c>
      <c r="B1026" s="668" t="s">
        <v>3819</v>
      </c>
      <c r="C1026" s="885" t="s">
        <v>3820</v>
      </c>
      <c r="D1026" s="669">
        <v>5000</v>
      </c>
    </row>
    <row r="1027" spans="1:4" s="23" customFormat="1" ht="63.75" x14ac:dyDescent="0.25">
      <c r="A1027" s="667">
        <v>1019</v>
      </c>
      <c r="B1027" s="668" t="s">
        <v>3821</v>
      </c>
      <c r="C1027" s="885" t="s">
        <v>3822</v>
      </c>
      <c r="D1027" s="669">
        <v>238225</v>
      </c>
    </row>
    <row r="1028" spans="1:4" s="23" customFormat="1" ht="51" x14ac:dyDescent="0.25">
      <c r="A1028" s="667">
        <v>1020</v>
      </c>
      <c r="B1028" s="668" t="s">
        <v>3823</v>
      </c>
      <c r="C1028" s="885" t="s">
        <v>3824</v>
      </c>
      <c r="D1028" s="669">
        <v>16489</v>
      </c>
    </row>
    <row r="1029" spans="1:4" s="23" customFormat="1" ht="51" x14ac:dyDescent="0.25">
      <c r="A1029" s="667">
        <v>1021</v>
      </c>
      <c r="B1029" s="668" t="s">
        <v>3825</v>
      </c>
      <c r="C1029" s="885" t="s">
        <v>3826</v>
      </c>
      <c r="D1029" s="669">
        <v>16489</v>
      </c>
    </row>
    <row r="1030" spans="1:4" s="23" customFormat="1" ht="51" x14ac:dyDescent="0.25">
      <c r="A1030" s="667">
        <v>1022</v>
      </c>
      <c r="B1030" s="668" t="s">
        <v>3827</v>
      </c>
      <c r="C1030" s="885" t="s">
        <v>3828</v>
      </c>
      <c r="D1030" s="669">
        <v>16489</v>
      </c>
    </row>
    <row r="1031" spans="1:4" s="23" customFormat="1" ht="51" x14ac:dyDescent="0.25">
      <c r="A1031" s="667">
        <v>1023</v>
      </c>
      <c r="B1031" s="668" t="s">
        <v>3829</v>
      </c>
      <c r="C1031" s="885" t="s">
        <v>3830</v>
      </c>
      <c r="D1031" s="669">
        <v>16489</v>
      </c>
    </row>
    <row r="1032" spans="1:4" s="23" customFormat="1" ht="38.25" x14ac:dyDescent="0.25">
      <c r="A1032" s="667">
        <v>1024</v>
      </c>
      <c r="B1032" s="668" t="s">
        <v>3831</v>
      </c>
      <c r="C1032" s="885" t="s">
        <v>3832</v>
      </c>
      <c r="D1032" s="669">
        <v>16489</v>
      </c>
    </row>
    <row r="1033" spans="1:4" s="23" customFormat="1" ht="38.25" x14ac:dyDescent="0.25">
      <c r="A1033" s="667">
        <v>1025</v>
      </c>
      <c r="B1033" s="668" t="s">
        <v>3833</v>
      </c>
      <c r="C1033" s="885" t="s">
        <v>3834</v>
      </c>
      <c r="D1033" s="669">
        <v>16489</v>
      </c>
    </row>
    <row r="1034" spans="1:4" s="23" customFormat="1" ht="38.25" x14ac:dyDescent="0.25">
      <c r="A1034" s="667">
        <v>1026</v>
      </c>
      <c r="B1034" s="668" t="s">
        <v>3835</v>
      </c>
      <c r="C1034" s="885" t="s">
        <v>3836</v>
      </c>
      <c r="D1034" s="669">
        <v>16489</v>
      </c>
    </row>
    <row r="1035" spans="1:4" s="23" customFormat="1" ht="38.25" x14ac:dyDescent="0.25">
      <c r="A1035" s="667">
        <v>1027</v>
      </c>
      <c r="B1035" s="668" t="s">
        <v>3837</v>
      </c>
      <c r="C1035" s="885" t="s">
        <v>3838</v>
      </c>
      <c r="D1035" s="669">
        <v>16489</v>
      </c>
    </row>
    <row r="1036" spans="1:4" s="23" customFormat="1" ht="38.25" x14ac:dyDescent="0.25">
      <c r="A1036" s="667">
        <v>1028</v>
      </c>
      <c r="B1036" s="668" t="s">
        <v>3839</v>
      </c>
      <c r="C1036" s="885" t="s">
        <v>3840</v>
      </c>
      <c r="D1036" s="669">
        <v>38820</v>
      </c>
    </row>
    <row r="1037" spans="1:4" s="23" customFormat="1" ht="38.25" x14ac:dyDescent="0.25">
      <c r="A1037" s="667">
        <v>1029</v>
      </c>
      <c r="B1037" s="668" t="s">
        <v>3841</v>
      </c>
      <c r="C1037" s="885" t="s">
        <v>3842</v>
      </c>
      <c r="D1037" s="669">
        <v>8619.82</v>
      </c>
    </row>
    <row r="1038" spans="1:4" s="23" customFormat="1" ht="25.5" x14ac:dyDescent="0.25">
      <c r="A1038" s="667">
        <v>1030</v>
      </c>
      <c r="B1038" s="668" t="s">
        <v>3843</v>
      </c>
      <c r="C1038" s="885" t="s">
        <v>3844</v>
      </c>
      <c r="D1038" s="669">
        <v>12500</v>
      </c>
    </row>
    <row r="1039" spans="1:4" s="23" customFormat="1" ht="25.5" x14ac:dyDescent="0.25">
      <c r="A1039" s="667">
        <v>1031</v>
      </c>
      <c r="B1039" s="668" t="s">
        <v>3845</v>
      </c>
      <c r="C1039" s="885" t="s">
        <v>3846</v>
      </c>
      <c r="D1039" s="669">
        <v>22027</v>
      </c>
    </row>
    <row r="1040" spans="1:4" s="23" customFormat="1" ht="25.5" x14ac:dyDescent="0.25">
      <c r="A1040" s="667">
        <v>1032</v>
      </c>
      <c r="B1040" s="668" t="s">
        <v>3847</v>
      </c>
      <c r="C1040" s="885" t="s">
        <v>3848</v>
      </c>
      <c r="D1040" s="669">
        <v>22027</v>
      </c>
    </row>
    <row r="1041" spans="1:4" s="23" customFormat="1" ht="63.75" x14ac:dyDescent="0.25">
      <c r="A1041" s="667">
        <v>1033</v>
      </c>
      <c r="B1041" s="668" t="s">
        <v>3849</v>
      </c>
      <c r="C1041" s="885" t="s">
        <v>3850</v>
      </c>
      <c r="D1041" s="669">
        <v>16813</v>
      </c>
    </row>
    <row r="1042" spans="1:4" s="23" customFormat="1" ht="25.5" x14ac:dyDescent="0.25">
      <c r="A1042" s="667">
        <v>1034</v>
      </c>
      <c r="B1042" s="668" t="s">
        <v>3851</v>
      </c>
      <c r="C1042" s="885" t="s">
        <v>3852</v>
      </c>
      <c r="D1042" s="669">
        <v>10862</v>
      </c>
    </row>
    <row r="1043" spans="1:4" s="23" customFormat="1" ht="25.5" x14ac:dyDescent="0.25">
      <c r="A1043" s="667">
        <v>1035</v>
      </c>
      <c r="B1043" s="668" t="s">
        <v>3853</v>
      </c>
      <c r="C1043" s="885" t="s">
        <v>3854</v>
      </c>
      <c r="D1043" s="669">
        <v>10862</v>
      </c>
    </row>
    <row r="1044" spans="1:4" s="23" customFormat="1" ht="38.25" x14ac:dyDescent="0.25">
      <c r="A1044" s="667">
        <v>1036</v>
      </c>
      <c r="B1044" s="668" t="s">
        <v>3855</v>
      </c>
      <c r="C1044" s="885" t="s">
        <v>3856</v>
      </c>
      <c r="D1044" s="669">
        <v>1672</v>
      </c>
    </row>
    <row r="1045" spans="1:4" s="23" customFormat="1" ht="38.25" x14ac:dyDescent="0.25">
      <c r="A1045" s="667">
        <v>1037</v>
      </c>
      <c r="B1045" s="668" t="s">
        <v>3857</v>
      </c>
      <c r="C1045" s="885" t="s">
        <v>3858</v>
      </c>
      <c r="D1045" s="669">
        <v>1672</v>
      </c>
    </row>
    <row r="1046" spans="1:4" s="23" customFormat="1" ht="38.25" x14ac:dyDescent="0.25">
      <c r="A1046" s="667">
        <v>1038</v>
      </c>
      <c r="B1046" s="668" t="s">
        <v>3859</v>
      </c>
      <c r="C1046" s="885" t="s">
        <v>3860</v>
      </c>
      <c r="D1046" s="669">
        <v>2966</v>
      </c>
    </row>
    <row r="1047" spans="1:4" s="23" customFormat="1" ht="38.25" x14ac:dyDescent="0.25">
      <c r="A1047" s="667">
        <v>1039</v>
      </c>
      <c r="B1047" s="668" t="s">
        <v>3861</v>
      </c>
      <c r="C1047" s="885" t="s">
        <v>3862</v>
      </c>
      <c r="D1047" s="669">
        <v>1930</v>
      </c>
    </row>
    <row r="1048" spans="1:4" s="23" customFormat="1" ht="38.25" x14ac:dyDescent="0.25">
      <c r="A1048" s="667">
        <v>1040</v>
      </c>
      <c r="B1048" s="668" t="s">
        <v>3863</v>
      </c>
      <c r="C1048" s="885" t="s">
        <v>3864</v>
      </c>
      <c r="D1048" s="669">
        <v>9912.94</v>
      </c>
    </row>
    <row r="1049" spans="1:4" s="23" customFormat="1" ht="38.25" x14ac:dyDescent="0.25">
      <c r="A1049" s="667">
        <v>1041</v>
      </c>
      <c r="B1049" s="668" t="s">
        <v>3865</v>
      </c>
      <c r="C1049" s="885" t="s">
        <v>3866</v>
      </c>
      <c r="D1049" s="669">
        <v>7936.19</v>
      </c>
    </row>
    <row r="1050" spans="1:4" s="23" customFormat="1" ht="25.5" x14ac:dyDescent="0.25">
      <c r="A1050" s="667">
        <v>1042</v>
      </c>
      <c r="B1050" s="668" t="s">
        <v>3867</v>
      </c>
      <c r="C1050" s="885" t="s">
        <v>3868</v>
      </c>
      <c r="D1050" s="669">
        <v>3102.59</v>
      </c>
    </row>
    <row r="1051" spans="1:4" s="23" customFormat="1" ht="25.5" x14ac:dyDescent="0.25">
      <c r="A1051" s="667">
        <v>1043</v>
      </c>
      <c r="B1051" s="668" t="s">
        <v>3869</v>
      </c>
      <c r="C1051" s="885" t="s">
        <v>3870</v>
      </c>
      <c r="D1051" s="669">
        <v>1</v>
      </c>
    </row>
    <row r="1052" spans="1:4" s="23" customFormat="1" ht="25.5" x14ac:dyDescent="0.25">
      <c r="A1052" s="667">
        <v>1044</v>
      </c>
      <c r="B1052" s="668" t="s">
        <v>3871</v>
      </c>
      <c r="C1052" s="885" t="s">
        <v>3872</v>
      </c>
      <c r="D1052" s="669">
        <v>1</v>
      </c>
    </row>
    <row r="1053" spans="1:4" s="23" customFormat="1" ht="25.5" x14ac:dyDescent="0.25">
      <c r="A1053" s="667">
        <v>1045</v>
      </c>
      <c r="B1053" s="668" t="s">
        <v>3873</v>
      </c>
      <c r="C1053" s="885" t="s">
        <v>3874</v>
      </c>
      <c r="D1053" s="669">
        <v>1</v>
      </c>
    </row>
    <row r="1054" spans="1:4" s="23" customFormat="1" ht="25.5" x14ac:dyDescent="0.25">
      <c r="A1054" s="667">
        <v>1046</v>
      </c>
      <c r="B1054" s="668" t="s">
        <v>3875</v>
      </c>
      <c r="C1054" s="885" t="s">
        <v>3876</v>
      </c>
      <c r="D1054" s="669">
        <v>1</v>
      </c>
    </row>
    <row r="1055" spans="1:4" s="23" customFormat="1" ht="25.5" x14ac:dyDescent="0.25">
      <c r="A1055" s="667">
        <v>1047</v>
      </c>
      <c r="B1055" s="668" t="s">
        <v>3877</v>
      </c>
      <c r="C1055" s="885" t="s">
        <v>3878</v>
      </c>
      <c r="D1055" s="669">
        <v>1</v>
      </c>
    </row>
    <row r="1056" spans="1:4" s="23" customFormat="1" ht="25.5" x14ac:dyDescent="0.25">
      <c r="A1056" s="667">
        <v>1048</v>
      </c>
      <c r="B1056" s="668" t="s">
        <v>3879</v>
      </c>
      <c r="C1056" s="885" t="s">
        <v>3880</v>
      </c>
      <c r="D1056" s="669">
        <v>5171.55</v>
      </c>
    </row>
    <row r="1057" spans="1:4" s="23" customFormat="1" ht="25.5" x14ac:dyDescent="0.25">
      <c r="A1057" s="667">
        <v>1049</v>
      </c>
      <c r="B1057" s="668" t="s">
        <v>3881</v>
      </c>
      <c r="C1057" s="885" t="s">
        <v>3882</v>
      </c>
      <c r="D1057" s="669">
        <v>11700</v>
      </c>
    </row>
    <row r="1058" spans="1:4" s="23" customFormat="1" ht="38.25" x14ac:dyDescent="0.25">
      <c r="A1058" s="667">
        <v>1050</v>
      </c>
      <c r="B1058" s="668" t="s">
        <v>3883</v>
      </c>
      <c r="C1058" s="885" t="s">
        <v>3884</v>
      </c>
      <c r="D1058" s="669">
        <v>15506.39</v>
      </c>
    </row>
    <row r="1059" spans="1:4" s="23" customFormat="1" ht="38.25" x14ac:dyDescent="0.25">
      <c r="A1059" s="667">
        <v>1051</v>
      </c>
      <c r="B1059" s="668" t="s">
        <v>3885</v>
      </c>
      <c r="C1059" s="885" t="s">
        <v>3886</v>
      </c>
      <c r="D1059" s="669">
        <v>15506.39</v>
      </c>
    </row>
    <row r="1060" spans="1:4" s="23" customFormat="1" ht="38.25" x14ac:dyDescent="0.25">
      <c r="A1060" s="667">
        <v>1052</v>
      </c>
      <c r="B1060" s="668" t="s">
        <v>3887</v>
      </c>
      <c r="C1060" s="885" t="s">
        <v>3888</v>
      </c>
      <c r="D1060" s="669">
        <v>15506.39</v>
      </c>
    </row>
    <row r="1061" spans="1:4" s="23" customFormat="1" ht="38.25" x14ac:dyDescent="0.25">
      <c r="A1061" s="667">
        <v>1053</v>
      </c>
      <c r="B1061" s="668" t="s">
        <v>3889</v>
      </c>
      <c r="C1061" s="885" t="s">
        <v>3890</v>
      </c>
      <c r="D1061" s="669">
        <v>15506.39</v>
      </c>
    </row>
    <row r="1062" spans="1:4" s="23" customFormat="1" ht="38.25" x14ac:dyDescent="0.25">
      <c r="A1062" s="667">
        <v>1054</v>
      </c>
      <c r="B1062" s="668" t="s">
        <v>3891</v>
      </c>
      <c r="C1062" s="885" t="s">
        <v>3892</v>
      </c>
      <c r="D1062" s="669">
        <v>15506.39</v>
      </c>
    </row>
    <row r="1063" spans="1:4" s="23" customFormat="1" ht="38.25" x14ac:dyDescent="0.25">
      <c r="A1063" s="667">
        <v>1055</v>
      </c>
      <c r="B1063" s="668" t="s">
        <v>3893</v>
      </c>
      <c r="C1063" s="885" t="s">
        <v>3894</v>
      </c>
      <c r="D1063" s="669">
        <v>15506.39</v>
      </c>
    </row>
    <row r="1064" spans="1:4" s="23" customFormat="1" ht="38.25" x14ac:dyDescent="0.25">
      <c r="A1064" s="667">
        <v>1056</v>
      </c>
      <c r="B1064" s="668" t="s">
        <v>3895</v>
      </c>
      <c r="C1064" s="885" t="s">
        <v>3896</v>
      </c>
      <c r="D1064" s="669">
        <v>15506.39</v>
      </c>
    </row>
    <row r="1065" spans="1:4" s="23" customFormat="1" ht="38.25" x14ac:dyDescent="0.25">
      <c r="A1065" s="667">
        <v>1057</v>
      </c>
      <c r="B1065" s="668" t="s">
        <v>3897</v>
      </c>
      <c r="C1065" s="885" t="s">
        <v>3898</v>
      </c>
      <c r="D1065" s="669">
        <v>15506.39</v>
      </c>
    </row>
    <row r="1066" spans="1:4" s="23" customFormat="1" ht="38.25" x14ac:dyDescent="0.25">
      <c r="A1066" s="667">
        <v>1058</v>
      </c>
      <c r="B1066" s="668" t="s">
        <v>3899</v>
      </c>
      <c r="C1066" s="885" t="s">
        <v>3900</v>
      </c>
      <c r="D1066" s="669">
        <v>15506.39</v>
      </c>
    </row>
    <row r="1067" spans="1:4" s="23" customFormat="1" ht="38.25" x14ac:dyDescent="0.25">
      <c r="A1067" s="667">
        <v>1059</v>
      </c>
      <c r="B1067" s="668" t="s">
        <v>3901</v>
      </c>
      <c r="C1067" s="885" t="s">
        <v>3902</v>
      </c>
      <c r="D1067" s="669">
        <v>3400.59</v>
      </c>
    </row>
    <row r="1068" spans="1:4" s="23" customFormat="1" ht="38.25" x14ac:dyDescent="0.25">
      <c r="A1068" s="667">
        <v>1060</v>
      </c>
      <c r="B1068" s="668" t="s">
        <v>3903</v>
      </c>
      <c r="C1068" s="885" t="s">
        <v>3904</v>
      </c>
      <c r="D1068" s="669">
        <v>3400.59</v>
      </c>
    </row>
    <row r="1069" spans="1:4" s="23" customFormat="1" ht="38.25" x14ac:dyDescent="0.25">
      <c r="A1069" s="667">
        <v>1061</v>
      </c>
      <c r="B1069" s="668" t="s">
        <v>3905</v>
      </c>
      <c r="C1069" s="885" t="s">
        <v>3906</v>
      </c>
      <c r="D1069" s="669">
        <v>3400.59</v>
      </c>
    </row>
    <row r="1070" spans="1:4" s="23" customFormat="1" ht="38.25" x14ac:dyDescent="0.25">
      <c r="A1070" s="667">
        <v>1062</v>
      </c>
      <c r="B1070" s="668" t="s">
        <v>3907</v>
      </c>
      <c r="C1070" s="885" t="s">
        <v>3908</v>
      </c>
      <c r="D1070" s="669">
        <v>3400.59</v>
      </c>
    </row>
    <row r="1071" spans="1:4" s="23" customFormat="1" ht="38.25" x14ac:dyDescent="0.25">
      <c r="A1071" s="667">
        <v>1063</v>
      </c>
      <c r="B1071" s="668" t="s">
        <v>3909</v>
      </c>
      <c r="C1071" s="885" t="s">
        <v>3910</v>
      </c>
      <c r="D1071" s="669">
        <v>3400.59</v>
      </c>
    </row>
    <row r="1072" spans="1:4" s="23" customFormat="1" ht="38.25" x14ac:dyDescent="0.25">
      <c r="A1072" s="667">
        <v>1064</v>
      </c>
      <c r="B1072" s="668" t="s">
        <v>3911</v>
      </c>
      <c r="C1072" s="885" t="s">
        <v>3912</v>
      </c>
      <c r="D1072" s="669">
        <v>3400.59</v>
      </c>
    </row>
    <row r="1073" spans="1:4" s="23" customFormat="1" ht="38.25" x14ac:dyDescent="0.25">
      <c r="A1073" s="667">
        <v>1065</v>
      </c>
      <c r="B1073" s="668" t="s">
        <v>3913</v>
      </c>
      <c r="C1073" s="885" t="s">
        <v>3914</v>
      </c>
      <c r="D1073" s="669">
        <v>3400.59</v>
      </c>
    </row>
    <row r="1074" spans="1:4" s="23" customFormat="1" ht="38.25" x14ac:dyDescent="0.25">
      <c r="A1074" s="667">
        <v>1066</v>
      </c>
      <c r="B1074" s="668" t="s">
        <v>3915</v>
      </c>
      <c r="C1074" s="885" t="s">
        <v>3916</v>
      </c>
      <c r="D1074" s="669">
        <v>3400.59</v>
      </c>
    </row>
    <row r="1075" spans="1:4" s="23" customFormat="1" ht="38.25" x14ac:dyDescent="0.25">
      <c r="A1075" s="667">
        <v>1067</v>
      </c>
      <c r="B1075" s="668" t="s">
        <v>3917</v>
      </c>
      <c r="C1075" s="885" t="s">
        <v>3918</v>
      </c>
      <c r="D1075" s="669">
        <v>3400.59</v>
      </c>
    </row>
    <row r="1076" spans="1:4" s="23" customFormat="1" ht="63.75" x14ac:dyDescent="0.25">
      <c r="A1076" s="667">
        <v>1068</v>
      </c>
      <c r="B1076" s="668" t="s">
        <v>3919</v>
      </c>
      <c r="C1076" s="885" t="s">
        <v>3920</v>
      </c>
      <c r="D1076" s="669">
        <v>399967.89</v>
      </c>
    </row>
    <row r="1077" spans="1:4" s="23" customFormat="1" ht="38.25" x14ac:dyDescent="0.25">
      <c r="A1077" s="667">
        <v>1069</v>
      </c>
      <c r="B1077" s="668" t="s">
        <v>3921</v>
      </c>
      <c r="C1077" s="885" t="s">
        <v>3922</v>
      </c>
      <c r="D1077" s="669">
        <v>26340.09</v>
      </c>
    </row>
    <row r="1078" spans="1:4" s="23" customFormat="1" ht="38.25" x14ac:dyDescent="0.25">
      <c r="A1078" s="667">
        <v>1070</v>
      </c>
      <c r="B1078" s="668" t="s">
        <v>3923</v>
      </c>
      <c r="C1078" s="885" t="s">
        <v>3924</v>
      </c>
      <c r="D1078" s="669">
        <v>26340.09</v>
      </c>
    </row>
    <row r="1079" spans="1:4" s="23" customFormat="1" ht="38.25" x14ac:dyDescent="0.25">
      <c r="A1079" s="667">
        <v>1071</v>
      </c>
      <c r="B1079" s="668" t="s">
        <v>3925</v>
      </c>
      <c r="C1079" s="885" t="s">
        <v>3926</v>
      </c>
      <c r="D1079" s="669">
        <v>26340.09</v>
      </c>
    </row>
    <row r="1080" spans="1:4" s="23" customFormat="1" ht="38.25" x14ac:dyDescent="0.25">
      <c r="A1080" s="667">
        <v>1072</v>
      </c>
      <c r="B1080" s="668" t="s">
        <v>3927</v>
      </c>
      <c r="C1080" s="885" t="s">
        <v>3928</v>
      </c>
      <c r="D1080" s="669">
        <v>26340.09</v>
      </c>
    </row>
    <row r="1081" spans="1:4" s="23" customFormat="1" ht="38.25" x14ac:dyDescent="0.25">
      <c r="A1081" s="667">
        <v>1073</v>
      </c>
      <c r="B1081" s="668" t="s">
        <v>3929</v>
      </c>
      <c r="C1081" s="885" t="s">
        <v>3930</v>
      </c>
      <c r="D1081" s="669">
        <v>26340.09</v>
      </c>
    </row>
    <row r="1082" spans="1:4" s="23" customFormat="1" ht="38.25" x14ac:dyDescent="0.25">
      <c r="A1082" s="667">
        <v>1074</v>
      </c>
      <c r="B1082" s="668" t="s">
        <v>3931</v>
      </c>
      <c r="C1082" s="885" t="s">
        <v>3932</v>
      </c>
      <c r="D1082" s="669">
        <v>26340.09</v>
      </c>
    </row>
    <row r="1083" spans="1:4" s="23" customFormat="1" ht="38.25" x14ac:dyDescent="0.25">
      <c r="A1083" s="667">
        <v>1075</v>
      </c>
      <c r="B1083" s="668" t="s">
        <v>3933</v>
      </c>
      <c r="C1083" s="885" t="s">
        <v>3934</v>
      </c>
      <c r="D1083" s="669">
        <v>26340.09</v>
      </c>
    </row>
    <row r="1084" spans="1:4" s="23" customFormat="1" ht="38.25" x14ac:dyDescent="0.25">
      <c r="A1084" s="667">
        <v>1076</v>
      </c>
      <c r="B1084" s="668" t="s">
        <v>3935</v>
      </c>
      <c r="C1084" s="885" t="s">
        <v>3936</v>
      </c>
      <c r="D1084" s="669">
        <v>26340.09</v>
      </c>
    </row>
    <row r="1085" spans="1:4" s="23" customFormat="1" ht="38.25" x14ac:dyDescent="0.25">
      <c r="A1085" s="667">
        <v>1077</v>
      </c>
      <c r="B1085" s="668" t="s">
        <v>3937</v>
      </c>
      <c r="C1085" s="885" t="s">
        <v>3938</v>
      </c>
      <c r="D1085" s="669">
        <v>26340.09</v>
      </c>
    </row>
    <row r="1086" spans="1:4" s="23" customFormat="1" ht="38.25" x14ac:dyDescent="0.25">
      <c r="A1086" s="667">
        <v>1078</v>
      </c>
      <c r="B1086" s="668" t="s">
        <v>3939</v>
      </c>
      <c r="C1086" s="885" t="s">
        <v>3940</v>
      </c>
      <c r="D1086" s="669">
        <v>26340.09</v>
      </c>
    </row>
    <row r="1087" spans="1:4" s="23" customFormat="1" ht="38.25" x14ac:dyDescent="0.25">
      <c r="A1087" s="667">
        <v>1079</v>
      </c>
      <c r="B1087" s="668" t="s">
        <v>3941</v>
      </c>
      <c r="C1087" s="885" t="s">
        <v>3942</v>
      </c>
      <c r="D1087" s="669">
        <v>26340.09</v>
      </c>
    </row>
    <row r="1088" spans="1:4" s="23" customFormat="1" ht="38.25" x14ac:dyDescent="0.25">
      <c r="A1088" s="667">
        <v>1080</v>
      </c>
      <c r="B1088" s="668" t="s">
        <v>3943</v>
      </c>
      <c r="C1088" s="885" t="s">
        <v>3944</v>
      </c>
      <c r="D1088" s="669">
        <v>26340.09</v>
      </c>
    </row>
    <row r="1089" spans="1:4" s="23" customFormat="1" ht="51" x14ac:dyDescent="0.25">
      <c r="A1089" s="667">
        <v>1081</v>
      </c>
      <c r="B1089" s="668" t="s">
        <v>3945</v>
      </c>
      <c r="C1089" s="885" t="s">
        <v>3946</v>
      </c>
      <c r="D1089" s="669">
        <v>6491.07</v>
      </c>
    </row>
    <row r="1090" spans="1:4" s="23" customFormat="1" ht="22.5" customHeight="1" x14ac:dyDescent="0.25">
      <c r="A1090" s="667">
        <v>1082</v>
      </c>
      <c r="B1090" s="886" t="s">
        <v>3947</v>
      </c>
      <c r="C1090" s="885" t="s">
        <v>3948</v>
      </c>
      <c r="D1090" s="669">
        <v>4616.54</v>
      </c>
    </row>
    <row r="1091" spans="1:4" s="23" customFormat="1" ht="22.5" customHeight="1" x14ac:dyDescent="0.25">
      <c r="A1091" s="667">
        <v>1083</v>
      </c>
      <c r="B1091" s="886" t="s">
        <v>3949</v>
      </c>
      <c r="C1091" s="885" t="s">
        <v>3950</v>
      </c>
      <c r="D1091" s="669">
        <v>4616.55</v>
      </c>
    </row>
    <row r="1092" spans="1:4" s="23" customFormat="1" ht="22.5" customHeight="1" x14ac:dyDescent="0.25">
      <c r="A1092" s="667">
        <v>1084</v>
      </c>
      <c r="B1092" s="886" t="s">
        <v>3951</v>
      </c>
      <c r="C1092" s="885" t="s">
        <v>3952</v>
      </c>
      <c r="D1092" s="669">
        <v>2955</v>
      </c>
    </row>
    <row r="1093" spans="1:4" s="23" customFormat="1" x14ac:dyDescent="0.25">
      <c r="A1093" s="667">
        <v>1085</v>
      </c>
      <c r="B1093" s="886" t="s">
        <v>3953</v>
      </c>
      <c r="C1093" s="885" t="s">
        <v>3954</v>
      </c>
      <c r="D1093" s="669">
        <v>1782</v>
      </c>
    </row>
    <row r="1094" spans="1:4" s="23" customFormat="1" ht="38.25" x14ac:dyDescent="0.25">
      <c r="A1094" s="667">
        <v>1086</v>
      </c>
      <c r="B1094" s="886" t="s">
        <v>3955</v>
      </c>
      <c r="C1094" s="885" t="s">
        <v>3956</v>
      </c>
      <c r="D1094" s="669">
        <v>3790</v>
      </c>
    </row>
    <row r="1095" spans="1:4" s="23" customFormat="1" x14ac:dyDescent="0.25">
      <c r="A1095" s="667">
        <v>1087</v>
      </c>
      <c r="B1095" s="886" t="s">
        <v>3957</v>
      </c>
      <c r="C1095" s="885" t="s">
        <v>3958</v>
      </c>
      <c r="D1095" s="669">
        <v>537.4</v>
      </c>
    </row>
    <row r="1096" spans="1:4" s="23" customFormat="1" ht="25.5" x14ac:dyDescent="0.25">
      <c r="A1096" s="667">
        <v>1088</v>
      </c>
      <c r="B1096" s="886" t="s">
        <v>3959</v>
      </c>
      <c r="C1096" s="885" t="s">
        <v>3960</v>
      </c>
      <c r="D1096" s="669">
        <v>960</v>
      </c>
    </row>
    <row r="1097" spans="1:4" s="23" customFormat="1" ht="25.5" x14ac:dyDescent="0.25">
      <c r="A1097" s="667">
        <v>1089</v>
      </c>
      <c r="B1097" s="886" t="s">
        <v>3961</v>
      </c>
      <c r="C1097" s="885" t="s">
        <v>3962</v>
      </c>
      <c r="D1097" s="669">
        <v>10434.780000000001</v>
      </c>
    </row>
    <row r="1098" spans="1:4" s="23" customFormat="1" ht="25.5" x14ac:dyDescent="0.25">
      <c r="A1098" s="667">
        <v>1090</v>
      </c>
      <c r="B1098" s="886" t="s">
        <v>3963</v>
      </c>
      <c r="C1098" s="885" t="s">
        <v>3964</v>
      </c>
      <c r="D1098" s="669">
        <v>10434.780000000001</v>
      </c>
    </row>
    <row r="1099" spans="1:4" s="23" customFormat="1" ht="38.25" x14ac:dyDescent="0.25">
      <c r="A1099" s="667">
        <v>1091</v>
      </c>
      <c r="B1099" s="886" t="s">
        <v>3965</v>
      </c>
      <c r="C1099" s="885" t="s">
        <v>3966</v>
      </c>
      <c r="D1099" s="669">
        <v>2500</v>
      </c>
    </row>
    <row r="1100" spans="1:4" s="23" customFormat="1" ht="25.5" x14ac:dyDescent="0.25">
      <c r="A1100" s="667">
        <v>1092</v>
      </c>
      <c r="B1100" s="886" t="s">
        <v>3967</v>
      </c>
      <c r="C1100" s="885" t="s">
        <v>3968</v>
      </c>
      <c r="D1100" s="669">
        <v>1300</v>
      </c>
    </row>
    <row r="1101" spans="1:4" s="23" customFormat="1" ht="25.5" x14ac:dyDescent="0.25">
      <c r="A1101" s="667">
        <v>1093</v>
      </c>
      <c r="B1101" s="886" t="s">
        <v>3969</v>
      </c>
      <c r="C1101" s="885" t="s">
        <v>3970</v>
      </c>
      <c r="D1101" s="669">
        <v>950</v>
      </c>
    </row>
    <row r="1102" spans="1:4" s="23" customFormat="1" ht="25.5" x14ac:dyDescent="0.25">
      <c r="A1102" s="667">
        <v>1094</v>
      </c>
      <c r="B1102" s="886" t="s">
        <v>3971</v>
      </c>
      <c r="C1102" s="885" t="s">
        <v>3972</v>
      </c>
      <c r="D1102" s="669">
        <v>2990</v>
      </c>
    </row>
    <row r="1103" spans="1:4" s="23" customFormat="1" ht="51" x14ac:dyDescent="0.25">
      <c r="A1103" s="667">
        <v>1095</v>
      </c>
      <c r="B1103" s="886" t="s">
        <v>3973</v>
      </c>
      <c r="C1103" s="885" t="s">
        <v>3974</v>
      </c>
      <c r="D1103" s="669">
        <v>5400</v>
      </c>
    </row>
    <row r="1104" spans="1:4" s="23" customFormat="1" ht="25.5" x14ac:dyDescent="0.25">
      <c r="A1104" s="667">
        <v>1096</v>
      </c>
      <c r="B1104" s="886" t="s">
        <v>3975</v>
      </c>
      <c r="C1104" s="885" t="s">
        <v>3976</v>
      </c>
      <c r="D1104" s="669">
        <v>750</v>
      </c>
    </row>
    <row r="1105" spans="1:4" s="23" customFormat="1" ht="25.5" x14ac:dyDescent="0.25">
      <c r="A1105" s="667">
        <v>1097</v>
      </c>
      <c r="B1105" s="886" t="s">
        <v>3977</v>
      </c>
      <c r="C1105" s="885" t="s">
        <v>3978</v>
      </c>
      <c r="D1105" s="669">
        <v>1195</v>
      </c>
    </row>
    <row r="1106" spans="1:4" s="23" customFormat="1" ht="22.5" customHeight="1" x14ac:dyDescent="0.25">
      <c r="A1106" s="667">
        <v>1098</v>
      </c>
      <c r="B1106" s="886" t="s">
        <v>3979</v>
      </c>
      <c r="C1106" s="885" t="s">
        <v>3980</v>
      </c>
      <c r="D1106" s="669">
        <v>233.2</v>
      </c>
    </row>
    <row r="1107" spans="1:4" s="23" customFormat="1" ht="22.5" customHeight="1" x14ac:dyDescent="0.25">
      <c r="A1107" s="667">
        <v>1099</v>
      </c>
      <c r="B1107" s="886" t="s">
        <v>3981</v>
      </c>
      <c r="C1107" s="885" t="s">
        <v>3980</v>
      </c>
      <c r="D1107" s="669">
        <v>233.2</v>
      </c>
    </row>
    <row r="1108" spans="1:4" s="23" customFormat="1" ht="22.5" customHeight="1" x14ac:dyDescent="0.25">
      <c r="A1108" s="667">
        <v>1100</v>
      </c>
      <c r="B1108" s="886" t="s">
        <v>3982</v>
      </c>
      <c r="C1108" s="885" t="s">
        <v>3980</v>
      </c>
      <c r="D1108" s="669">
        <v>233.2</v>
      </c>
    </row>
    <row r="1109" spans="1:4" s="23" customFormat="1" ht="22.5" customHeight="1" x14ac:dyDescent="0.25">
      <c r="A1109" s="667">
        <v>1101</v>
      </c>
      <c r="B1109" s="886" t="s">
        <v>3983</v>
      </c>
      <c r="C1109" s="885" t="s">
        <v>3984</v>
      </c>
      <c r="D1109" s="669">
        <v>233.2</v>
      </c>
    </row>
    <row r="1110" spans="1:4" s="23" customFormat="1" ht="22.5" customHeight="1" x14ac:dyDescent="0.25">
      <c r="A1110" s="667">
        <v>1102</v>
      </c>
      <c r="B1110" s="886" t="s">
        <v>3985</v>
      </c>
      <c r="C1110" s="885" t="s">
        <v>3984</v>
      </c>
      <c r="D1110" s="669">
        <v>233.2</v>
      </c>
    </row>
    <row r="1111" spans="1:4" s="23" customFormat="1" ht="22.5" customHeight="1" x14ac:dyDescent="0.25">
      <c r="A1111" s="667">
        <v>1103</v>
      </c>
      <c r="B1111" s="886" t="s">
        <v>3986</v>
      </c>
      <c r="C1111" s="885" t="s">
        <v>3984</v>
      </c>
      <c r="D1111" s="669">
        <v>233.2</v>
      </c>
    </row>
    <row r="1112" spans="1:4" s="23" customFormat="1" ht="22.5" customHeight="1" x14ac:dyDescent="0.25">
      <c r="A1112" s="667">
        <v>1104</v>
      </c>
      <c r="B1112" s="886" t="s">
        <v>3987</v>
      </c>
      <c r="C1112" s="885" t="s">
        <v>3988</v>
      </c>
      <c r="D1112" s="669">
        <v>233.2</v>
      </c>
    </row>
    <row r="1113" spans="1:4" s="23" customFormat="1" ht="22.5" customHeight="1" x14ac:dyDescent="0.25">
      <c r="A1113" s="667">
        <v>1105</v>
      </c>
      <c r="B1113" s="886" t="s">
        <v>3989</v>
      </c>
      <c r="C1113" s="885" t="s">
        <v>3988</v>
      </c>
      <c r="D1113" s="669">
        <v>233.2</v>
      </c>
    </row>
    <row r="1114" spans="1:4" s="23" customFormat="1" ht="22.5" customHeight="1" x14ac:dyDescent="0.25">
      <c r="A1114" s="667">
        <v>1106</v>
      </c>
      <c r="B1114" s="886" t="s">
        <v>3990</v>
      </c>
      <c r="C1114" s="885" t="s">
        <v>3988</v>
      </c>
      <c r="D1114" s="669">
        <v>233.2</v>
      </c>
    </row>
    <row r="1115" spans="1:4" s="23" customFormat="1" ht="22.5" customHeight="1" x14ac:dyDescent="0.25">
      <c r="A1115" s="667">
        <v>1107</v>
      </c>
      <c r="B1115" s="886" t="s">
        <v>3991</v>
      </c>
      <c r="C1115" s="885" t="s">
        <v>3988</v>
      </c>
      <c r="D1115" s="669">
        <v>233.2</v>
      </c>
    </row>
    <row r="1116" spans="1:4" s="23" customFormat="1" ht="22.5" customHeight="1" x14ac:dyDescent="0.25">
      <c r="A1116" s="667">
        <v>1108</v>
      </c>
      <c r="B1116" s="886" t="s">
        <v>3992</v>
      </c>
      <c r="C1116" s="885" t="s">
        <v>3993</v>
      </c>
      <c r="D1116" s="669">
        <v>219.8</v>
      </c>
    </row>
    <row r="1117" spans="1:4" s="23" customFormat="1" ht="22.5" customHeight="1" x14ac:dyDescent="0.25">
      <c r="A1117" s="667">
        <v>1109</v>
      </c>
      <c r="B1117" s="886" t="s">
        <v>3994</v>
      </c>
      <c r="C1117" s="885" t="s">
        <v>3993</v>
      </c>
      <c r="D1117" s="669">
        <v>219.8</v>
      </c>
    </row>
    <row r="1118" spans="1:4" s="23" customFormat="1" ht="22.5" customHeight="1" x14ac:dyDescent="0.25">
      <c r="A1118" s="667">
        <v>1110</v>
      </c>
      <c r="B1118" s="886" t="s">
        <v>3995</v>
      </c>
      <c r="C1118" s="885" t="s">
        <v>3993</v>
      </c>
      <c r="D1118" s="669">
        <v>219.8</v>
      </c>
    </row>
    <row r="1119" spans="1:4" s="23" customFormat="1" ht="22.5" customHeight="1" x14ac:dyDescent="0.25">
      <c r="A1119" s="667">
        <v>1111</v>
      </c>
      <c r="B1119" s="886" t="s">
        <v>3996</v>
      </c>
      <c r="C1119" s="885" t="s">
        <v>3993</v>
      </c>
      <c r="D1119" s="669">
        <v>219.8</v>
      </c>
    </row>
    <row r="1120" spans="1:4" s="23" customFormat="1" ht="22.5" customHeight="1" x14ac:dyDescent="0.25">
      <c r="A1120" s="667">
        <v>1112</v>
      </c>
      <c r="B1120" s="886" t="s">
        <v>3997</v>
      </c>
      <c r="C1120" s="885" t="s">
        <v>3993</v>
      </c>
      <c r="D1120" s="669">
        <v>219.8</v>
      </c>
    </row>
    <row r="1121" spans="1:4" s="23" customFormat="1" ht="22.5" customHeight="1" x14ac:dyDescent="0.25">
      <c r="A1121" s="667">
        <v>1113</v>
      </c>
      <c r="B1121" s="886" t="s">
        <v>3998</v>
      </c>
      <c r="C1121" s="885" t="s">
        <v>3993</v>
      </c>
      <c r="D1121" s="669">
        <v>219.8</v>
      </c>
    </row>
    <row r="1122" spans="1:4" s="23" customFormat="1" ht="22.5" customHeight="1" x14ac:dyDescent="0.25">
      <c r="A1122" s="667">
        <v>1114</v>
      </c>
      <c r="B1122" s="886" t="s">
        <v>3999</v>
      </c>
      <c r="C1122" s="885" t="s">
        <v>3993</v>
      </c>
      <c r="D1122" s="669">
        <v>219.8</v>
      </c>
    </row>
    <row r="1123" spans="1:4" s="23" customFormat="1" ht="22.5" customHeight="1" x14ac:dyDescent="0.25">
      <c r="A1123" s="667">
        <v>1115</v>
      </c>
      <c r="B1123" s="886" t="s">
        <v>4000</v>
      </c>
      <c r="C1123" s="885" t="s">
        <v>3993</v>
      </c>
      <c r="D1123" s="669">
        <v>219.8</v>
      </c>
    </row>
    <row r="1124" spans="1:4" s="23" customFormat="1" ht="22.5" customHeight="1" x14ac:dyDescent="0.25">
      <c r="A1124" s="667">
        <v>1116</v>
      </c>
      <c r="B1124" s="886" t="s">
        <v>4001</v>
      </c>
      <c r="C1124" s="885" t="s">
        <v>3993</v>
      </c>
      <c r="D1124" s="669">
        <v>219.8</v>
      </c>
    </row>
    <row r="1125" spans="1:4" s="23" customFormat="1" ht="22.5" customHeight="1" x14ac:dyDescent="0.25">
      <c r="A1125" s="667">
        <v>1117</v>
      </c>
      <c r="B1125" s="886" t="s">
        <v>4002</v>
      </c>
      <c r="C1125" s="885" t="s">
        <v>3993</v>
      </c>
      <c r="D1125" s="669">
        <v>219.8</v>
      </c>
    </row>
    <row r="1126" spans="1:4" s="23" customFormat="1" ht="22.5" customHeight="1" x14ac:dyDescent="0.25">
      <c r="A1126" s="667">
        <v>1118</v>
      </c>
      <c r="B1126" s="886" t="s">
        <v>4003</v>
      </c>
      <c r="C1126" s="885" t="s">
        <v>3993</v>
      </c>
      <c r="D1126" s="669">
        <v>219.8</v>
      </c>
    </row>
    <row r="1127" spans="1:4" s="23" customFormat="1" ht="22.5" customHeight="1" x14ac:dyDescent="0.25">
      <c r="A1127" s="667">
        <v>1119</v>
      </c>
      <c r="B1127" s="886" t="s">
        <v>4004</v>
      </c>
      <c r="C1127" s="885" t="s">
        <v>3993</v>
      </c>
      <c r="D1127" s="669">
        <v>219.8</v>
      </c>
    </row>
    <row r="1128" spans="1:4" s="23" customFormat="1" ht="22.5" customHeight="1" x14ac:dyDescent="0.25">
      <c r="A1128" s="667">
        <v>1120</v>
      </c>
      <c r="B1128" s="886" t="s">
        <v>4005</v>
      </c>
      <c r="C1128" s="885" t="s">
        <v>3993</v>
      </c>
      <c r="D1128" s="669">
        <v>219.8</v>
      </c>
    </row>
    <row r="1129" spans="1:4" s="23" customFormat="1" ht="63.75" x14ac:dyDescent="0.25">
      <c r="A1129" s="667">
        <v>1121</v>
      </c>
      <c r="B1129" s="886" t="s">
        <v>4006</v>
      </c>
      <c r="C1129" s="885" t="s">
        <v>4007</v>
      </c>
      <c r="D1129" s="669">
        <v>6325</v>
      </c>
    </row>
    <row r="1130" spans="1:4" s="23" customFormat="1" ht="63.75" x14ac:dyDescent="0.25">
      <c r="A1130" s="667">
        <v>1122</v>
      </c>
      <c r="B1130" s="886" t="s">
        <v>4008</v>
      </c>
      <c r="C1130" s="885" t="s">
        <v>4007</v>
      </c>
      <c r="D1130" s="669">
        <v>6325</v>
      </c>
    </row>
    <row r="1131" spans="1:4" s="23" customFormat="1" ht="63.75" x14ac:dyDescent="0.25">
      <c r="A1131" s="667">
        <v>1123</v>
      </c>
      <c r="B1131" s="886" t="s">
        <v>4009</v>
      </c>
      <c r="C1131" s="885" t="s">
        <v>4007</v>
      </c>
      <c r="D1131" s="669">
        <v>6325</v>
      </c>
    </row>
    <row r="1132" spans="1:4" s="23" customFormat="1" ht="63.75" x14ac:dyDescent="0.25">
      <c r="A1132" s="667">
        <v>1124</v>
      </c>
      <c r="B1132" s="886" t="s">
        <v>4010</v>
      </c>
      <c r="C1132" s="885" t="s">
        <v>4007</v>
      </c>
      <c r="D1132" s="669">
        <v>6325</v>
      </c>
    </row>
    <row r="1133" spans="1:4" s="23" customFormat="1" ht="63.75" x14ac:dyDescent="0.25">
      <c r="A1133" s="667">
        <v>1125</v>
      </c>
      <c r="B1133" s="886" t="s">
        <v>4011</v>
      </c>
      <c r="C1133" s="885" t="s">
        <v>4007</v>
      </c>
      <c r="D1133" s="669">
        <v>6325</v>
      </c>
    </row>
    <row r="1134" spans="1:4" s="23" customFormat="1" ht="63.75" x14ac:dyDescent="0.25">
      <c r="A1134" s="667">
        <v>1126</v>
      </c>
      <c r="B1134" s="886" t="s">
        <v>4012</v>
      </c>
      <c r="C1134" s="885" t="s">
        <v>4007</v>
      </c>
      <c r="D1134" s="669">
        <v>6325</v>
      </c>
    </row>
    <row r="1135" spans="1:4" s="23" customFormat="1" ht="63.75" x14ac:dyDescent="0.25">
      <c r="A1135" s="667">
        <v>1127</v>
      </c>
      <c r="B1135" s="886" t="s">
        <v>4013</v>
      </c>
      <c r="C1135" s="885" t="s">
        <v>4007</v>
      </c>
      <c r="D1135" s="669">
        <v>6325</v>
      </c>
    </row>
    <row r="1136" spans="1:4" s="23" customFormat="1" ht="63.75" x14ac:dyDescent="0.25">
      <c r="A1136" s="667">
        <v>1128</v>
      </c>
      <c r="B1136" s="886" t="s">
        <v>4014</v>
      </c>
      <c r="C1136" s="885" t="s">
        <v>4007</v>
      </c>
      <c r="D1136" s="669">
        <v>6325</v>
      </c>
    </row>
    <row r="1137" spans="1:4" s="23" customFormat="1" ht="63.75" x14ac:dyDescent="0.25">
      <c r="A1137" s="667">
        <v>1129</v>
      </c>
      <c r="B1137" s="886" t="s">
        <v>4015</v>
      </c>
      <c r="C1137" s="885" t="s">
        <v>4007</v>
      </c>
      <c r="D1137" s="669">
        <v>6325</v>
      </c>
    </row>
    <row r="1138" spans="1:4" s="23" customFormat="1" ht="51" x14ac:dyDescent="0.25">
      <c r="A1138" s="667">
        <v>1130</v>
      </c>
      <c r="B1138" s="886" t="s">
        <v>4016</v>
      </c>
      <c r="C1138" s="885" t="s">
        <v>4017</v>
      </c>
      <c r="D1138" s="669">
        <v>863.64</v>
      </c>
    </row>
    <row r="1139" spans="1:4" s="23" customFormat="1" ht="51" x14ac:dyDescent="0.25">
      <c r="A1139" s="667">
        <v>1131</v>
      </c>
      <c r="B1139" s="886" t="s">
        <v>4018</v>
      </c>
      <c r="C1139" s="885" t="s">
        <v>4017</v>
      </c>
      <c r="D1139" s="669">
        <v>863.64</v>
      </c>
    </row>
    <row r="1140" spans="1:4" s="23" customFormat="1" ht="51" x14ac:dyDescent="0.25">
      <c r="A1140" s="667">
        <v>1132</v>
      </c>
      <c r="B1140" s="886" t="s">
        <v>4019</v>
      </c>
      <c r="C1140" s="885" t="s">
        <v>4017</v>
      </c>
      <c r="D1140" s="669">
        <v>863.64</v>
      </c>
    </row>
    <row r="1141" spans="1:4" s="23" customFormat="1" ht="51" x14ac:dyDescent="0.25">
      <c r="A1141" s="667">
        <v>1133</v>
      </c>
      <c r="B1141" s="886" t="s">
        <v>4020</v>
      </c>
      <c r="C1141" s="885" t="s">
        <v>4017</v>
      </c>
      <c r="D1141" s="669">
        <v>863.64</v>
      </c>
    </row>
    <row r="1142" spans="1:4" s="23" customFormat="1" ht="51" x14ac:dyDescent="0.25">
      <c r="A1142" s="667">
        <v>1134</v>
      </c>
      <c r="B1142" s="886" t="s">
        <v>4021</v>
      </c>
      <c r="C1142" s="885" t="s">
        <v>4017</v>
      </c>
      <c r="D1142" s="669">
        <v>863.64</v>
      </c>
    </row>
    <row r="1143" spans="1:4" s="23" customFormat="1" ht="51" x14ac:dyDescent="0.25">
      <c r="A1143" s="667">
        <v>1135</v>
      </c>
      <c r="B1143" s="886" t="s">
        <v>4022</v>
      </c>
      <c r="C1143" s="885" t="s">
        <v>4017</v>
      </c>
      <c r="D1143" s="669">
        <v>863.64</v>
      </c>
    </row>
    <row r="1144" spans="1:4" s="23" customFormat="1" ht="51" x14ac:dyDescent="0.25">
      <c r="A1144" s="667">
        <v>1136</v>
      </c>
      <c r="B1144" s="886" t="s">
        <v>4023</v>
      </c>
      <c r="C1144" s="885" t="s">
        <v>4017</v>
      </c>
      <c r="D1144" s="669">
        <v>863.64</v>
      </c>
    </row>
    <row r="1145" spans="1:4" s="23" customFormat="1" ht="51" x14ac:dyDescent="0.25">
      <c r="A1145" s="667">
        <v>1137</v>
      </c>
      <c r="B1145" s="886" t="s">
        <v>4024</v>
      </c>
      <c r="C1145" s="885" t="s">
        <v>4017</v>
      </c>
      <c r="D1145" s="669">
        <v>863.64</v>
      </c>
    </row>
    <row r="1146" spans="1:4" s="23" customFormat="1" ht="51" x14ac:dyDescent="0.25">
      <c r="A1146" s="667">
        <v>1138</v>
      </c>
      <c r="B1146" s="886" t="s">
        <v>4025</v>
      </c>
      <c r="C1146" s="885" t="s">
        <v>4017</v>
      </c>
      <c r="D1146" s="669">
        <v>863.64</v>
      </c>
    </row>
    <row r="1147" spans="1:4" s="23" customFormat="1" ht="38.25" x14ac:dyDescent="0.25">
      <c r="A1147" s="667">
        <v>1139</v>
      </c>
      <c r="B1147" s="886" t="s">
        <v>4026</v>
      </c>
      <c r="C1147" s="885" t="s">
        <v>4027</v>
      </c>
      <c r="D1147" s="669">
        <v>1960</v>
      </c>
    </row>
    <row r="1148" spans="1:4" s="23" customFormat="1" ht="38.25" x14ac:dyDescent="0.25">
      <c r="A1148" s="667">
        <v>1140</v>
      </c>
      <c r="B1148" s="886" t="s">
        <v>4028</v>
      </c>
      <c r="C1148" s="885" t="s">
        <v>4029</v>
      </c>
      <c r="D1148" s="669">
        <v>1960</v>
      </c>
    </row>
    <row r="1149" spans="1:4" s="23" customFormat="1" ht="38.25" x14ac:dyDescent="0.25">
      <c r="A1149" s="667">
        <v>1141</v>
      </c>
      <c r="B1149" s="886" t="s">
        <v>4030</v>
      </c>
      <c r="C1149" s="885" t="s">
        <v>4027</v>
      </c>
      <c r="D1149" s="669">
        <v>1960</v>
      </c>
    </row>
    <row r="1150" spans="1:4" s="23" customFormat="1" ht="38.25" x14ac:dyDescent="0.25">
      <c r="A1150" s="667">
        <v>1142</v>
      </c>
      <c r="B1150" s="886" t="s">
        <v>4031</v>
      </c>
      <c r="C1150" s="885" t="s">
        <v>4027</v>
      </c>
      <c r="D1150" s="669">
        <v>1960</v>
      </c>
    </row>
    <row r="1151" spans="1:4" s="23" customFormat="1" ht="38.25" x14ac:dyDescent="0.25">
      <c r="A1151" s="667">
        <v>1143</v>
      </c>
      <c r="B1151" s="886" t="s">
        <v>4032</v>
      </c>
      <c r="C1151" s="885" t="s">
        <v>4027</v>
      </c>
      <c r="D1151" s="669">
        <v>1960</v>
      </c>
    </row>
    <row r="1152" spans="1:4" s="23" customFormat="1" ht="38.25" x14ac:dyDescent="0.25">
      <c r="A1152" s="667">
        <v>1144</v>
      </c>
      <c r="B1152" s="886" t="s">
        <v>4033</v>
      </c>
      <c r="C1152" s="885" t="s">
        <v>4027</v>
      </c>
      <c r="D1152" s="669">
        <v>1960</v>
      </c>
    </row>
    <row r="1153" spans="1:4" s="23" customFormat="1" ht="38.25" x14ac:dyDescent="0.25">
      <c r="A1153" s="667">
        <v>1145</v>
      </c>
      <c r="B1153" s="886" t="s">
        <v>4034</v>
      </c>
      <c r="C1153" s="885" t="s">
        <v>4027</v>
      </c>
      <c r="D1153" s="669">
        <v>1960</v>
      </c>
    </row>
    <row r="1154" spans="1:4" s="23" customFormat="1" ht="38.25" x14ac:dyDescent="0.25">
      <c r="A1154" s="667">
        <v>1146</v>
      </c>
      <c r="B1154" s="886" t="s">
        <v>4035</v>
      </c>
      <c r="C1154" s="885" t="s">
        <v>4027</v>
      </c>
      <c r="D1154" s="669">
        <v>1960</v>
      </c>
    </row>
    <row r="1155" spans="1:4" s="23" customFormat="1" ht="22.5" customHeight="1" x14ac:dyDescent="0.25">
      <c r="A1155" s="667">
        <v>1147</v>
      </c>
      <c r="B1155" s="886" t="s">
        <v>4036</v>
      </c>
      <c r="C1155" s="885" t="s">
        <v>4037</v>
      </c>
      <c r="D1155" s="669">
        <v>641.74</v>
      </c>
    </row>
    <row r="1156" spans="1:4" s="23" customFormat="1" ht="22.5" customHeight="1" x14ac:dyDescent="0.25">
      <c r="A1156" s="667">
        <v>1148</v>
      </c>
      <c r="B1156" s="886" t="s">
        <v>4038</v>
      </c>
      <c r="C1156" s="885" t="s">
        <v>4039</v>
      </c>
      <c r="D1156" s="669">
        <v>802.35</v>
      </c>
    </row>
    <row r="1157" spans="1:4" s="23" customFormat="1" ht="22.5" customHeight="1" x14ac:dyDescent="0.25">
      <c r="A1157" s="667">
        <v>1149</v>
      </c>
      <c r="B1157" s="886" t="s">
        <v>4040</v>
      </c>
      <c r="C1157" s="885" t="s">
        <v>4039</v>
      </c>
      <c r="D1157" s="669">
        <v>802.35</v>
      </c>
    </row>
    <row r="1158" spans="1:4" s="23" customFormat="1" ht="22.5" customHeight="1" x14ac:dyDescent="0.25">
      <c r="A1158" s="667">
        <v>1150</v>
      </c>
      <c r="B1158" s="886" t="s">
        <v>4041</v>
      </c>
      <c r="C1158" s="885" t="s">
        <v>4042</v>
      </c>
      <c r="D1158" s="669">
        <v>1651.31</v>
      </c>
    </row>
    <row r="1159" spans="1:4" s="23" customFormat="1" ht="38.25" x14ac:dyDescent="0.25">
      <c r="A1159" s="667">
        <v>1151</v>
      </c>
      <c r="B1159" s="886" t="s">
        <v>4043</v>
      </c>
      <c r="C1159" s="885" t="s">
        <v>4044</v>
      </c>
      <c r="D1159" s="669">
        <v>6426.09</v>
      </c>
    </row>
    <row r="1160" spans="1:4" s="23" customFormat="1" ht="22.5" customHeight="1" x14ac:dyDescent="0.25">
      <c r="A1160" s="667">
        <v>1152</v>
      </c>
      <c r="B1160" s="886" t="s">
        <v>4045</v>
      </c>
      <c r="C1160" s="885" t="s">
        <v>4046</v>
      </c>
      <c r="D1160" s="669">
        <v>444.96</v>
      </c>
    </row>
    <row r="1161" spans="1:4" s="23" customFormat="1" ht="22.5" customHeight="1" x14ac:dyDescent="0.25">
      <c r="A1161" s="667">
        <v>1153</v>
      </c>
      <c r="B1161" s="886" t="s">
        <v>4047</v>
      </c>
      <c r="C1161" s="885" t="s">
        <v>4048</v>
      </c>
      <c r="D1161" s="669">
        <v>444.96</v>
      </c>
    </row>
    <row r="1162" spans="1:4" s="23" customFormat="1" ht="22.5" customHeight="1" x14ac:dyDescent="0.25">
      <c r="A1162" s="667">
        <v>1154</v>
      </c>
      <c r="B1162" s="886" t="s">
        <v>4049</v>
      </c>
      <c r="C1162" s="885" t="s">
        <v>4048</v>
      </c>
      <c r="D1162" s="669">
        <v>444.96</v>
      </c>
    </row>
    <row r="1163" spans="1:4" s="23" customFormat="1" ht="22.5" customHeight="1" x14ac:dyDescent="0.25">
      <c r="A1163" s="667">
        <v>1155</v>
      </c>
      <c r="B1163" s="886" t="s">
        <v>4050</v>
      </c>
      <c r="C1163" s="885" t="s">
        <v>4051</v>
      </c>
      <c r="D1163" s="669">
        <v>1693.13</v>
      </c>
    </row>
    <row r="1164" spans="1:4" s="23" customFormat="1" ht="22.5" customHeight="1" x14ac:dyDescent="0.25">
      <c r="A1164" s="667">
        <v>1156</v>
      </c>
      <c r="B1164" s="886" t="s">
        <v>4052</v>
      </c>
      <c r="C1164" s="885" t="s">
        <v>4053</v>
      </c>
      <c r="D1164" s="669">
        <v>3349.65</v>
      </c>
    </row>
    <row r="1165" spans="1:4" s="23" customFormat="1" ht="51" x14ac:dyDescent="0.25">
      <c r="A1165" s="667">
        <v>1157</v>
      </c>
      <c r="B1165" s="886" t="s">
        <v>4054</v>
      </c>
      <c r="C1165" s="885" t="s">
        <v>4055</v>
      </c>
      <c r="D1165" s="669">
        <v>6426.08</v>
      </c>
    </row>
    <row r="1166" spans="1:4" s="23" customFormat="1" ht="25.5" x14ac:dyDescent="0.25">
      <c r="A1166" s="667">
        <v>1158</v>
      </c>
      <c r="B1166" s="886" t="s">
        <v>4056</v>
      </c>
      <c r="C1166" s="885" t="s">
        <v>4057</v>
      </c>
      <c r="D1166" s="669">
        <v>1092.8499999999999</v>
      </c>
    </row>
    <row r="1167" spans="1:4" s="23" customFormat="1" ht="25.5" x14ac:dyDescent="0.25">
      <c r="A1167" s="667">
        <v>1159</v>
      </c>
      <c r="B1167" s="886" t="s">
        <v>4058</v>
      </c>
      <c r="C1167" s="885" t="s">
        <v>4059</v>
      </c>
      <c r="D1167" s="669">
        <v>18868.7</v>
      </c>
    </row>
    <row r="1168" spans="1:4" s="23" customFormat="1" ht="25.5" x14ac:dyDescent="0.25">
      <c r="A1168" s="667">
        <v>1160</v>
      </c>
      <c r="B1168" s="886" t="s">
        <v>4060</v>
      </c>
      <c r="C1168" s="885" t="s">
        <v>4061</v>
      </c>
      <c r="D1168" s="669">
        <v>3700</v>
      </c>
    </row>
    <row r="1169" spans="1:4" s="23" customFormat="1" ht="22.5" customHeight="1" x14ac:dyDescent="0.25">
      <c r="A1169" s="667">
        <v>1161</v>
      </c>
      <c r="B1169" s="886" t="s">
        <v>4062</v>
      </c>
      <c r="C1169" s="885" t="s">
        <v>4063</v>
      </c>
      <c r="D1169" s="669">
        <v>680.87</v>
      </c>
    </row>
    <row r="1170" spans="1:4" s="23" customFormat="1" ht="22.5" customHeight="1" x14ac:dyDescent="0.25">
      <c r="A1170" s="667">
        <v>1162</v>
      </c>
      <c r="B1170" s="886" t="s">
        <v>4064</v>
      </c>
      <c r="C1170" s="885" t="s">
        <v>4065</v>
      </c>
      <c r="D1170" s="669">
        <v>4346.96</v>
      </c>
    </row>
    <row r="1171" spans="1:4" s="23" customFormat="1" ht="22.5" customHeight="1" x14ac:dyDescent="0.25">
      <c r="A1171" s="667">
        <v>1163</v>
      </c>
      <c r="B1171" s="886" t="s">
        <v>4066</v>
      </c>
      <c r="C1171" s="885" t="s">
        <v>4067</v>
      </c>
      <c r="D1171" s="669">
        <v>1100</v>
      </c>
    </row>
    <row r="1172" spans="1:4" s="23" customFormat="1" ht="22.5" customHeight="1" x14ac:dyDescent="0.25">
      <c r="A1172" s="667">
        <v>1164</v>
      </c>
      <c r="B1172" s="886" t="s">
        <v>4068</v>
      </c>
      <c r="C1172" s="885" t="s">
        <v>4067</v>
      </c>
      <c r="D1172" s="669">
        <v>1100</v>
      </c>
    </row>
    <row r="1173" spans="1:4" s="23" customFormat="1" ht="22.5" customHeight="1" x14ac:dyDescent="0.25">
      <c r="A1173" s="667">
        <v>1165</v>
      </c>
      <c r="B1173" s="886" t="s">
        <v>4069</v>
      </c>
      <c r="C1173" s="885" t="s">
        <v>4070</v>
      </c>
      <c r="D1173" s="669">
        <v>1694.78</v>
      </c>
    </row>
    <row r="1174" spans="1:4" s="23" customFormat="1" ht="22.5" customHeight="1" x14ac:dyDescent="0.25">
      <c r="A1174" s="667">
        <v>1166</v>
      </c>
      <c r="B1174" s="886" t="s">
        <v>4071</v>
      </c>
      <c r="C1174" s="885" t="s">
        <v>4072</v>
      </c>
      <c r="D1174" s="669">
        <v>2424</v>
      </c>
    </row>
    <row r="1175" spans="1:4" s="23" customFormat="1" ht="22.5" customHeight="1" x14ac:dyDescent="0.25">
      <c r="A1175" s="667">
        <v>1167</v>
      </c>
      <c r="B1175" s="886" t="s">
        <v>4073</v>
      </c>
      <c r="C1175" s="885" t="s">
        <v>4074</v>
      </c>
      <c r="D1175" s="669">
        <v>2054.4</v>
      </c>
    </row>
    <row r="1176" spans="1:4" s="23" customFormat="1" ht="51" x14ac:dyDescent="0.25">
      <c r="A1176" s="667">
        <v>1168</v>
      </c>
      <c r="B1176" s="886" t="s">
        <v>4075</v>
      </c>
      <c r="C1176" s="885" t="s">
        <v>4076</v>
      </c>
      <c r="D1176" s="669">
        <v>89400</v>
      </c>
    </row>
    <row r="1177" spans="1:4" s="23" customFormat="1" ht="38.25" x14ac:dyDescent="0.25">
      <c r="A1177" s="667">
        <v>1169</v>
      </c>
      <c r="B1177" s="886" t="s">
        <v>4077</v>
      </c>
      <c r="C1177" s="885" t="s">
        <v>4078</v>
      </c>
      <c r="D1177" s="669">
        <v>1490</v>
      </c>
    </row>
    <row r="1178" spans="1:4" s="23" customFormat="1" ht="38.25" x14ac:dyDescent="0.25">
      <c r="A1178" s="667">
        <v>1170</v>
      </c>
      <c r="B1178" s="886" t="s">
        <v>4079</v>
      </c>
      <c r="C1178" s="885" t="s">
        <v>4080</v>
      </c>
      <c r="D1178" s="669">
        <v>2980</v>
      </c>
    </row>
    <row r="1179" spans="1:4" s="23" customFormat="1" ht="38.25" x14ac:dyDescent="0.25">
      <c r="A1179" s="667">
        <v>1171</v>
      </c>
      <c r="B1179" s="886" t="s">
        <v>4081</v>
      </c>
      <c r="C1179" s="885" t="s">
        <v>4078</v>
      </c>
      <c r="D1179" s="669">
        <v>1490</v>
      </c>
    </row>
    <row r="1180" spans="1:4" s="23" customFormat="1" ht="38.25" x14ac:dyDescent="0.25">
      <c r="A1180" s="667">
        <v>1172</v>
      </c>
      <c r="B1180" s="886" t="s">
        <v>4082</v>
      </c>
      <c r="C1180" s="885" t="s">
        <v>4078</v>
      </c>
      <c r="D1180" s="669">
        <v>1490</v>
      </c>
    </row>
    <row r="1181" spans="1:4" s="23" customFormat="1" ht="38.25" x14ac:dyDescent="0.25">
      <c r="A1181" s="667">
        <v>1173</v>
      </c>
      <c r="B1181" s="886" t="s">
        <v>4083</v>
      </c>
      <c r="C1181" s="885" t="s">
        <v>4084</v>
      </c>
      <c r="D1181" s="669">
        <v>1490</v>
      </c>
    </row>
    <row r="1182" spans="1:4" s="23" customFormat="1" ht="51" x14ac:dyDescent="0.25">
      <c r="A1182" s="667">
        <v>1174</v>
      </c>
      <c r="B1182" s="886" t="s">
        <v>4085</v>
      </c>
      <c r="C1182" s="885" t="s">
        <v>4086</v>
      </c>
      <c r="D1182" s="669">
        <v>5960</v>
      </c>
    </row>
    <row r="1183" spans="1:4" s="23" customFormat="1" ht="51" x14ac:dyDescent="0.25">
      <c r="A1183" s="667">
        <v>1175</v>
      </c>
      <c r="B1183" s="886" t="s">
        <v>4087</v>
      </c>
      <c r="C1183" s="885" t="s">
        <v>4088</v>
      </c>
      <c r="D1183" s="669">
        <v>7450</v>
      </c>
    </row>
    <row r="1184" spans="1:4" s="23" customFormat="1" ht="22.5" customHeight="1" x14ac:dyDescent="0.25">
      <c r="A1184" s="667">
        <v>1176</v>
      </c>
      <c r="B1184" s="886" t="s">
        <v>4089</v>
      </c>
      <c r="C1184" s="885" t="s">
        <v>4090</v>
      </c>
      <c r="D1184" s="669">
        <v>494.78</v>
      </c>
    </row>
    <row r="1185" spans="1:4" s="23" customFormat="1" ht="22.5" customHeight="1" x14ac:dyDescent="0.25">
      <c r="A1185" s="667">
        <v>1177</v>
      </c>
      <c r="B1185" s="886" t="s">
        <v>4091</v>
      </c>
      <c r="C1185" s="885" t="s">
        <v>4090</v>
      </c>
      <c r="D1185" s="669">
        <v>494.78</v>
      </c>
    </row>
    <row r="1186" spans="1:4" s="23" customFormat="1" ht="22.5" customHeight="1" x14ac:dyDescent="0.25">
      <c r="A1186" s="667">
        <v>1178</v>
      </c>
      <c r="B1186" s="886" t="s">
        <v>4092</v>
      </c>
      <c r="C1186" s="885" t="s">
        <v>4090</v>
      </c>
      <c r="D1186" s="669">
        <v>494.78</v>
      </c>
    </row>
    <row r="1187" spans="1:4" s="23" customFormat="1" ht="22.5" customHeight="1" x14ac:dyDescent="0.25">
      <c r="A1187" s="667">
        <v>1179</v>
      </c>
      <c r="B1187" s="886" t="s">
        <v>4093</v>
      </c>
      <c r="C1187" s="885" t="s">
        <v>4090</v>
      </c>
      <c r="D1187" s="669">
        <v>494.78</v>
      </c>
    </row>
    <row r="1188" spans="1:4" s="23" customFormat="1" ht="22.5" customHeight="1" x14ac:dyDescent="0.25">
      <c r="A1188" s="667">
        <v>1180</v>
      </c>
      <c r="B1188" s="886" t="s">
        <v>4094</v>
      </c>
      <c r="C1188" s="885" t="s">
        <v>4095</v>
      </c>
      <c r="D1188" s="669">
        <v>1691.43</v>
      </c>
    </row>
    <row r="1189" spans="1:4" s="23" customFormat="1" ht="22.5" customHeight="1" x14ac:dyDescent="0.25">
      <c r="A1189" s="667">
        <v>1181</v>
      </c>
      <c r="B1189" s="886" t="s">
        <v>4096</v>
      </c>
      <c r="C1189" s="885" t="s">
        <v>4097</v>
      </c>
      <c r="D1189" s="669">
        <v>2199</v>
      </c>
    </row>
    <row r="1190" spans="1:4" s="23" customFormat="1" ht="22.5" customHeight="1" x14ac:dyDescent="0.25">
      <c r="A1190" s="667">
        <v>1182</v>
      </c>
      <c r="B1190" s="886" t="s">
        <v>4098</v>
      </c>
      <c r="C1190" s="885" t="s">
        <v>4099</v>
      </c>
      <c r="D1190" s="669">
        <v>2321</v>
      </c>
    </row>
    <row r="1191" spans="1:4" s="23" customFormat="1" ht="22.5" customHeight="1" x14ac:dyDescent="0.25">
      <c r="A1191" s="667">
        <v>1183</v>
      </c>
      <c r="B1191" s="886" t="s">
        <v>4100</v>
      </c>
      <c r="C1191" s="885" t="s">
        <v>4101</v>
      </c>
      <c r="D1191" s="669">
        <v>3216.53</v>
      </c>
    </row>
    <row r="1192" spans="1:4" s="23" customFormat="1" ht="22.5" customHeight="1" x14ac:dyDescent="0.25">
      <c r="A1192" s="667">
        <v>1184</v>
      </c>
      <c r="B1192" s="886" t="s">
        <v>4102</v>
      </c>
      <c r="C1192" s="885" t="s">
        <v>4103</v>
      </c>
      <c r="D1192" s="669">
        <v>1378.45</v>
      </c>
    </row>
    <row r="1193" spans="1:4" s="23" customFormat="1" ht="22.5" customHeight="1" x14ac:dyDescent="0.25">
      <c r="A1193" s="667">
        <v>1185</v>
      </c>
      <c r="B1193" s="886" t="s">
        <v>4104</v>
      </c>
      <c r="C1193" s="885" t="s">
        <v>4105</v>
      </c>
      <c r="D1193" s="669">
        <v>10900</v>
      </c>
    </row>
    <row r="1194" spans="1:4" s="23" customFormat="1" ht="22.5" customHeight="1" x14ac:dyDescent="0.25">
      <c r="A1194" s="667">
        <v>1186</v>
      </c>
      <c r="B1194" s="886" t="s">
        <v>4106</v>
      </c>
      <c r="C1194" s="885" t="s">
        <v>4107</v>
      </c>
      <c r="D1194" s="669">
        <v>3900</v>
      </c>
    </row>
    <row r="1195" spans="1:4" s="23" customFormat="1" ht="22.5" customHeight="1" x14ac:dyDescent="0.25">
      <c r="A1195" s="667">
        <v>1187</v>
      </c>
      <c r="B1195" s="886" t="s">
        <v>4108</v>
      </c>
      <c r="C1195" s="885" t="s">
        <v>4109</v>
      </c>
      <c r="D1195" s="669">
        <v>3900</v>
      </c>
    </row>
    <row r="1196" spans="1:4" s="23" customFormat="1" ht="22.5" customHeight="1" x14ac:dyDescent="0.25">
      <c r="A1196" s="667">
        <v>1188</v>
      </c>
      <c r="B1196" s="886" t="s">
        <v>4110</v>
      </c>
      <c r="C1196" s="885" t="s">
        <v>4111</v>
      </c>
      <c r="D1196" s="669">
        <v>6896.55</v>
      </c>
    </row>
    <row r="1197" spans="1:4" s="23" customFormat="1" ht="22.5" customHeight="1" x14ac:dyDescent="0.25">
      <c r="A1197" s="667">
        <v>1189</v>
      </c>
      <c r="B1197" s="886" t="s">
        <v>4112</v>
      </c>
      <c r="C1197" s="885" t="s">
        <v>4113</v>
      </c>
      <c r="D1197" s="669">
        <v>3275.86</v>
      </c>
    </row>
    <row r="1198" spans="1:4" s="23" customFormat="1" ht="22.5" customHeight="1" x14ac:dyDescent="0.25">
      <c r="A1198" s="667">
        <v>1190</v>
      </c>
      <c r="B1198" s="886" t="s">
        <v>4114</v>
      </c>
      <c r="C1198" s="885" t="s">
        <v>4115</v>
      </c>
      <c r="D1198" s="669">
        <v>3275.86</v>
      </c>
    </row>
    <row r="1199" spans="1:4" s="23" customFormat="1" ht="22.5" customHeight="1" x14ac:dyDescent="0.25">
      <c r="A1199" s="667">
        <v>1191</v>
      </c>
      <c r="B1199" s="886" t="s">
        <v>4116</v>
      </c>
      <c r="C1199" s="885" t="s">
        <v>4117</v>
      </c>
      <c r="D1199" s="669">
        <v>3275.86</v>
      </c>
    </row>
    <row r="1200" spans="1:4" s="23" customFormat="1" ht="22.5" customHeight="1" x14ac:dyDescent="0.25">
      <c r="A1200" s="667">
        <v>1192</v>
      </c>
      <c r="B1200" s="886" t="s">
        <v>4118</v>
      </c>
      <c r="C1200" s="885" t="s">
        <v>4119</v>
      </c>
      <c r="D1200" s="669">
        <v>3275.86</v>
      </c>
    </row>
    <row r="1201" spans="1:4" s="23" customFormat="1" ht="22.5" customHeight="1" x14ac:dyDescent="0.25">
      <c r="A1201" s="667">
        <v>1193</v>
      </c>
      <c r="B1201" s="886" t="s">
        <v>4120</v>
      </c>
      <c r="C1201" s="885" t="s">
        <v>4121</v>
      </c>
      <c r="D1201" s="669">
        <v>5387.93</v>
      </c>
    </row>
    <row r="1202" spans="1:4" s="23" customFormat="1" ht="22.5" customHeight="1" x14ac:dyDescent="0.25">
      <c r="A1202" s="667">
        <v>1194</v>
      </c>
      <c r="B1202" s="886" t="s">
        <v>4122</v>
      </c>
      <c r="C1202" s="885" t="s">
        <v>4123</v>
      </c>
      <c r="D1202" s="669">
        <v>4387.5</v>
      </c>
    </row>
    <row r="1203" spans="1:4" s="23" customFormat="1" ht="22.5" customHeight="1" x14ac:dyDescent="0.25">
      <c r="A1203" s="667">
        <v>1195</v>
      </c>
      <c r="B1203" s="886" t="s">
        <v>4124</v>
      </c>
      <c r="C1203" s="885" t="s">
        <v>4125</v>
      </c>
      <c r="D1203" s="669">
        <v>4387.5</v>
      </c>
    </row>
    <row r="1204" spans="1:4" s="23" customFormat="1" ht="22.5" customHeight="1" x14ac:dyDescent="0.25">
      <c r="A1204" s="667">
        <v>1196</v>
      </c>
      <c r="B1204" s="886" t="s">
        <v>4126</v>
      </c>
      <c r="C1204" s="885" t="s">
        <v>4127</v>
      </c>
      <c r="D1204" s="669">
        <v>4387.5</v>
      </c>
    </row>
    <row r="1205" spans="1:4" s="23" customFormat="1" ht="22.5" customHeight="1" x14ac:dyDescent="0.25">
      <c r="A1205" s="667">
        <v>1197</v>
      </c>
      <c r="B1205" s="886" t="s">
        <v>4128</v>
      </c>
      <c r="C1205" s="885" t="s">
        <v>4125</v>
      </c>
      <c r="D1205" s="669">
        <v>4387.5</v>
      </c>
    </row>
    <row r="1206" spans="1:4" s="23" customFormat="1" ht="22.5" customHeight="1" x14ac:dyDescent="0.25">
      <c r="A1206" s="667">
        <v>1198</v>
      </c>
      <c r="B1206" s="886" t="s">
        <v>4129</v>
      </c>
      <c r="C1206" s="885" t="s">
        <v>4125</v>
      </c>
      <c r="D1206" s="669">
        <v>4387.5</v>
      </c>
    </row>
    <row r="1207" spans="1:4" s="23" customFormat="1" ht="22.5" customHeight="1" x14ac:dyDescent="0.25">
      <c r="A1207" s="667">
        <v>1199</v>
      </c>
      <c r="B1207" s="886" t="s">
        <v>4130</v>
      </c>
      <c r="C1207" s="885" t="s">
        <v>4125</v>
      </c>
      <c r="D1207" s="669">
        <v>4387.5</v>
      </c>
    </row>
    <row r="1208" spans="1:4" s="23" customFormat="1" ht="22.5" customHeight="1" x14ac:dyDescent="0.25">
      <c r="A1208" s="667">
        <v>1200</v>
      </c>
      <c r="B1208" s="886" t="s">
        <v>4131</v>
      </c>
      <c r="C1208" s="885" t="s">
        <v>4125</v>
      </c>
      <c r="D1208" s="669">
        <v>4387.5</v>
      </c>
    </row>
    <row r="1209" spans="1:4" s="23" customFormat="1" ht="22.5" customHeight="1" x14ac:dyDescent="0.25">
      <c r="A1209" s="667">
        <v>1201</v>
      </c>
      <c r="B1209" s="886" t="s">
        <v>4132</v>
      </c>
      <c r="C1209" s="885" t="s">
        <v>4125</v>
      </c>
      <c r="D1209" s="669">
        <v>4387.5</v>
      </c>
    </row>
    <row r="1210" spans="1:4" s="23" customFormat="1" ht="22.5" customHeight="1" x14ac:dyDescent="0.25">
      <c r="A1210" s="667">
        <v>1202</v>
      </c>
      <c r="B1210" s="886" t="s">
        <v>4133</v>
      </c>
      <c r="C1210" s="885" t="s">
        <v>4125</v>
      </c>
      <c r="D1210" s="669">
        <v>4387.5</v>
      </c>
    </row>
    <row r="1211" spans="1:4" s="23" customFormat="1" ht="22.5" customHeight="1" x14ac:dyDescent="0.25">
      <c r="A1211" s="667">
        <v>1203</v>
      </c>
      <c r="B1211" s="886" t="s">
        <v>4134</v>
      </c>
      <c r="C1211" s="885" t="s">
        <v>4135</v>
      </c>
      <c r="D1211" s="669">
        <v>3900</v>
      </c>
    </row>
    <row r="1212" spans="1:4" s="23" customFormat="1" ht="22.5" customHeight="1" x14ac:dyDescent="0.25">
      <c r="A1212" s="667">
        <v>1204</v>
      </c>
      <c r="B1212" s="886" t="s">
        <v>4136</v>
      </c>
      <c r="C1212" s="885" t="s">
        <v>4137</v>
      </c>
      <c r="D1212" s="669">
        <v>950</v>
      </c>
    </row>
    <row r="1213" spans="1:4" s="23" customFormat="1" ht="22.5" customHeight="1" x14ac:dyDescent="0.25">
      <c r="A1213" s="667">
        <v>1205</v>
      </c>
      <c r="B1213" s="886" t="s">
        <v>4138</v>
      </c>
      <c r="C1213" s="885" t="s">
        <v>4139</v>
      </c>
      <c r="D1213" s="669">
        <v>3900</v>
      </c>
    </row>
    <row r="1214" spans="1:4" s="23" customFormat="1" ht="22.5" customHeight="1" x14ac:dyDescent="0.25">
      <c r="A1214" s="667">
        <v>1206</v>
      </c>
      <c r="B1214" s="886" t="s">
        <v>4140</v>
      </c>
      <c r="C1214" s="885" t="s">
        <v>4137</v>
      </c>
      <c r="D1214" s="669">
        <v>950</v>
      </c>
    </row>
    <row r="1215" spans="1:4" s="23" customFormat="1" ht="22.5" customHeight="1" x14ac:dyDescent="0.25">
      <c r="A1215" s="667">
        <v>1207</v>
      </c>
      <c r="B1215" s="886" t="s">
        <v>4141</v>
      </c>
      <c r="C1215" s="885" t="s">
        <v>4142</v>
      </c>
      <c r="D1215" s="669">
        <v>3135</v>
      </c>
    </row>
    <row r="1216" spans="1:4" s="23" customFormat="1" ht="22.5" customHeight="1" x14ac:dyDescent="0.25">
      <c r="A1216" s="667">
        <v>1208</v>
      </c>
      <c r="B1216" s="886" t="s">
        <v>4143</v>
      </c>
      <c r="C1216" s="885" t="s">
        <v>4144</v>
      </c>
      <c r="D1216" s="669">
        <v>5323.27</v>
      </c>
    </row>
    <row r="1217" spans="1:4" s="23" customFormat="1" ht="22.5" customHeight="1" x14ac:dyDescent="0.25">
      <c r="A1217" s="667">
        <v>1209</v>
      </c>
      <c r="B1217" s="886" t="s">
        <v>4145</v>
      </c>
      <c r="C1217" s="885" t="s">
        <v>4146</v>
      </c>
      <c r="D1217" s="669">
        <v>925</v>
      </c>
    </row>
    <row r="1218" spans="1:4" s="23" customFormat="1" ht="22.5" customHeight="1" x14ac:dyDescent="0.25">
      <c r="A1218" s="667">
        <v>1210</v>
      </c>
      <c r="B1218" s="886" t="s">
        <v>4147</v>
      </c>
      <c r="C1218" s="885" t="s">
        <v>4146</v>
      </c>
      <c r="D1218" s="669">
        <v>925</v>
      </c>
    </row>
    <row r="1219" spans="1:4" s="23" customFormat="1" ht="22.5" customHeight="1" x14ac:dyDescent="0.25">
      <c r="A1219" s="667">
        <v>1211</v>
      </c>
      <c r="B1219" s="886" t="s">
        <v>4148</v>
      </c>
      <c r="C1219" s="885" t="s">
        <v>4146</v>
      </c>
      <c r="D1219" s="669">
        <v>925</v>
      </c>
    </row>
    <row r="1220" spans="1:4" s="23" customFormat="1" ht="22.5" customHeight="1" x14ac:dyDescent="0.25">
      <c r="A1220" s="667">
        <v>1212</v>
      </c>
      <c r="B1220" s="886" t="s">
        <v>4149</v>
      </c>
      <c r="C1220" s="885" t="s">
        <v>4146</v>
      </c>
      <c r="D1220" s="669">
        <v>925</v>
      </c>
    </row>
    <row r="1221" spans="1:4" s="23" customFormat="1" ht="22.5" customHeight="1" x14ac:dyDescent="0.25">
      <c r="A1221" s="667">
        <v>1213</v>
      </c>
      <c r="B1221" s="886" t="s">
        <v>4150</v>
      </c>
      <c r="C1221" s="885" t="s">
        <v>4146</v>
      </c>
      <c r="D1221" s="669">
        <v>925</v>
      </c>
    </row>
    <row r="1222" spans="1:4" s="23" customFormat="1" ht="22.5" customHeight="1" x14ac:dyDescent="0.25">
      <c r="A1222" s="667">
        <v>1214</v>
      </c>
      <c r="B1222" s="886" t="s">
        <v>4151</v>
      </c>
      <c r="C1222" s="885" t="s">
        <v>4152</v>
      </c>
      <c r="D1222" s="669">
        <v>1450</v>
      </c>
    </row>
    <row r="1223" spans="1:4" s="23" customFormat="1" ht="22.5" customHeight="1" x14ac:dyDescent="0.25">
      <c r="A1223" s="667">
        <v>1215</v>
      </c>
      <c r="B1223" s="886" t="s">
        <v>4153</v>
      </c>
      <c r="C1223" s="885" t="s">
        <v>4154</v>
      </c>
      <c r="D1223" s="669">
        <v>650</v>
      </c>
    </row>
    <row r="1224" spans="1:4" s="23" customFormat="1" ht="22.5" customHeight="1" x14ac:dyDescent="0.25">
      <c r="A1224" s="667">
        <v>1216</v>
      </c>
      <c r="B1224" s="886" t="s">
        <v>4155</v>
      </c>
      <c r="C1224" s="885" t="s">
        <v>4154</v>
      </c>
      <c r="D1224" s="669">
        <v>650</v>
      </c>
    </row>
    <row r="1225" spans="1:4" s="23" customFormat="1" ht="22.5" customHeight="1" x14ac:dyDescent="0.25">
      <c r="A1225" s="667">
        <v>1217</v>
      </c>
      <c r="B1225" s="886" t="s">
        <v>4156</v>
      </c>
      <c r="C1225" s="885" t="s">
        <v>4154</v>
      </c>
      <c r="D1225" s="669">
        <v>650</v>
      </c>
    </row>
    <row r="1226" spans="1:4" s="23" customFormat="1" ht="22.5" customHeight="1" x14ac:dyDescent="0.25">
      <c r="A1226" s="667">
        <v>1218</v>
      </c>
      <c r="B1226" s="886" t="s">
        <v>4157</v>
      </c>
      <c r="C1226" s="885" t="s">
        <v>4158</v>
      </c>
      <c r="D1226" s="669">
        <v>4387.5</v>
      </c>
    </row>
    <row r="1227" spans="1:4" s="23" customFormat="1" ht="22.5" customHeight="1" x14ac:dyDescent="0.25">
      <c r="A1227" s="667">
        <v>1219</v>
      </c>
      <c r="B1227" s="886" t="s">
        <v>4159</v>
      </c>
      <c r="C1227" s="885" t="s">
        <v>4160</v>
      </c>
      <c r="D1227" s="669">
        <v>2675</v>
      </c>
    </row>
    <row r="1228" spans="1:4" s="23" customFormat="1" ht="22.5" customHeight="1" x14ac:dyDescent="0.25">
      <c r="A1228" s="667">
        <v>1220</v>
      </c>
      <c r="B1228" s="886" t="s">
        <v>4161</v>
      </c>
      <c r="C1228" s="885" t="s">
        <v>4162</v>
      </c>
      <c r="D1228" s="669">
        <v>5852.58</v>
      </c>
    </row>
    <row r="1229" spans="1:4" s="23" customFormat="1" ht="22.5" customHeight="1" x14ac:dyDescent="0.25">
      <c r="A1229" s="667">
        <v>1221</v>
      </c>
      <c r="B1229" s="886" t="s">
        <v>4163</v>
      </c>
      <c r="C1229" s="885" t="s">
        <v>4164</v>
      </c>
      <c r="D1229" s="669">
        <v>1850</v>
      </c>
    </row>
    <row r="1230" spans="1:4" s="23" customFormat="1" ht="22.5" customHeight="1" x14ac:dyDescent="0.25">
      <c r="A1230" s="667">
        <v>1222</v>
      </c>
      <c r="B1230" s="886" t="s">
        <v>4165</v>
      </c>
      <c r="C1230" s="885" t="s">
        <v>4166</v>
      </c>
      <c r="D1230" s="669">
        <v>1950</v>
      </c>
    </row>
    <row r="1231" spans="1:4" s="23" customFormat="1" ht="22.5" customHeight="1" x14ac:dyDescent="0.25">
      <c r="A1231" s="667">
        <v>1223</v>
      </c>
      <c r="B1231" s="886" t="s">
        <v>4167</v>
      </c>
      <c r="C1231" s="885" t="s">
        <v>4168</v>
      </c>
      <c r="D1231" s="669">
        <v>4500</v>
      </c>
    </row>
    <row r="1232" spans="1:4" s="23" customFormat="1" ht="22.5" customHeight="1" x14ac:dyDescent="0.25">
      <c r="A1232" s="667">
        <v>1224</v>
      </c>
      <c r="B1232" s="886" t="s">
        <v>4169</v>
      </c>
      <c r="C1232" s="885" t="s">
        <v>4170</v>
      </c>
      <c r="D1232" s="669">
        <v>1096.5</v>
      </c>
    </row>
    <row r="1233" spans="1:4" s="23" customFormat="1" ht="22.5" customHeight="1" x14ac:dyDescent="0.25">
      <c r="A1233" s="667">
        <v>1225</v>
      </c>
      <c r="B1233" s="886" t="s">
        <v>4171</v>
      </c>
      <c r="C1233" s="885" t="s">
        <v>4170</v>
      </c>
      <c r="D1233" s="669">
        <v>1096.5</v>
      </c>
    </row>
    <row r="1234" spans="1:4" s="23" customFormat="1" ht="22.5" customHeight="1" x14ac:dyDescent="0.25">
      <c r="A1234" s="667">
        <v>1226</v>
      </c>
      <c r="B1234" s="886" t="s">
        <v>4172</v>
      </c>
      <c r="C1234" s="885" t="s">
        <v>4173</v>
      </c>
      <c r="D1234" s="669">
        <v>2593.39</v>
      </c>
    </row>
    <row r="1235" spans="1:4" s="23" customFormat="1" ht="22.5" customHeight="1" x14ac:dyDescent="0.25">
      <c r="A1235" s="667">
        <v>1227</v>
      </c>
      <c r="B1235" s="886" t="s">
        <v>4174</v>
      </c>
      <c r="C1235" s="885" t="s">
        <v>4175</v>
      </c>
      <c r="D1235" s="669">
        <v>2593.39</v>
      </c>
    </row>
    <row r="1236" spans="1:4" s="23" customFormat="1" ht="22.5" customHeight="1" x14ac:dyDescent="0.25">
      <c r="A1236" s="667">
        <v>1228</v>
      </c>
      <c r="B1236" s="886" t="s">
        <v>4176</v>
      </c>
      <c r="C1236" s="885" t="s">
        <v>4177</v>
      </c>
      <c r="D1236" s="669">
        <v>3244.92</v>
      </c>
    </row>
    <row r="1237" spans="1:4" s="23" customFormat="1" ht="22.5" customHeight="1" x14ac:dyDescent="0.25">
      <c r="A1237" s="667">
        <v>1229</v>
      </c>
      <c r="B1237" s="886" t="s">
        <v>4178</v>
      </c>
      <c r="C1237" s="885" t="s">
        <v>4177</v>
      </c>
      <c r="D1237" s="669">
        <v>3244.92</v>
      </c>
    </row>
    <row r="1238" spans="1:4" s="23" customFormat="1" ht="22.5" customHeight="1" x14ac:dyDescent="0.25">
      <c r="A1238" s="667">
        <v>1230</v>
      </c>
      <c r="B1238" s="886" t="s">
        <v>4179</v>
      </c>
      <c r="C1238" s="885" t="s">
        <v>4177</v>
      </c>
      <c r="D1238" s="669">
        <v>3244.92</v>
      </c>
    </row>
    <row r="1239" spans="1:4" s="23" customFormat="1" ht="22.5" customHeight="1" x14ac:dyDescent="0.25">
      <c r="A1239" s="667">
        <v>1231</v>
      </c>
      <c r="B1239" s="886" t="s">
        <v>4180</v>
      </c>
      <c r="C1239" s="885" t="s">
        <v>4177</v>
      </c>
      <c r="D1239" s="669">
        <v>3244.92</v>
      </c>
    </row>
    <row r="1240" spans="1:4" s="23" customFormat="1" ht="22.5" customHeight="1" x14ac:dyDescent="0.25">
      <c r="A1240" s="667">
        <v>1232</v>
      </c>
      <c r="B1240" s="886" t="s">
        <v>4181</v>
      </c>
      <c r="C1240" s="885" t="s">
        <v>4177</v>
      </c>
      <c r="D1240" s="669">
        <v>3244.92</v>
      </c>
    </row>
    <row r="1241" spans="1:4" s="23" customFormat="1" ht="22.5" customHeight="1" x14ac:dyDescent="0.25">
      <c r="A1241" s="667">
        <v>1233</v>
      </c>
      <c r="B1241" s="886" t="s">
        <v>4182</v>
      </c>
      <c r="C1241" s="885" t="s">
        <v>4183</v>
      </c>
      <c r="D1241" s="669">
        <v>4914.66</v>
      </c>
    </row>
    <row r="1242" spans="1:4" s="23" customFormat="1" ht="22.5" customHeight="1" x14ac:dyDescent="0.25">
      <c r="A1242" s="667">
        <v>1234</v>
      </c>
      <c r="B1242" s="886" t="s">
        <v>4184</v>
      </c>
      <c r="C1242" s="885" t="s">
        <v>4185</v>
      </c>
      <c r="D1242" s="669">
        <v>3766.7</v>
      </c>
    </row>
    <row r="1243" spans="1:4" s="23" customFormat="1" ht="22.5" customHeight="1" x14ac:dyDescent="0.25">
      <c r="A1243" s="667">
        <v>1235</v>
      </c>
      <c r="B1243" s="886" t="s">
        <v>4186</v>
      </c>
      <c r="C1243" s="885" t="s">
        <v>4185</v>
      </c>
      <c r="D1243" s="669">
        <v>3766.7</v>
      </c>
    </row>
    <row r="1244" spans="1:4" s="23" customFormat="1" ht="22.5" customHeight="1" x14ac:dyDescent="0.25">
      <c r="A1244" s="667">
        <v>1236</v>
      </c>
      <c r="B1244" s="886" t="s">
        <v>4187</v>
      </c>
      <c r="C1244" s="885" t="s">
        <v>4188</v>
      </c>
      <c r="D1244" s="669">
        <v>4800</v>
      </c>
    </row>
    <row r="1245" spans="1:4" s="23" customFormat="1" ht="22.5" customHeight="1" x14ac:dyDescent="0.25">
      <c r="A1245" s="667">
        <v>1237</v>
      </c>
      <c r="B1245" s="886" t="s">
        <v>4189</v>
      </c>
      <c r="C1245" s="885" t="s">
        <v>4190</v>
      </c>
      <c r="D1245" s="669">
        <v>5649.7</v>
      </c>
    </row>
    <row r="1246" spans="1:4" s="23" customFormat="1" ht="22.5" customHeight="1" x14ac:dyDescent="0.25">
      <c r="A1246" s="667">
        <v>1238</v>
      </c>
      <c r="B1246" s="886" t="s">
        <v>4191</v>
      </c>
      <c r="C1246" s="885" t="s">
        <v>4192</v>
      </c>
      <c r="D1246" s="669">
        <v>19001.88</v>
      </c>
    </row>
    <row r="1247" spans="1:4" s="23" customFormat="1" ht="22.5" customHeight="1" x14ac:dyDescent="0.25">
      <c r="A1247" s="667">
        <v>1239</v>
      </c>
      <c r="B1247" s="886" t="s">
        <v>4193</v>
      </c>
      <c r="C1247" s="885" t="s">
        <v>4194</v>
      </c>
      <c r="D1247" s="669">
        <v>2111.3200000000002</v>
      </c>
    </row>
    <row r="1248" spans="1:4" s="23" customFormat="1" ht="22.5" customHeight="1" x14ac:dyDescent="0.25">
      <c r="A1248" s="667">
        <v>1240</v>
      </c>
      <c r="B1248" s="886" t="s">
        <v>4195</v>
      </c>
      <c r="C1248" s="885" t="s">
        <v>4196</v>
      </c>
      <c r="D1248" s="669">
        <v>2236.2399999999998</v>
      </c>
    </row>
    <row r="1249" spans="1:4" s="23" customFormat="1" ht="22.5" customHeight="1" x14ac:dyDescent="0.25">
      <c r="A1249" s="667">
        <v>1241</v>
      </c>
      <c r="B1249" s="886" t="s">
        <v>4197</v>
      </c>
      <c r="C1249" s="885" t="s">
        <v>4196</v>
      </c>
      <c r="D1249" s="669">
        <v>2236.2399999999998</v>
      </c>
    </row>
    <row r="1250" spans="1:4" s="23" customFormat="1" ht="22.5" customHeight="1" x14ac:dyDescent="0.25">
      <c r="A1250" s="667">
        <v>1242</v>
      </c>
      <c r="B1250" s="886" t="s">
        <v>4198</v>
      </c>
      <c r="C1250" s="885" t="s">
        <v>4196</v>
      </c>
      <c r="D1250" s="669">
        <v>2611.4699999999998</v>
      </c>
    </row>
    <row r="1251" spans="1:4" s="23" customFormat="1" ht="22.5" customHeight="1" x14ac:dyDescent="0.25">
      <c r="A1251" s="667">
        <v>1243</v>
      </c>
      <c r="B1251" s="886" t="s">
        <v>4199</v>
      </c>
      <c r="C1251" s="885" t="s">
        <v>4200</v>
      </c>
      <c r="D1251" s="669">
        <v>2585.35</v>
      </c>
    </row>
    <row r="1252" spans="1:4" s="23" customFormat="1" ht="22.5" customHeight="1" x14ac:dyDescent="0.25">
      <c r="A1252" s="667">
        <v>1244</v>
      </c>
      <c r="B1252" s="886" t="s">
        <v>4201</v>
      </c>
      <c r="C1252" s="885" t="s">
        <v>4202</v>
      </c>
      <c r="D1252" s="669">
        <v>2595</v>
      </c>
    </row>
    <row r="1253" spans="1:4" s="23" customFormat="1" ht="22.5" customHeight="1" x14ac:dyDescent="0.25">
      <c r="A1253" s="667">
        <v>1245</v>
      </c>
      <c r="B1253" s="886" t="s">
        <v>4203</v>
      </c>
      <c r="C1253" s="885" t="s">
        <v>4204</v>
      </c>
      <c r="D1253" s="669">
        <v>3785</v>
      </c>
    </row>
    <row r="1254" spans="1:4" s="23" customFormat="1" ht="22.5" customHeight="1" x14ac:dyDescent="0.25">
      <c r="A1254" s="667">
        <v>1246</v>
      </c>
      <c r="B1254" s="886" t="s">
        <v>4203</v>
      </c>
      <c r="C1254" s="885" t="s">
        <v>4204</v>
      </c>
      <c r="D1254" s="669">
        <v>3785</v>
      </c>
    </row>
    <row r="1255" spans="1:4" s="23" customFormat="1" ht="22.5" customHeight="1" x14ac:dyDescent="0.25">
      <c r="A1255" s="667">
        <v>1247</v>
      </c>
      <c r="B1255" s="886" t="s">
        <v>4205</v>
      </c>
      <c r="C1255" s="885" t="s">
        <v>4206</v>
      </c>
      <c r="D1255" s="669">
        <v>3275</v>
      </c>
    </row>
    <row r="1256" spans="1:4" s="23" customFormat="1" ht="22.5" customHeight="1" x14ac:dyDescent="0.25">
      <c r="A1256" s="667">
        <v>1248</v>
      </c>
      <c r="B1256" s="886" t="s">
        <v>4207</v>
      </c>
      <c r="C1256" s="885" t="s">
        <v>4208</v>
      </c>
      <c r="D1256" s="669">
        <v>2922.4</v>
      </c>
    </row>
    <row r="1257" spans="1:4" s="23" customFormat="1" ht="22.5" customHeight="1" x14ac:dyDescent="0.25">
      <c r="A1257" s="667">
        <v>1249</v>
      </c>
      <c r="B1257" s="886" t="s">
        <v>4209</v>
      </c>
      <c r="C1257" s="885" t="s">
        <v>4208</v>
      </c>
      <c r="D1257" s="669">
        <v>2922.41</v>
      </c>
    </row>
    <row r="1258" spans="1:4" s="23" customFormat="1" ht="22.5" customHeight="1" x14ac:dyDescent="0.25">
      <c r="A1258" s="667">
        <v>1250</v>
      </c>
      <c r="B1258" s="886" t="s">
        <v>4210</v>
      </c>
      <c r="C1258" s="885" t="s">
        <v>4211</v>
      </c>
      <c r="D1258" s="669">
        <v>6350.86</v>
      </c>
    </row>
    <row r="1259" spans="1:4" s="23" customFormat="1" ht="22.5" customHeight="1" x14ac:dyDescent="0.25">
      <c r="A1259" s="667">
        <v>1251</v>
      </c>
      <c r="B1259" s="886" t="s">
        <v>4212</v>
      </c>
      <c r="C1259" s="885" t="s">
        <v>4213</v>
      </c>
      <c r="D1259" s="669">
        <v>675</v>
      </c>
    </row>
    <row r="1260" spans="1:4" s="23" customFormat="1" ht="22.5" customHeight="1" x14ac:dyDescent="0.25">
      <c r="A1260" s="667">
        <v>1252</v>
      </c>
      <c r="B1260" s="886" t="s">
        <v>4214</v>
      </c>
      <c r="C1260" s="885" t="s">
        <v>4213</v>
      </c>
      <c r="D1260" s="669">
        <v>675</v>
      </c>
    </row>
    <row r="1261" spans="1:4" s="23" customFormat="1" ht="22.5" customHeight="1" x14ac:dyDescent="0.25">
      <c r="A1261" s="667">
        <v>1253</v>
      </c>
      <c r="B1261" s="886" t="s">
        <v>4215</v>
      </c>
      <c r="C1261" s="885" t="s">
        <v>4213</v>
      </c>
      <c r="D1261" s="669">
        <v>675</v>
      </c>
    </row>
    <row r="1262" spans="1:4" s="23" customFormat="1" ht="22.5" customHeight="1" x14ac:dyDescent="0.25">
      <c r="A1262" s="667">
        <v>1254</v>
      </c>
      <c r="B1262" s="886" t="s">
        <v>4216</v>
      </c>
      <c r="C1262" s="885" t="s">
        <v>4217</v>
      </c>
      <c r="D1262" s="669">
        <v>3550</v>
      </c>
    </row>
    <row r="1263" spans="1:4" s="23" customFormat="1" ht="22.5" customHeight="1" x14ac:dyDescent="0.25">
      <c r="A1263" s="667">
        <v>1255</v>
      </c>
      <c r="B1263" s="886" t="s">
        <v>4218</v>
      </c>
      <c r="C1263" s="885" t="s">
        <v>4217</v>
      </c>
      <c r="D1263" s="669">
        <v>3550</v>
      </c>
    </row>
    <row r="1264" spans="1:4" s="23" customFormat="1" ht="22.5" customHeight="1" x14ac:dyDescent="0.25">
      <c r="A1264" s="667">
        <v>1256</v>
      </c>
      <c r="B1264" s="886" t="s">
        <v>4219</v>
      </c>
      <c r="C1264" s="885" t="s">
        <v>4217</v>
      </c>
      <c r="D1264" s="669">
        <v>3550</v>
      </c>
    </row>
    <row r="1265" spans="1:4" s="23" customFormat="1" ht="22.5" customHeight="1" x14ac:dyDescent="0.25">
      <c r="A1265" s="667">
        <v>1257</v>
      </c>
      <c r="B1265" s="886" t="s">
        <v>4220</v>
      </c>
      <c r="C1265" s="885" t="s">
        <v>4221</v>
      </c>
      <c r="D1265" s="669">
        <v>3150</v>
      </c>
    </row>
    <row r="1266" spans="1:4" s="23" customFormat="1" ht="22.5" customHeight="1" x14ac:dyDescent="0.25">
      <c r="A1266" s="667">
        <v>1258</v>
      </c>
      <c r="B1266" s="886" t="s">
        <v>4222</v>
      </c>
      <c r="C1266" s="885" t="s">
        <v>4221</v>
      </c>
      <c r="D1266" s="669">
        <v>3150</v>
      </c>
    </row>
    <row r="1267" spans="1:4" s="23" customFormat="1" ht="22.5" customHeight="1" x14ac:dyDescent="0.25">
      <c r="A1267" s="667">
        <v>1259</v>
      </c>
      <c r="B1267" s="886" t="s">
        <v>4223</v>
      </c>
      <c r="C1267" s="885" t="s">
        <v>4221</v>
      </c>
      <c r="D1267" s="669">
        <v>3150</v>
      </c>
    </row>
    <row r="1268" spans="1:4" s="23" customFormat="1" ht="22.5" customHeight="1" x14ac:dyDescent="0.25">
      <c r="A1268" s="667">
        <v>1260</v>
      </c>
      <c r="B1268" s="886" t="s">
        <v>4224</v>
      </c>
      <c r="C1268" s="885" t="s">
        <v>4225</v>
      </c>
      <c r="D1268" s="669">
        <v>1245</v>
      </c>
    </row>
    <row r="1269" spans="1:4" s="23" customFormat="1" ht="22.5" customHeight="1" x14ac:dyDescent="0.25">
      <c r="A1269" s="667">
        <v>1261</v>
      </c>
      <c r="B1269" s="886" t="s">
        <v>4226</v>
      </c>
      <c r="C1269" s="885" t="s">
        <v>4227</v>
      </c>
      <c r="D1269" s="669">
        <v>2875</v>
      </c>
    </row>
    <row r="1270" spans="1:4" s="23" customFormat="1" ht="22.5" customHeight="1" x14ac:dyDescent="0.25">
      <c r="A1270" s="667">
        <v>1262</v>
      </c>
      <c r="B1270" s="886" t="s">
        <v>4228</v>
      </c>
      <c r="C1270" s="885" t="s">
        <v>4229</v>
      </c>
      <c r="D1270" s="669">
        <v>3875</v>
      </c>
    </row>
    <row r="1271" spans="1:4" s="23" customFormat="1" ht="22.5" customHeight="1" x14ac:dyDescent="0.25">
      <c r="A1271" s="667">
        <v>1263</v>
      </c>
      <c r="B1271" s="886" t="s">
        <v>4230</v>
      </c>
      <c r="C1271" s="885" t="s">
        <v>4231</v>
      </c>
      <c r="D1271" s="669">
        <v>975</v>
      </c>
    </row>
    <row r="1272" spans="1:4" s="23" customFormat="1" ht="22.5" customHeight="1" x14ac:dyDescent="0.25">
      <c r="A1272" s="667">
        <v>1264</v>
      </c>
      <c r="B1272" s="886" t="s">
        <v>4232</v>
      </c>
      <c r="C1272" s="885" t="s">
        <v>4233</v>
      </c>
      <c r="D1272" s="669">
        <v>975</v>
      </c>
    </row>
    <row r="1273" spans="1:4" s="23" customFormat="1" ht="22.5" customHeight="1" x14ac:dyDescent="0.25">
      <c r="A1273" s="667">
        <v>1265</v>
      </c>
      <c r="B1273" s="886" t="s">
        <v>4234</v>
      </c>
      <c r="C1273" s="885" t="s">
        <v>4235</v>
      </c>
      <c r="D1273" s="669">
        <v>2895</v>
      </c>
    </row>
    <row r="1274" spans="1:4" s="23" customFormat="1" ht="22.5" customHeight="1" x14ac:dyDescent="0.25">
      <c r="A1274" s="667">
        <v>1266</v>
      </c>
      <c r="B1274" s="886" t="s">
        <v>4236</v>
      </c>
      <c r="C1274" s="885" t="s">
        <v>4237</v>
      </c>
      <c r="D1274" s="669">
        <v>6885</v>
      </c>
    </row>
    <row r="1275" spans="1:4" s="23" customFormat="1" ht="22.5" customHeight="1" x14ac:dyDescent="0.25">
      <c r="A1275" s="667">
        <v>1267</v>
      </c>
      <c r="B1275" s="886" t="s">
        <v>4238</v>
      </c>
      <c r="C1275" s="885" t="s">
        <v>4239</v>
      </c>
      <c r="D1275" s="669">
        <v>3890</v>
      </c>
    </row>
    <row r="1276" spans="1:4" s="23" customFormat="1" ht="22.5" customHeight="1" x14ac:dyDescent="0.25">
      <c r="A1276" s="667">
        <v>1268</v>
      </c>
      <c r="B1276" s="886" t="s">
        <v>4240</v>
      </c>
      <c r="C1276" s="885" t="s">
        <v>4241</v>
      </c>
      <c r="D1276" s="669">
        <v>3550</v>
      </c>
    </row>
    <row r="1277" spans="1:4" s="23" customFormat="1" ht="22.5" customHeight="1" x14ac:dyDescent="0.25">
      <c r="A1277" s="667">
        <v>1269</v>
      </c>
      <c r="B1277" s="886" t="s">
        <v>4242</v>
      </c>
      <c r="C1277" s="885" t="s">
        <v>4217</v>
      </c>
      <c r="D1277" s="669">
        <v>7409.49</v>
      </c>
    </row>
    <row r="1278" spans="1:4" s="23" customFormat="1" ht="22.5" customHeight="1" x14ac:dyDescent="0.25">
      <c r="A1278" s="667">
        <v>1270</v>
      </c>
      <c r="B1278" s="886" t="s">
        <v>4243</v>
      </c>
      <c r="C1278" s="885" t="s">
        <v>4244</v>
      </c>
      <c r="D1278" s="669">
        <v>2500</v>
      </c>
    </row>
    <row r="1279" spans="1:4" s="23" customFormat="1" ht="22.5" customHeight="1" x14ac:dyDescent="0.25">
      <c r="A1279" s="667">
        <v>1271</v>
      </c>
      <c r="B1279" s="886" t="s">
        <v>4245</v>
      </c>
      <c r="C1279" s="885" t="s">
        <v>4244</v>
      </c>
      <c r="D1279" s="669">
        <v>2500</v>
      </c>
    </row>
    <row r="1280" spans="1:4" s="23" customFormat="1" ht="22.5" customHeight="1" x14ac:dyDescent="0.25">
      <c r="A1280" s="667">
        <v>1272</v>
      </c>
      <c r="B1280" s="886" t="s">
        <v>4246</v>
      </c>
      <c r="C1280" s="885" t="s">
        <v>4247</v>
      </c>
      <c r="D1280" s="669">
        <v>7758.63</v>
      </c>
    </row>
    <row r="1281" spans="1:4" s="23" customFormat="1" ht="22.5" customHeight="1" x14ac:dyDescent="0.25">
      <c r="A1281" s="667">
        <v>1273</v>
      </c>
      <c r="B1281" s="886" t="s">
        <v>4248</v>
      </c>
      <c r="C1281" s="885" t="s">
        <v>4249</v>
      </c>
      <c r="D1281" s="669">
        <v>7758.63</v>
      </c>
    </row>
    <row r="1282" spans="1:4" s="23" customFormat="1" ht="22.5" customHeight="1" x14ac:dyDescent="0.25">
      <c r="A1282" s="667">
        <v>1274</v>
      </c>
      <c r="B1282" s="886" t="s">
        <v>4250</v>
      </c>
      <c r="C1282" s="885" t="s">
        <v>4251</v>
      </c>
      <c r="D1282" s="669">
        <v>7758.63</v>
      </c>
    </row>
    <row r="1283" spans="1:4" s="23" customFormat="1" ht="22.5" customHeight="1" x14ac:dyDescent="0.25">
      <c r="A1283" s="667">
        <v>1275</v>
      </c>
      <c r="B1283" s="886" t="s">
        <v>4252</v>
      </c>
      <c r="C1283" s="885" t="s">
        <v>4253</v>
      </c>
      <c r="D1283" s="669">
        <v>6120.69</v>
      </c>
    </row>
    <row r="1284" spans="1:4" s="23" customFormat="1" ht="22.5" customHeight="1" x14ac:dyDescent="0.25">
      <c r="A1284" s="667">
        <v>1276</v>
      </c>
      <c r="B1284" s="886" t="s">
        <v>4254</v>
      </c>
      <c r="C1284" s="885" t="s">
        <v>4255</v>
      </c>
      <c r="D1284" s="669">
        <v>7758.63</v>
      </c>
    </row>
    <row r="1285" spans="1:4" s="23" customFormat="1" ht="22.5" customHeight="1" x14ac:dyDescent="0.25">
      <c r="A1285" s="667">
        <v>1277</v>
      </c>
      <c r="B1285" s="886" t="s">
        <v>4256</v>
      </c>
      <c r="C1285" s="885" t="s">
        <v>4257</v>
      </c>
      <c r="D1285" s="669">
        <v>6120.69</v>
      </c>
    </row>
    <row r="1286" spans="1:4" s="23" customFormat="1" ht="22.5" customHeight="1" x14ac:dyDescent="0.25">
      <c r="A1286" s="667">
        <v>1278</v>
      </c>
      <c r="B1286" s="886" t="s">
        <v>4258</v>
      </c>
      <c r="C1286" s="885" t="s">
        <v>4259</v>
      </c>
      <c r="D1286" s="669">
        <v>6120.69</v>
      </c>
    </row>
    <row r="1287" spans="1:4" s="23" customFormat="1" ht="22.5" customHeight="1" x14ac:dyDescent="0.25">
      <c r="A1287" s="667">
        <v>1279</v>
      </c>
      <c r="B1287" s="886" t="s">
        <v>4260</v>
      </c>
      <c r="C1287" s="885" t="s">
        <v>4261</v>
      </c>
      <c r="D1287" s="669">
        <v>2920</v>
      </c>
    </row>
    <row r="1288" spans="1:4" s="23" customFormat="1" ht="22.5" customHeight="1" x14ac:dyDescent="0.25">
      <c r="A1288" s="667">
        <v>1280</v>
      </c>
      <c r="B1288" s="886" t="s">
        <v>4262</v>
      </c>
      <c r="C1288" s="885" t="s">
        <v>4263</v>
      </c>
      <c r="D1288" s="669">
        <v>3870.69</v>
      </c>
    </row>
    <row r="1289" spans="1:4" s="23" customFormat="1" ht="22.5" customHeight="1" x14ac:dyDescent="0.25">
      <c r="A1289" s="667">
        <v>1281</v>
      </c>
      <c r="B1289" s="886" t="s">
        <v>4264</v>
      </c>
      <c r="C1289" s="885" t="s">
        <v>4265</v>
      </c>
      <c r="D1289" s="669">
        <v>8879.31</v>
      </c>
    </row>
    <row r="1290" spans="1:4" s="23" customFormat="1" ht="22.5" customHeight="1" x14ac:dyDescent="0.25">
      <c r="A1290" s="667">
        <v>1282</v>
      </c>
      <c r="B1290" s="886" t="s">
        <v>4266</v>
      </c>
      <c r="C1290" s="885" t="s">
        <v>4267</v>
      </c>
      <c r="D1290" s="669">
        <v>4568.96</v>
      </c>
    </row>
    <row r="1291" spans="1:4" s="23" customFormat="1" ht="22.5" customHeight="1" x14ac:dyDescent="0.25">
      <c r="A1291" s="667">
        <v>1283</v>
      </c>
      <c r="B1291" s="886" t="s">
        <v>4268</v>
      </c>
      <c r="C1291" s="885" t="s">
        <v>4269</v>
      </c>
      <c r="D1291" s="669">
        <v>4568.97</v>
      </c>
    </row>
    <row r="1292" spans="1:4" s="23" customFormat="1" ht="22.5" customHeight="1" x14ac:dyDescent="0.25">
      <c r="A1292" s="667">
        <v>1284</v>
      </c>
      <c r="B1292" s="886" t="s">
        <v>4270</v>
      </c>
      <c r="C1292" s="885" t="s">
        <v>4271</v>
      </c>
      <c r="D1292" s="669">
        <v>4450</v>
      </c>
    </row>
    <row r="1293" spans="1:4" s="23" customFormat="1" ht="22.5" customHeight="1" x14ac:dyDescent="0.25">
      <c r="A1293" s="667">
        <v>1285</v>
      </c>
      <c r="B1293" s="886" t="s">
        <v>4272</v>
      </c>
      <c r="C1293" s="885" t="s">
        <v>4273</v>
      </c>
      <c r="D1293" s="669">
        <v>4450</v>
      </c>
    </row>
    <row r="1294" spans="1:4" s="23" customFormat="1" ht="22.5" customHeight="1" x14ac:dyDescent="0.25">
      <c r="A1294" s="667">
        <v>1286</v>
      </c>
      <c r="B1294" s="886" t="s">
        <v>4274</v>
      </c>
      <c r="C1294" s="885" t="s">
        <v>4275</v>
      </c>
      <c r="D1294" s="669">
        <v>4450</v>
      </c>
    </row>
    <row r="1295" spans="1:4" s="23" customFormat="1" ht="22.5" customHeight="1" x14ac:dyDescent="0.25">
      <c r="A1295" s="667">
        <v>1287</v>
      </c>
      <c r="B1295" s="886" t="s">
        <v>4276</v>
      </c>
      <c r="C1295" s="885" t="s">
        <v>4277</v>
      </c>
      <c r="D1295" s="669">
        <v>4450</v>
      </c>
    </row>
    <row r="1296" spans="1:4" s="23" customFormat="1" ht="22.5" customHeight="1" x14ac:dyDescent="0.25">
      <c r="A1296" s="667">
        <v>1288</v>
      </c>
      <c r="B1296" s="886" t="s">
        <v>4278</v>
      </c>
      <c r="C1296" s="885" t="s">
        <v>4279</v>
      </c>
      <c r="D1296" s="669">
        <v>4450</v>
      </c>
    </row>
    <row r="1297" spans="1:4" s="23" customFormat="1" ht="22.5" customHeight="1" x14ac:dyDescent="0.25">
      <c r="A1297" s="667">
        <v>1289</v>
      </c>
      <c r="B1297" s="886" t="s">
        <v>4280</v>
      </c>
      <c r="C1297" s="885" t="s">
        <v>4281</v>
      </c>
      <c r="D1297" s="669">
        <v>4450</v>
      </c>
    </row>
    <row r="1298" spans="1:4" s="23" customFormat="1" ht="22.5" customHeight="1" x14ac:dyDescent="0.25">
      <c r="A1298" s="667">
        <v>1290</v>
      </c>
      <c r="B1298" s="886" t="s">
        <v>4282</v>
      </c>
      <c r="C1298" s="885" t="s">
        <v>4283</v>
      </c>
      <c r="D1298" s="669">
        <v>12342</v>
      </c>
    </row>
    <row r="1299" spans="1:4" s="23" customFormat="1" ht="22.5" customHeight="1" x14ac:dyDescent="0.25">
      <c r="A1299" s="667">
        <v>1291</v>
      </c>
      <c r="B1299" s="886" t="s">
        <v>4284</v>
      </c>
      <c r="C1299" s="885" t="s">
        <v>4285</v>
      </c>
      <c r="D1299" s="669">
        <v>12342</v>
      </c>
    </row>
    <row r="1300" spans="1:4" s="23" customFormat="1" ht="22.5" customHeight="1" x14ac:dyDescent="0.25">
      <c r="A1300" s="667">
        <v>1292</v>
      </c>
      <c r="B1300" s="886" t="s">
        <v>4286</v>
      </c>
      <c r="C1300" s="885" t="s">
        <v>4287</v>
      </c>
      <c r="D1300" s="669">
        <v>1300</v>
      </c>
    </row>
    <row r="1301" spans="1:4" s="23" customFormat="1" ht="22.5" customHeight="1" x14ac:dyDescent="0.25">
      <c r="A1301" s="667">
        <v>1293</v>
      </c>
      <c r="B1301" s="886" t="s">
        <v>4288</v>
      </c>
      <c r="C1301" s="885" t="s">
        <v>4287</v>
      </c>
      <c r="D1301" s="669">
        <v>1300</v>
      </c>
    </row>
    <row r="1302" spans="1:4" s="23" customFormat="1" ht="22.5" customHeight="1" x14ac:dyDescent="0.25">
      <c r="A1302" s="667">
        <v>1294</v>
      </c>
      <c r="B1302" s="886" t="s">
        <v>4289</v>
      </c>
      <c r="C1302" s="885" t="s">
        <v>4287</v>
      </c>
      <c r="D1302" s="669">
        <v>1300</v>
      </c>
    </row>
    <row r="1303" spans="1:4" s="23" customFormat="1" ht="22.5" customHeight="1" x14ac:dyDescent="0.25">
      <c r="A1303" s="667">
        <v>1295</v>
      </c>
      <c r="B1303" s="886" t="s">
        <v>4290</v>
      </c>
      <c r="C1303" s="885" t="s">
        <v>4287</v>
      </c>
      <c r="D1303" s="669">
        <v>1300</v>
      </c>
    </row>
    <row r="1304" spans="1:4" s="23" customFormat="1" ht="22.5" customHeight="1" x14ac:dyDescent="0.25">
      <c r="A1304" s="667">
        <v>1296</v>
      </c>
      <c r="B1304" s="886" t="s">
        <v>4291</v>
      </c>
      <c r="C1304" s="885" t="s">
        <v>4287</v>
      </c>
      <c r="D1304" s="669">
        <v>1300</v>
      </c>
    </row>
    <row r="1305" spans="1:4" s="23" customFormat="1" ht="22.5" customHeight="1" x14ac:dyDescent="0.25">
      <c r="A1305" s="667">
        <v>1297</v>
      </c>
      <c r="B1305" s="886" t="s">
        <v>4292</v>
      </c>
      <c r="C1305" s="885" t="s">
        <v>4287</v>
      </c>
      <c r="D1305" s="669">
        <v>1300</v>
      </c>
    </row>
    <row r="1306" spans="1:4" s="23" customFormat="1" ht="22.5" customHeight="1" x14ac:dyDescent="0.25">
      <c r="A1306" s="667">
        <v>1298</v>
      </c>
      <c r="B1306" s="886" t="s">
        <v>4293</v>
      </c>
      <c r="C1306" s="885" t="s">
        <v>2588</v>
      </c>
      <c r="D1306" s="669">
        <v>2420</v>
      </c>
    </row>
    <row r="1307" spans="1:4" s="23" customFormat="1" ht="22.5" customHeight="1" x14ac:dyDescent="0.25">
      <c r="A1307" s="667">
        <v>1299</v>
      </c>
      <c r="B1307" s="886" t="s">
        <v>4294</v>
      </c>
      <c r="C1307" s="885" t="s">
        <v>2317</v>
      </c>
      <c r="D1307" s="669">
        <v>2988.85</v>
      </c>
    </row>
    <row r="1308" spans="1:4" s="23" customFormat="1" ht="22.5" customHeight="1" x14ac:dyDescent="0.25">
      <c r="A1308" s="667">
        <v>1300</v>
      </c>
      <c r="B1308" s="886" t="s">
        <v>4295</v>
      </c>
      <c r="C1308" s="885" t="s">
        <v>2317</v>
      </c>
      <c r="D1308" s="669">
        <v>2988.85</v>
      </c>
    </row>
    <row r="1309" spans="1:4" s="23" customFormat="1" ht="22.5" customHeight="1" x14ac:dyDescent="0.25">
      <c r="A1309" s="667">
        <v>1301</v>
      </c>
      <c r="B1309" s="886" t="s">
        <v>4296</v>
      </c>
      <c r="C1309" s="885" t="s">
        <v>2377</v>
      </c>
      <c r="D1309" s="669">
        <v>5415</v>
      </c>
    </row>
    <row r="1310" spans="1:4" s="23" customFormat="1" ht="22.5" customHeight="1" x14ac:dyDescent="0.25">
      <c r="A1310" s="667">
        <v>1302</v>
      </c>
      <c r="B1310" s="886" t="s">
        <v>4297</v>
      </c>
      <c r="C1310" s="885" t="s">
        <v>4298</v>
      </c>
      <c r="D1310" s="669">
        <v>431.55</v>
      </c>
    </row>
    <row r="1311" spans="1:4" s="23" customFormat="1" ht="22.5" customHeight="1" x14ac:dyDescent="0.25">
      <c r="A1311" s="667">
        <v>1303</v>
      </c>
      <c r="B1311" s="886" t="s">
        <v>4299</v>
      </c>
      <c r="C1311" s="885" t="s">
        <v>2377</v>
      </c>
      <c r="D1311" s="669">
        <v>5415</v>
      </c>
    </row>
    <row r="1312" spans="1:4" s="23" customFormat="1" ht="22.5" customHeight="1" x14ac:dyDescent="0.25">
      <c r="A1312" s="667">
        <v>1304</v>
      </c>
      <c r="B1312" s="886" t="s">
        <v>4300</v>
      </c>
      <c r="C1312" s="885" t="s">
        <v>2377</v>
      </c>
      <c r="D1312" s="669">
        <v>5415</v>
      </c>
    </row>
    <row r="1313" spans="1:4" s="23" customFormat="1" ht="22.5" customHeight="1" x14ac:dyDescent="0.25">
      <c r="A1313" s="667">
        <v>1305</v>
      </c>
      <c r="B1313" s="886" t="s">
        <v>4301</v>
      </c>
      <c r="C1313" s="885" t="s">
        <v>2300</v>
      </c>
      <c r="D1313" s="669">
        <v>1450</v>
      </c>
    </row>
    <row r="1314" spans="1:4" s="23" customFormat="1" ht="22.5" customHeight="1" x14ac:dyDescent="0.25">
      <c r="A1314" s="667">
        <v>1306</v>
      </c>
      <c r="B1314" s="886" t="s">
        <v>4302</v>
      </c>
      <c r="C1314" s="885" t="s">
        <v>2310</v>
      </c>
      <c r="D1314" s="669">
        <v>1322</v>
      </c>
    </row>
    <row r="1315" spans="1:4" s="23" customFormat="1" ht="22.5" customHeight="1" x14ac:dyDescent="0.25">
      <c r="A1315" s="667">
        <v>1307</v>
      </c>
      <c r="B1315" s="886" t="s">
        <v>4303</v>
      </c>
      <c r="C1315" s="885" t="s">
        <v>4304</v>
      </c>
      <c r="D1315" s="669">
        <v>4225</v>
      </c>
    </row>
    <row r="1316" spans="1:4" s="23" customFormat="1" ht="22.5" customHeight="1" x14ac:dyDescent="0.25">
      <c r="A1316" s="667">
        <v>1308</v>
      </c>
      <c r="B1316" s="886" t="s">
        <v>4305</v>
      </c>
      <c r="C1316" s="885" t="s">
        <v>4306</v>
      </c>
      <c r="D1316" s="669">
        <v>10631</v>
      </c>
    </row>
    <row r="1317" spans="1:4" s="23" customFormat="1" ht="22.5" customHeight="1" x14ac:dyDescent="0.25">
      <c r="A1317" s="667">
        <v>1309</v>
      </c>
      <c r="B1317" s="886" t="s">
        <v>4307</v>
      </c>
      <c r="C1317" s="885" t="s">
        <v>2300</v>
      </c>
      <c r="D1317" s="669">
        <v>1450</v>
      </c>
    </row>
    <row r="1318" spans="1:4" s="23" customFormat="1" ht="22.5" customHeight="1" x14ac:dyDescent="0.25">
      <c r="A1318" s="667">
        <v>1310</v>
      </c>
      <c r="B1318" s="886" t="s">
        <v>4308</v>
      </c>
      <c r="C1318" s="885" t="s">
        <v>2300</v>
      </c>
      <c r="D1318" s="669">
        <v>1450</v>
      </c>
    </row>
    <row r="1319" spans="1:4" s="23" customFormat="1" ht="22.5" customHeight="1" x14ac:dyDescent="0.25">
      <c r="A1319" s="667">
        <v>1311</v>
      </c>
      <c r="B1319" s="886" t="s">
        <v>4309</v>
      </c>
      <c r="C1319" s="885" t="s">
        <v>2377</v>
      </c>
      <c r="D1319" s="669">
        <v>5415</v>
      </c>
    </row>
    <row r="1320" spans="1:4" s="23" customFormat="1" ht="22.5" customHeight="1" x14ac:dyDescent="0.25">
      <c r="A1320" s="667">
        <v>1312</v>
      </c>
      <c r="B1320" s="886" t="s">
        <v>4310</v>
      </c>
      <c r="C1320" s="885" t="s">
        <v>4311</v>
      </c>
      <c r="D1320" s="669">
        <v>8500</v>
      </c>
    </row>
    <row r="1321" spans="1:4" s="23" customFormat="1" ht="22.5" customHeight="1" x14ac:dyDescent="0.25">
      <c r="A1321" s="667">
        <v>1313</v>
      </c>
      <c r="B1321" s="886" t="s">
        <v>4312</v>
      </c>
      <c r="C1321" s="885" t="s">
        <v>2300</v>
      </c>
      <c r="D1321" s="669">
        <v>1450</v>
      </c>
    </row>
    <row r="1322" spans="1:4" s="23" customFormat="1" ht="22.5" customHeight="1" x14ac:dyDescent="0.25">
      <c r="A1322" s="667">
        <v>1314</v>
      </c>
      <c r="B1322" s="886" t="s">
        <v>4313</v>
      </c>
      <c r="C1322" s="885" t="s">
        <v>2312</v>
      </c>
      <c r="D1322" s="669">
        <v>1850</v>
      </c>
    </row>
    <row r="1323" spans="1:4" s="23" customFormat="1" ht="22.5" customHeight="1" x14ac:dyDescent="0.25">
      <c r="A1323" s="667">
        <v>1315</v>
      </c>
      <c r="B1323" s="886" t="s">
        <v>4314</v>
      </c>
      <c r="C1323" s="885" t="s">
        <v>4315</v>
      </c>
      <c r="D1323" s="669">
        <v>3035</v>
      </c>
    </row>
    <row r="1324" spans="1:4" s="23" customFormat="1" ht="38.25" x14ac:dyDescent="0.25">
      <c r="A1324" s="667">
        <v>1316</v>
      </c>
      <c r="B1324" s="886" t="s">
        <v>4316</v>
      </c>
      <c r="C1324" s="885" t="s">
        <v>2269</v>
      </c>
      <c r="D1324" s="669">
        <v>1450</v>
      </c>
    </row>
    <row r="1325" spans="1:4" s="23" customFormat="1" ht="38.25" x14ac:dyDescent="0.25">
      <c r="A1325" s="667">
        <v>1317</v>
      </c>
      <c r="B1325" s="886" t="s">
        <v>4317</v>
      </c>
      <c r="C1325" s="885" t="s">
        <v>2269</v>
      </c>
      <c r="D1325" s="669">
        <v>1450</v>
      </c>
    </row>
    <row r="1326" spans="1:4" s="23" customFormat="1" ht="38.25" x14ac:dyDescent="0.25">
      <c r="A1326" s="667">
        <v>1318</v>
      </c>
      <c r="B1326" s="886" t="s">
        <v>4318</v>
      </c>
      <c r="C1326" s="885" t="s">
        <v>2269</v>
      </c>
      <c r="D1326" s="669">
        <v>1450</v>
      </c>
    </row>
    <row r="1327" spans="1:4" s="23" customFormat="1" ht="38.25" x14ac:dyDescent="0.25">
      <c r="A1327" s="667">
        <v>1319</v>
      </c>
      <c r="B1327" s="886" t="s">
        <v>4319</v>
      </c>
      <c r="C1327" s="885" t="s">
        <v>4287</v>
      </c>
      <c r="D1327" s="669">
        <v>1300</v>
      </c>
    </row>
    <row r="1328" spans="1:4" s="23" customFormat="1" ht="25.5" x14ac:dyDescent="0.25">
      <c r="A1328" s="667">
        <v>1320</v>
      </c>
      <c r="B1328" s="886" t="s">
        <v>4320</v>
      </c>
      <c r="C1328" s="885" t="s">
        <v>2421</v>
      </c>
      <c r="D1328" s="669">
        <v>1624</v>
      </c>
    </row>
    <row r="1329" spans="1:4" s="23" customFormat="1" x14ac:dyDescent="0.25">
      <c r="A1329" s="667">
        <v>1321</v>
      </c>
      <c r="B1329" s="886" t="s">
        <v>4321</v>
      </c>
      <c r="C1329" s="885" t="s">
        <v>4322</v>
      </c>
      <c r="D1329" s="669">
        <v>2133</v>
      </c>
    </row>
    <row r="1330" spans="1:4" s="23" customFormat="1" ht="38.25" x14ac:dyDescent="0.25">
      <c r="A1330" s="667">
        <v>1322</v>
      </c>
      <c r="B1330" s="886" t="s">
        <v>4323</v>
      </c>
      <c r="C1330" s="885" t="s">
        <v>2324</v>
      </c>
      <c r="D1330" s="669">
        <v>1385</v>
      </c>
    </row>
    <row r="1331" spans="1:4" s="23" customFormat="1" ht="63.75" x14ac:dyDescent="0.25">
      <c r="A1331" s="667">
        <v>1323</v>
      </c>
      <c r="B1331" s="886" t="s">
        <v>4324</v>
      </c>
      <c r="C1331" s="885" t="s">
        <v>2282</v>
      </c>
      <c r="D1331" s="669">
        <v>1045</v>
      </c>
    </row>
    <row r="1332" spans="1:4" s="23" customFormat="1" ht="25.5" x14ac:dyDescent="0.25">
      <c r="A1332" s="667">
        <v>1324</v>
      </c>
      <c r="B1332" s="886" t="s">
        <v>4325</v>
      </c>
      <c r="C1332" s="885" t="s">
        <v>4326</v>
      </c>
      <c r="D1332" s="669">
        <v>1322</v>
      </c>
    </row>
    <row r="1333" spans="1:4" s="23" customFormat="1" ht="25.5" x14ac:dyDescent="0.25">
      <c r="A1333" s="667">
        <v>1325</v>
      </c>
      <c r="B1333" s="886" t="s">
        <v>4327</v>
      </c>
      <c r="C1333" s="885" t="s">
        <v>4328</v>
      </c>
      <c r="D1333" s="669">
        <v>307.85000000000002</v>
      </c>
    </row>
    <row r="1334" spans="1:4" s="23" customFormat="1" ht="25.5" x14ac:dyDescent="0.25">
      <c r="A1334" s="667">
        <v>1326</v>
      </c>
      <c r="B1334" s="886" t="s">
        <v>4329</v>
      </c>
      <c r="C1334" s="885" t="s">
        <v>2511</v>
      </c>
      <c r="D1334" s="669">
        <v>307.85000000000002</v>
      </c>
    </row>
    <row r="1335" spans="1:4" s="23" customFormat="1" ht="25.5" x14ac:dyDescent="0.25">
      <c r="A1335" s="667">
        <v>1327</v>
      </c>
      <c r="B1335" s="886" t="s">
        <v>4330</v>
      </c>
      <c r="C1335" s="885" t="s">
        <v>4331</v>
      </c>
      <c r="D1335" s="669">
        <v>4900</v>
      </c>
    </row>
    <row r="1336" spans="1:4" s="23" customFormat="1" ht="25.5" x14ac:dyDescent="0.25">
      <c r="A1336" s="667">
        <v>1328</v>
      </c>
      <c r="B1336" s="886" t="s">
        <v>4332</v>
      </c>
      <c r="C1336" s="885" t="s">
        <v>2628</v>
      </c>
      <c r="D1336" s="669">
        <v>1322</v>
      </c>
    </row>
    <row r="1337" spans="1:4" s="23" customFormat="1" ht="127.5" x14ac:dyDescent="0.25">
      <c r="A1337" s="667">
        <v>1329</v>
      </c>
      <c r="B1337" s="886" t="s">
        <v>4333</v>
      </c>
      <c r="C1337" s="885" t="s">
        <v>2284</v>
      </c>
      <c r="D1337" s="669">
        <v>14000</v>
      </c>
    </row>
    <row r="1338" spans="1:4" s="23" customFormat="1" ht="63.75" x14ac:dyDescent="0.25">
      <c r="A1338" s="667">
        <v>1330</v>
      </c>
      <c r="B1338" s="886" t="s">
        <v>4334</v>
      </c>
      <c r="C1338" s="885" t="s">
        <v>2734</v>
      </c>
      <c r="D1338" s="669">
        <v>1390</v>
      </c>
    </row>
    <row r="1339" spans="1:4" s="23" customFormat="1" ht="25.5" x14ac:dyDescent="0.25">
      <c r="A1339" s="667">
        <v>1331</v>
      </c>
      <c r="B1339" s="886" t="s">
        <v>4335</v>
      </c>
      <c r="C1339" s="885" t="s">
        <v>4336</v>
      </c>
      <c r="D1339" s="669">
        <v>1322</v>
      </c>
    </row>
    <row r="1340" spans="1:4" s="23" customFormat="1" ht="38.25" x14ac:dyDescent="0.25">
      <c r="A1340" s="667">
        <v>1332</v>
      </c>
      <c r="B1340" s="886" t="s">
        <v>4337</v>
      </c>
      <c r="C1340" s="885" t="s">
        <v>2334</v>
      </c>
      <c r="D1340" s="669">
        <v>1322</v>
      </c>
    </row>
    <row r="1341" spans="1:4" s="23" customFormat="1" ht="38.25" x14ac:dyDescent="0.25">
      <c r="A1341" s="667">
        <v>1333</v>
      </c>
      <c r="B1341" s="886" t="s">
        <v>4338</v>
      </c>
      <c r="C1341" s="885" t="s">
        <v>4339</v>
      </c>
      <c r="D1341" s="669">
        <v>5220</v>
      </c>
    </row>
    <row r="1342" spans="1:4" s="23" customFormat="1" ht="25.5" x14ac:dyDescent="0.25">
      <c r="A1342" s="667">
        <v>1334</v>
      </c>
      <c r="B1342" s="886" t="s">
        <v>4340</v>
      </c>
      <c r="C1342" s="885" t="s">
        <v>4341</v>
      </c>
      <c r="D1342" s="669">
        <v>7851</v>
      </c>
    </row>
    <row r="1343" spans="1:4" s="23" customFormat="1" ht="38.25" x14ac:dyDescent="0.25">
      <c r="A1343" s="667">
        <v>1335</v>
      </c>
      <c r="B1343" s="886" t="s">
        <v>4342</v>
      </c>
      <c r="C1343" s="885" t="s">
        <v>4343</v>
      </c>
      <c r="D1343" s="669">
        <v>10276</v>
      </c>
    </row>
    <row r="1344" spans="1:4" s="23" customFormat="1" ht="25.5" x14ac:dyDescent="0.25">
      <c r="A1344" s="667">
        <v>1336</v>
      </c>
      <c r="B1344" s="886" t="s">
        <v>4344</v>
      </c>
      <c r="C1344" s="885" t="s">
        <v>4345</v>
      </c>
      <c r="D1344" s="669">
        <v>1534</v>
      </c>
    </row>
    <row r="1345" spans="1:4" s="23" customFormat="1" ht="38.25" x14ac:dyDescent="0.25">
      <c r="A1345" s="667">
        <v>1337</v>
      </c>
      <c r="B1345" s="886" t="s">
        <v>4346</v>
      </c>
      <c r="C1345" s="885" t="s">
        <v>2300</v>
      </c>
      <c r="D1345" s="669">
        <v>1450</v>
      </c>
    </row>
    <row r="1346" spans="1:4" s="23" customFormat="1" x14ac:dyDescent="0.25">
      <c r="A1346" s="667">
        <v>1338</v>
      </c>
      <c r="B1346" s="886" t="s">
        <v>4347</v>
      </c>
      <c r="C1346" s="885" t="s">
        <v>4348</v>
      </c>
      <c r="D1346" s="669">
        <v>2524</v>
      </c>
    </row>
    <row r="1347" spans="1:4" s="23" customFormat="1" ht="25.5" x14ac:dyDescent="0.25">
      <c r="A1347" s="667">
        <v>1339</v>
      </c>
      <c r="B1347" s="886" t="s">
        <v>4349</v>
      </c>
      <c r="C1347" s="885" t="s">
        <v>4350</v>
      </c>
      <c r="D1347" s="669">
        <v>615.70000000000005</v>
      </c>
    </row>
    <row r="1348" spans="1:4" s="23" customFormat="1" ht="38.25" x14ac:dyDescent="0.25">
      <c r="A1348" s="667">
        <v>1340</v>
      </c>
      <c r="B1348" s="886" t="s">
        <v>4351</v>
      </c>
      <c r="C1348" s="885" t="s">
        <v>2300</v>
      </c>
      <c r="D1348" s="669">
        <v>1450</v>
      </c>
    </row>
    <row r="1349" spans="1:4" s="23" customFormat="1" ht="38.25" x14ac:dyDescent="0.25">
      <c r="A1349" s="667">
        <v>1341</v>
      </c>
      <c r="B1349" s="886" t="s">
        <v>4352</v>
      </c>
      <c r="C1349" s="885" t="s">
        <v>2476</v>
      </c>
      <c r="D1349" s="669">
        <v>2154.33</v>
      </c>
    </row>
    <row r="1350" spans="1:4" s="23" customFormat="1" ht="38.25" x14ac:dyDescent="0.25">
      <c r="A1350" s="667">
        <v>1342</v>
      </c>
      <c r="B1350" s="886" t="s">
        <v>4353</v>
      </c>
      <c r="C1350" s="885" t="s">
        <v>4354</v>
      </c>
      <c r="D1350" s="669">
        <v>1322</v>
      </c>
    </row>
    <row r="1351" spans="1:4" s="23" customFormat="1" ht="25.5" x14ac:dyDescent="0.25">
      <c r="A1351" s="667">
        <v>1343</v>
      </c>
      <c r="B1351" s="886" t="s">
        <v>4355</v>
      </c>
      <c r="C1351" s="885" t="s">
        <v>4336</v>
      </c>
      <c r="D1351" s="669">
        <v>1322</v>
      </c>
    </row>
    <row r="1352" spans="1:4" s="23" customFormat="1" x14ac:dyDescent="0.25">
      <c r="A1352" s="667">
        <v>1344</v>
      </c>
      <c r="B1352" s="886" t="s">
        <v>4356</v>
      </c>
      <c r="C1352" s="885" t="s">
        <v>4357</v>
      </c>
      <c r="D1352" s="669">
        <v>1392</v>
      </c>
    </row>
    <row r="1353" spans="1:4" s="23" customFormat="1" ht="38.25" x14ac:dyDescent="0.25">
      <c r="A1353" s="667">
        <v>1345</v>
      </c>
      <c r="B1353" s="886" t="s">
        <v>4358</v>
      </c>
      <c r="C1353" s="885" t="s">
        <v>2425</v>
      </c>
      <c r="D1353" s="669">
        <v>1322</v>
      </c>
    </row>
    <row r="1354" spans="1:4" s="23" customFormat="1" x14ac:dyDescent="0.25">
      <c r="A1354" s="667">
        <v>1346</v>
      </c>
      <c r="B1354" s="886" t="s">
        <v>4359</v>
      </c>
      <c r="C1354" s="885" t="s">
        <v>4360</v>
      </c>
      <c r="D1354" s="669">
        <v>2805.01</v>
      </c>
    </row>
    <row r="1355" spans="1:4" s="23" customFormat="1" ht="25.5" x14ac:dyDescent="0.25">
      <c r="A1355" s="667">
        <v>1347</v>
      </c>
      <c r="B1355" s="886" t="s">
        <v>4361</v>
      </c>
      <c r="C1355" s="885" t="s">
        <v>2838</v>
      </c>
      <c r="D1355" s="669">
        <v>670.5</v>
      </c>
    </row>
    <row r="1356" spans="1:4" s="23" customFormat="1" ht="38.25" x14ac:dyDescent="0.25">
      <c r="A1356" s="667">
        <v>1348</v>
      </c>
      <c r="B1356" s="886" t="s">
        <v>4362</v>
      </c>
      <c r="C1356" s="885" t="s">
        <v>2476</v>
      </c>
      <c r="D1356" s="669">
        <v>4327</v>
      </c>
    </row>
    <row r="1357" spans="1:4" s="23" customFormat="1" x14ac:dyDescent="0.25">
      <c r="A1357" s="667">
        <v>1349</v>
      </c>
      <c r="B1357" s="886" t="s">
        <v>4363</v>
      </c>
      <c r="C1357" s="885" t="s">
        <v>4364</v>
      </c>
      <c r="D1357" s="669">
        <v>2606.8000000000002</v>
      </c>
    </row>
    <row r="1358" spans="1:4" s="23" customFormat="1" x14ac:dyDescent="0.25">
      <c r="A1358" s="667">
        <v>1350</v>
      </c>
      <c r="B1358" s="886" t="s">
        <v>4365</v>
      </c>
      <c r="C1358" s="885" t="s">
        <v>3579</v>
      </c>
      <c r="D1358" s="669">
        <v>233805</v>
      </c>
    </row>
    <row r="1359" spans="1:4" s="23" customFormat="1" x14ac:dyDescent="0.25">
      <c r="A1359" s="667">
        <v>1351</v>
      </c>
      <c r="B1359" s="886" t="s">
        <v>4366</v>
      </c>
      <c r="C1359" s="885" t="s">
        <v>3579</v>
      </c>
      <c r="D1359" s="669">
        <v>219000</v>
      </c>
    </row>
    <row r="1360" spans="1:4" s="23" customFormat="1" x14ac:dyDescent="0.25">
      <c r="A1360" s="667">
        <v>1352</v>
      </c>
      <c r="B1360" s="886" t="s">
        <v>4367</v>
      </c>
      <c r="C1360" s="885" t="s">
        <v>3579</v>
      </c>
      <c r="D1360" s="669">
        <v>219000</v>
      </c>
    </row>
    <row r="1361" spans="1:4" s="23" customFormat="1" ht="38.25" x14ac:dyDescent="0.25">
      <c r="A1361" s="667">
        <v>1353</v>
      </c>
      <c r="B1361" s="886" t="s">
        <v>4368</v>
      </c>
      <c r="C1361" s="885" t="s">
        <v>4369</v>
      </c>
      <c r="D1361" s="669">
        <v>1</v>
      </c>
    </row>
    <row r="1362" spans="1:4" s="23" customFormat="1" ht="51" x14ac:dyDescent="0.25">
      <c r="A1362" s="667">
        <v>1354</v>
      </c>
      <c r="B1362" s="886" t="s">
        <v>4370</v>
      </c>
      <c r="C1362" s="885" t="s">
        <v>4371</v>
      </c>
      <c r="D1362" s="669">
        <v>1</v>
      </c>
    </row>
    <row r="1363" spans="1:4" s="23" customFormat="1" ht="51" x14ac:dyDescent="0.25">
      <c r="A1363" s="667">
        <v>1355</v>
      </c>
      <c r="B1363" s="886" t="s">
        <v>4372</v>
      </c>
      <c r="C1363" s="885" t="s">
        <v>4373</v>
      </c>
      <c r="D1363" s="669">
        <v>1</v>
      </c>
    </row>
    <row r="1364" spans="1:4" s="23" customFormat="1" ht="38.25" x14ac:dyDescent="0.25">
      <c r="A1364" s="667">
        <v>1356</v>
      </c>
      <c r="B1364" s="886" t="s">
        <v>4374</v>
      </c>
      <c r="C1364" s="885" t="s">
        <v>4375</v>
      </c>
      <c r="D1364" s="669">
        <v>1</v>
      </c>
    </row>
    <row r="1365" spans="1:4" s="23" customFormat="1" ht="38.25" x14ac:dyDescent="0.25">
      <c r="A1365" s="667">
        <v>1357</v>
      </c>
      <c r="B1365" s="886" t="s">
        <v>4376</v>
      </c>
      <c r="C1365" s="885" t="s">
        <v>4377</v>
      </c>
      <c r="D1365" s="669">
        <v>1</v>
      </c>
    </row>
    <row r="1366" spans="1:4" s="23" customFormat="1" ht="38.25" x14ac:dyDescent="0.25">
      <c r="A1366" s="667">
        <v>1358</v>
      </c>
      <c r="B1366" s="886" t="s">
        <v>4378</v>
      </c>
      <c r="C1366" s="885" t="s">
        <v>4379</v>
      </c>
      <c r="D1366" s="669">
        <v>1</v>
      </c>
    </row>
    <row r="1367" spans="1:4" s="23" customFormat="1" ht="38.25" x14ac:dyDescent="0.25">
      <c r="A1367" s="667">
        <v>1359</v>
      </c>
      <c r="B1367" s="886" t="s">
        <v>4380</v>
      </c>
      <c r="C1367" s="885" t="s">
        <v>4381</v>
      </c>
      <c r="D1367" s="669">
        <v>1</v>
      </c>
    </row>
    <row r="1368" spans="1:4" s="23" customFormat="1" ht="38.25" x14ac:dyDescent="0.25">
      <c r="A1368" s="667">
        <v>1360</v>
      </c>
      <c r="B1368" s="886" t="s">
        <v>4382</v>
      </c>
      <c r="C1368" s="885" t="s">
        <v>4383</v>
      </c>
      <c r="D1368" s="669">
        <v>248617.39</v>
      </c>
    </row>
    <row r="1369" spans="1:4" s="23" customFormat="1" ht="38.25" x14ac:dyDescent="0.25">
      <c r="A1369" s="667">
        <v>1361</v>
      </c>
      <c r="B1369" s="886" t="s">
        <v>4384</v>
      </c>
      <c r="C1369" s="885" t="s">
        <v>4385</v>
      </c>
      <c r="D1369" s="669">
        <v>288500</v>
      </c>
    </row>
    <row r="1370" spans="1:4" s="23" customFormat="1" ht="38.25" x14ac:dyDescent="0.25">
      <c r="A1370" s="667">
        <v>1362</v>
      </c>
      <c r="B1370" s="886" t="s">
        <v>4386</v>
      </c>
      <c r="C1370" s="885" t="s">
        <v>4387</v>
      </c>
      <c r="D1370" s="669">
        <v>172437.07</v>
      </c>
    </row>
    <row r="1371" spans="1:4" s="23" customFormat="1" ht="38.25" x14ac:dyDescent="0.25">
      <c r="A1371" s="667">
        <v>1363</v>
      </c>
      <c r="B1371" s="886" t="s">
        <v>4388</v>
      </c>
      <c r="C1371" s="885" t="s">
        <v>4389</v>
      </c>
      <c r="D1371" s="669">
        <v>11303.48</v>
      </c>
    </row>
    <row r="1372" spans="1:4" s="23" customFormat="1" ht="51" x14ac:dyDescent="0.25">
      <c r="A1372" s="667">
        <v>1364</v>
      </c>
      <c r="B1372" s="886" t="s">
        <v>4390</v>
      </c>
      <c r="C1372" s="885" t="s">
        <v>4391</v>
      </c>
      <c r="D1372" s="669">
        <v>12546.72</v>
      </c>
    </row>
    <row r="1373" spans="1:4" s="23" customFormat="1" ht="51" x14ac:dyDescent="0.25">
      <c r="A1373" s="667">
        <v>1365</v>
      </c>
      <c r="B1373" s="886" t="s">
        <v>4392</v>
      </c>
      <c r="C1373" s="885" t="s">
        <v>4393</v>
      </c>
      <c r="D1373" s="669">
        <v>12547.42</v>
      </c>
    </row>
    <row r="1374" spans="1:4" s="23" customFormat="1" ht="38.25" x14ac:dyDescent="0.25">
      <c r="A1374" s="667">
        <v>1366</v>
      </c>
      <c r="B1374" s="886" t="s">
        <v>4394</v>
      </c>
      <c r="C1374" s="885" t="s">
        <v>4395</v>
      </c>
      <c r="D1374" s="669">
        <v>13533.62</v>
      </c>
    </row>
    <row r="1375" spans="1:4" s="23" customFormat="1" ht="38.25" x14ac:dyDescent="0.25">
      <c r="A1375" s="667">
        <v>1367</v>
      </c>
      <c r="B1375" s="886" t="s">
        <v>4396</v>
      </c>
      <c r="C1375" s="885" t="s">
        <v>4397</v>
      </c>
      <c r="D1375" s="669">
        <v>14223.28</v>
      </c>
    </row>
    <row r="1376" spans="1:4" s="23" customFormat="1" ht="38.25" x14ac:dyDescent="0.25">
      <c r="A1376" s="667">
        <v>1368</v>
      </c>
      <c r="B1376" s="886" t="s">
        <v>4398</v>
      </c>
      <c r="C1376" s="885" t="s">
        <v>4399</v>
      </c>
      <c r="D1376" s="669">
        <v>15085.34</v>
      </c>
    </row>
    <row r="1377" spans="1:4" s="23" customFormat="1" ht="38.25" x14ac:dyDescent="0.25">
      <c r="A1377" s="667">
        <v>1369</v>
      </c>
      <c r="B1377" s="886" t="s">
        <v>4400</v>
      </c>
      <c r="C1377" s="885" t="s">
        <v>4401</v>
      </c>
      <c r="D1377" s="669">
        <v>15085.34</v>
      </c>
    </row>
    <row r="1378" spans="1:4" s="23" customFormat="1" ht="38.25" x14ac:dyDescent="0.25">
      <c r="A1378" s="667">
        <v>1370</v>
      </c>
      <c r="B1378" s="886" t="s">
        <v>4402</v>
      </c>
      <c r="C1378" s="885" t="s">
        <v>4403</v>
      </c>
      <c r="D1378" s="669">
        <v>11206.03</v>
      </c>
    </row>
    <row r="1379" spans="1:4" s="23" customFormat="1" ht="38.25" x14ac:dyDescent="0.25">
      <c r="A1379" s="667">
        <v>1371</v>
      </c>
      <c r="B1379" s="886" t="s">
        <v>4404</v>
      </c>
      <c r="C1379" s="885" t="s">
        <v>4405</v>
      </c>
      <c r="D1379" s="669">
        <v>14654.31</v>
      </c>
    </row>
    <row r="1380" spans="1:4" s="23" customFormat="1" ht="38.25" x14ac:dyDescent="0.25">
      <c r="A1380" s="667">
        <v>1372</v>
      </c>
      <c r="B1380" s="886" t="s">
        <v>4406</v>
      </c>
      <c r="C1380" s="885" t="s">
        <v>4407</v>
      </c>
      <c r="D1380" s="669">
        <v>18964.66</v>
      </c>
    </row>
    <row r="1381" spans="1:4" s="23" customFormat="1" ht="38.25" x14ac:dyDescent="0.25">
      <c r="A1381" s="667">
        <v>1373</v>
      </c>
      <c r="B1381" s="886" t="s">
        <v>4408</v>
      </c>
      <c r="C1381" s="885" t="s">
        <v>4409</v>
      </c>
      <c r="D1381" s="669">
        <v>18102.580000000002</v>
      </c>
    </row>
    <row r="1382" spans="1:4" s="23" customFormat="1" ht="38.25" x14ac:dyDescent="0.25">
      <c r="A1382" s="667">
        <v>1374</v>
      </c>
      <c r="B1382" s="886" t="s">
        <v>4410</v>
      </c>
      <c r="C1382" s="885" t="s">
        <v>4411</v>
      </c>
      <c r="D1382" s="669">
        <v>43014.83</v>
      </c>
    </row>
    <row r="1383" spans="1:4" s="23" customFormat="1" ht="38.25" x14ac:dyDescent="0.25">
      <c r="A1383" s="667">
        <v>1375</v>
      </c>
      <c r="B1383" s="886" t="s">
        <v>4412</v>
      </c>
      <c r="C1383" s="885" t="s">
        <v>4413</v>
      </c>
      <c r="D1383" s="669">
        <v>43014.83</v>
      </c>
    </row>
    <row r="1384" spans="1:4" s="23" customFormat="1" ht="38.25" x14ac:dyDescent="0.25">
      <c r="A1384" s="667">
        <v>1376</v>
      </c>
      <c r="B1384" s="886" t="s">
        <v>4414</v>
      </c>
      <c r="C1384" s="885" t="s">
        <v>4415</v>
      </c>
      <c r="D1384" s="669">
        <v>43014.83</v>
      </c>
    </row>
    <row r="1385" spans="1:4" s="23" customFormat="1" ht="38.25" x14ac:dyDescent="0.25">
      <c r="A1385" s="667">
        <v>1377</v>
      </c>
      <c r="B1385" s="886" t="s">
        <v>4416</v>
      </c>
      <c r="C1385" s="885" t="s">
        <v>4417</v>
      </c>
      <c r="D1385" s="669">
        <v>43014.82</v>
      </c>
    </row>
    <row r="1386" spans="1:4" s="23" customFormat="1" ht="51" x14ac:dyDescent="0.25">
      <c r="A1386" s="667">
        <v>1378</v>
      </c>
      <c r="B1386" s="886" t="s">
        <v>4418</v>
      </c>
      <c r="C1386" s="885" t="s">
        <v>4419</v>
      </c>
      <c r="D1386" s="669">
        <v>17239.89</v>
      </c>
    </row>
    <row r="1387" spans="1:4" s="23" customFormat="1" ht="51" x14ac:dyDescent="0.25">
      <c r="A1387" s="667">
        <v>1379</v>
      </c>
      <c r="B1387" s="886" t="s">
        <v>4420</v>
      </c>
      <c r="C1387" s="885" t="s">
        <v>4421</v>
      </c>
      <c r="D1387" s="669">
        <v>17239.89</v>
      </c>
    </row>
    <row r="1388" spans="1:4" s="23" customFormat="1" ht="51" x14ac:dyDescent="0.25">
      <c r="A1388" s="667">
        <v>1380</v>
      </c>
      <c r="B1388" s="886" t="s">
        <v>4422</v>
      </c>
      <c r="C1388" s="885" t="s">
        <v>4423</v>
      </c>
      <c r="D1388" s="669">
        <v>19395.689999999999</v>
      </c>
    </row>
    <row r="1389" spans="1:4" s="23" customFormat="1" ht="51" x14ac:dyDescent="0.25">
      <c r="A1389" s="667">
        <v>1381</v>
      </c>
      <c r="B1389" s="886" t="s">
        <v>4424</v>
      </c>
      <c r="C1389" s="885" t="s">
        <v>4425</v>
      </c>
      <c r="D1389" s="669">
        <v>19395.689999999999</v>
      </c>
    </row>
    <row r="1390" spans="1:4" s="23" customFormat="1" ht="51" x14ac:dyDescent="0.25">
      <c r="A1390" s="667">
        <v>1382</v>
      </c>
      <c r="B1390" s="886" t="s">
        <v>4426</v>
      </c>
      <c r="C1390" s="885" t="s">
        <v>4427</v>
      </c>
      <c r="D1390" s="669">
        <v>19395.689999999999</v>
      </c>
    </row>
    <row r="1391" spans="1:4" s="23" customFormat="1" ht="51" x14ac:dyDescent="0.25">
      <c r="A1391" s="667">
        <v>1383</v>
      </c>
      <c r="B1391" s="886" t="s">
        <v>4428</v>
      </c>
      <c r="C1391" s="885" t="s">
        <v>4429</v>
      </c>
      <c r="D1391" s="669">
        <v>19395.689999999999</v>
      </c>
    </row>
    <row r="1392" spans="1:4" s="23" customFormat="1" ht="51" x14ac:dyDescent="0.25">
      <c r="A1392" s="667">
        <v>1384</v>
      </c>
      <c r="B1392" s="886" t="s">
        <v>4430</v>
      </c>
      <c r="C1392" s="885" t="s">
        <v>4431</v>
      </c>
      <c r="D1392" s="669">
        <v>19395.689999999999</v>
      </c>
    </row>
    <row r="1393" spans="1:4" s="23" customFormat="1" ht="51" x14ac:dyDescent="0.25">
      <c r="A1393" s="667">
        <v>1385</v>
      </c>
      <c r="B1393" s="886" t="s">
        <v>4432</v>
      </c>
      <c r="C1393" s="885" t="s">
        <v>4433</v>
      </c>
      <c r="D1393" s="669">
        <v>19395.689999999999</v>
      </c>
    </row>
    <row r="1394" spans="1:4" s="23" customFormat="1" ht="51" x14ac:dyDescent="0.25">
      <c r="A1394" s="667">
        <v>1386</v>
      </c>
      <c r="B1394" s="886" t="s">
        <v>4434</v>
      </c>
      <c r="C1394" s="885" t="s">
        <v>4435</v>
      </c>
      <c r="D1394" s="669">
        <v>19395.689999999999</v>
      </c>
    </row>
    <row r="1395" spans="1:4" s="23" customFormat="1" ht="51" x14ac:dyDescent="0.25">
      <c r="A1395" s="667">
        <v>1387</v>
      </c>
      <c r="B1395" s="886" t="s">
        <v>4436</v>
      </c>
      <c r="C1395" s="885" t="s">
        <v>4437</v>
      </c>
      <c r="D1395" s="669">
        <v>19395.689999999999</v>
      </c>
    </row>
    <row r="1396" spans="1:4" s="23" customFormat="1" ht="51" x14ac:dyDescent="0.25">
      <c r="A1396" s="667">
        <v>1388</v>
      </c>
      <c r="B1396" s="886" t="s">
        <v>4438</v>
      </c>
      <c r="C1396" s="885" t="s">
        <v>4439</v>
      </c>
      <c r="D1396" s="669">
        <v>19395.689999999999</v>
      </c>
    </row>
    <row r="1397" spans="1:4" s="23" customFormat="1" ht="51" x14ac:dyDescent="0.25">
      <c r="A1397" s="667">
        <v>1389</v>
      </c>
      <c r="B1397" s="886" t="s">
        <v>4440</v>
      </c>
      <c r="C1397" s="885" t="s">
        <v>4441</v>
      </c>
      <c r="D1397" s="669">
        <v>19395.689999999999</v>
      </c>
    </row>
    <row r="1398" spans="1:4" s="23" customFormat="1" ht="38.25" x14ac:dyDescent="0.25">
      <c r="A1398" s="667">
        <v>1390</v>
      </c>
      <c r="B1398" s="886" t="s">
        <v>4442</v>
      </c>
      <c r="C1398" s="885" t="s">
        <v>4443</v>
      </c>
      <c r="D1398" s="669">
        <v>14000</v>
      </c>
    </row>
    <row r="1399" spans="1:4" s="23" customFormat="1" ht="25.5" x14ac:dyDescent="0.25">
      <c r="A1399" s="667">
        <v>1391</v>
      </c>
      <c r="B1399" s="886" t="s">
        <v>4444</v>
      </c>
      <c r="C1399" s="885" t="s">
        <v>4445</v>
      </c>
      <c r="D1399" s="669">
        <v>1800</v>
      </c>
    </row>
    <row r="1400" spans="1:4" s="23" customFormat="1" ht="89.25" x14ac:dyDescent="0.25">
      <c r="A1400" s="667">
        <v>1392</v>
      </c>
      <c r="B1400" s="886" t="s">
        <v>4446</v>
      </c>
      <c r="C1400" s="885" t="s">
        <v>4447</v>
      </c>
      <c r="D1400" s="669">
        <v>2748900</v>
      </c>
    </row>
    <row r="1401" spans="1:4" s="23" customFormat="1" ht="25.5" x14ac:dyDescent="0.25">
      <c r="A1401" s="667">
        <v>1393</v>
      </c>
      <c r="B1401" s="886" t="s">
        <v>4448</v>
      </c>
      <c r="C1401" s="885" t="s">
        <v>4449</v>
      </c>
      <c r="D1401" s="669">
        <v>520000</v>
      </c>
    </row>
    <row r="1402" spans="1:4" s="23" customFormat="1" ht="25.5" x14ac:dyDescent="0.25">
      <c r="A1402" s="667">
        <v>1394</v>
      </c>
      <c r="B1402" s="886" t="s">
        <v>4448</v>
      </c>
      <c r="C1402" s="885" t="s">
        <v>4449</v>
      </c>
      <c r="D1402" s="669">
        <v>520000</v>
      </c>
    </row>
    <row r="1403" spans="1:4" s="23" customFormat="1" ht="63.75" x14ac:dyDescent="0.25">
      <c r="A1403" s="667">
        <v>1395</v>
      </c>
      <c r="B1403" s="886" t="s">
        <v>4450</v>
      </c>
      <c r="C1403" s="885" t="s">
        <v>4451</v>
      </c>
      <c r="D1403" s="669">
        <v>690000</v>
      </c>
    </row>
    <row r="1404" spans="1:4" s="23" customFormat="1" ht="63.75" x14ac:dyDescent="0.25">
      <c r="A1404" s="667">
        <v>1396</v>
      </c>
      <c r="B1404" s="886" t="s">
        <v>4452</v>
      </c>
      <c r="C1404" s="885" t="s">
        <v>4453</v>
      </c>
      <c r="D1404" s="669">
        <v>682575.1</v>
      </c>
    </row>
    <row r="1405" spans="1:4" s="23" customFormat="1" ht="25.5" x14ac:dyDescent="0.25">
      <c r="A1405" s="667">
        <v>1397</v>
      </c>
      <c r="B1405" s="886" t="s">
        <v>4454</v>
      </c>
      <c r="C1405" s="885" t="s">
        <v>4455</v>
      </c>
      <c r="D1405" s="669">
        <v>4434</v>
      </c>
    </row>
    <row r="1406" spans="1:4" s="23" customFormat="1" x14ac:dyDescent="0.25">
      <c r="A1406" s="667">
        <v>1398</v>
      </c>
      <c r="B1406" s="886" t="s">
        <v>4456</v>
      </c>
      <c r="C1406" s="885" t="s">
        <v>4457</v>
      </c>
      <c r="D1406" s="669">
        <v>32715.52</v>
      </c>
    </row>
    <row r="1407" spans="1:4" s="23" customFormat="1" ht="38.25" x14ac:dyDescent="0.25">
      <c r="A1407" s="667">
        <v>1399</v>
      </c>
      <c r="B1407" s="886" t="s">
        <v>4458</v>
      </c>
      <c r="C1407" s="885" t="s">
        <v>4459</v>
      </c>
      <c r="D1407" s="669">
        <v>230409.23</v>
      </c>
    </row>
    <row r="1408" spans="1:4" s="23" customFormat="1" ht="51" x14ac:dyDescent="0.25">
      <c r="A1408" s="667">
        <v>1400</v>
      </c>
      <c r="B1408" s="886" t="s">
        <v>4460</v>
      </c>
      <c r="C1408" s="885" t="s">
        <v>4461</v>
      </c>
      <c r="D1408" s="669">
        <v>445000</v>
      </c>
    </row>
    <row r="1409" spans="1:4" s="23" customFormat="1" ht="51" x14ac:dyDescent="0.25">
      <c r="A1409" s="667">
        <v>1401</v>
      </c>
      <c r="B1409" s="886" t="s">
        <v>4462</v>
      </c>
      <c r="C1409" s="885" t="s">
        <v>4463</v>
      </c>
      <c r="D1409" s="669">
        <v>445000</v>
      </c>
    </row>
    <row r="1410" spans="1:4" s="23" customFormat="1" ht="25.5" x14ac:dyDescent="0.25">
      <c r="A1410" s="667">
        <v>1402</v>
      </c>
      <c r="B1410" s="886" t="s">
        <v>4464</v>
      </c>
      <c r="C1410" s="885" t="s">
        <v>4465</v>
      </c>
      <c r="D1410" s="669">
        <v>1023.43</v>
      </c>
    </row>
    <row r="1411" spans="1:4" s="23" customFormat="1" ht="25.5" x14ac:dyDescent="0.25">
      <c r="A1411" s="667">
        <v>1403</v>
      </c>
      <c r="B1411" s="886" t="s">
        <v>4466</v>
      </c>
      <c r="C1411" s="885" t="s">
        <v>4465</v>
      </c>
      <c r="D1411" s="669">
        <v>1023.43</v>
      </c>
    </row>
    <row r="1412" spans="1:4" s="23" customFormat="1" ht="25.5" x14ac:dyDescent="0.25">
      <c r="A1412" s="667">
        <v>1404</v>
      </c>
      <c r="B1412" s="886" t="s">
        <v>4467</v>
      </c>
      <c r="C1412" s="885" t="s">
        <v>4465</v>
      </c>
      <c r="D1412" s="669">
        <v>1023.42</v>
      </c>
    </row>
    <row r="1413" spans="1:4" s="23" customFormat="1" x14ac:dyDescent="0.25">
      <c r="A1413" s="667">
        <v>1405</v>
      </c>
      <c r="B1413" s="886" t="s">
        <v>4468</v>
      </c>
      <c r="C1413" s="885" t="s">
        <v>4469</v>
      </c>
      <c r="D1413" s="669">
        <v>1997.66</v>
      </c>
    </row>
    <row r="1414" spans="1:4" s="23" customFormat="1" x14ac:dyDescent="0.25">
      <c r="A1414" s="667">
        <v>1406</v>
      </c>
      <c r="B1414" s="886" t="s">
        <v>4470</v>
      </c>
      <c r="C1414" s="885" t="s">
        <v>4471</v>
      </c>
      <c r="D1414" s="669">
        <v>11553.3</v>
      </c>
    </row>
    <row r="1415" spans="1:4" s="23" customFormat="1" x14ac:dyDescent="0.25">
      <c r="A1415" s="667">
        <v>1407</v>
      </c>
      <c r="B1415" s="886" t="s">
        <v>4472</v>
      </c>
      <c r="C1415" s="885" t="s">
        <v>4473</v>
      </c>
      <c r="D1415" s="669">
        <v>59483</v>
      </c>
    </row>
    <row r="1416" spans="1:4" s="23" customFormat="1" x14ac:dyDescent="0.25">
      <c r="A1416" s="667">
        <v>1408</v>
      </c>
      <c r="B1416" s="886" t="s">
        <v>4474</v>
      </c>
      <c r="C1416" s="885" t="s">
        <v>4473</v>
      </c>
      <c r="D1416" s="669">
        <v>59483</v>
      </c>
    </row>
    <row r="1417" spans="1:4" s="23" customFormat="1" ht="25.5" x14ac:dyDescent="0.25">
      <c r="A1417" s="667">
        <v>1409</v>
      </c>
      <c r="B1417" s="886" t="s">
        <v>4475</v>
      </c>
      <c r="C1417" s="885" t="s">
        <v>4476</v>
      </c>
      <c r="D1417" s="669">
        <v>13290.6</v>
      </c>
    </row>
    <row r="1418" spans="1:4" s="23" customFormat="1" ht="25.5" x14ac:dyDescent="0.25">
      <c r="A1418" s="667">
        <v>1410</v>
      </c>
      <c r="B1418" s="886" t="s">
        <v>4477</v>
      </c>
      <c r="C1418" s="885" t="s">
        <v>4478</v>
      </c>
      <c r="D1418" s="669">
        <v>4648.3900000000003</v>
      </c>
    </row>
    <row r="1419" spans="1:4" s="23" customFormat="1" ht="38.25" x14ac:dyDescent="0.25">
      <c r="A1419" s="667">
        <v>1411</v>
      </c>
      <c r="B1419" s="886" t="s">
        <v>4479</v>
      </c>
      <c r="C1419" s="885" t="s">
        <v>4480</v>
      </c>
      <c r="D1419" s="669">
        <v>1237.2</v>
      </c>
    </row>
    <row r="1420" spans="1:4" s="23" customFormat="1" ht="25.5" x14ac:dyDescent="0.25">
      <c r="A1420" s="667">
        <v>1412</v>
      </c>
      <c r="B1420" s="886" t="s">
        <v>4481</v>
      </c>
      <c r="C1420" s="885" t="s">
        <v>4482</v>
      </c>
      <c r="D1420" s="669">
        <v>5835.96</v>
      </c>
    </row>
    <row r="1421" spans="1:4" s="23" customFormat="1" ht="25.5" x14ac:dyDescent="0.25">
      <c r="A1421" s="667">
        <v>1413</v>
      </c>
      <c r="B1421" s="886" t="s">
        <v>4483</v>
      </c>
      <c r="C1421" s="885" t="s">
        <v>4484</v>
      </c>
      <c r="D1421" s="669">
        <v>3740.6</v>
      </c>
    </row>
    <row r="1422" spans="1:4" s="23" customFormat="1" ht="25.5" x14ac:dyDescent="0.25">
      <c r="A1422" s="667">
        <v>1414</v>
      </c>
      <c r="B1422" s="886" t="s">
        <v>4485</v>
      </c>
      <c r="C1422" s="885" t="s">
        <v>4486</v>
      </c>
      <c r="D1422" s="669">
        <v>4123.55</v>
      </c>
    </row>
    <row r="1423" spans="1:4" s="23" customFormat="1" ht="25.5" x14ac:dyDescent="0.25">
      <c r="A1423" s="667">
        <v>1415</v>
      </c>
      <c r="B1423" s="886" t="s">
        <v>4487</v>
      </c>
      <c r="C1423" s="885" t="s">
        <v>4488</v>
      </c>
      <c r="D1423" s="669">
        <v>3405.99</v>
      </c>
    </row>
    <row r="1424" spans="1:4" s="23" customFormat="1" ht="25.5" x14ac:dyDescent="0.25">
      <c r="A1424" s="667">
        <v>1416</v>
      </c>
      <c r="B1424" s="886" t="s">
        <v>4489</v>
      </c>
      <c r="C1424" s="885" t="s">
        <v>4490</v>
      </c>
      <c r="D1424" s="669">
        <v>1216.52</v>
      </c>
    </row>
    <row r="1425" spans="1:4" s="23" customFormat="1" ht="25.5" x14ac:dyDescent="0.25">
      <c r="A1425" s="667">
        <v>1417</v>
      </c>
      <c r="B1425" s="886" t="s">
        <v>4491</v>
      </c>
      <c r="C1425" s="885" t="s">
        <v>4492</v>
      </c>
      <c r="D1425" s="669">
        <v>129395</v>
      </c>
    </row>
    <row r="1426" spans="1:4" s="23" customFormat="1" ht="25.5" x14ac:dyDescent="0.25">
      <c r="A1426" s="667">
        <v>1418</v>
      </c>
      <c r="B1426" s="886" t="s">
        <v>4493</v>
      </c>
      <c r="C1426" s="885" t="s">
        <v>4494</v>
      </c>
      <c r="D1426" s="669">
        <v>62456.2</v>
      </c>
    </row>
    <row r="1427" spans="1:4" s="23" customFormat="1" ht="38.25" x14ac:dyDescent="0.25">
      <c r="A1427" s="667">
        <v>1419</v>
      </c>
      <c r="B1427" s="886" t="s">
        <v>4495</v>
      </c>
      <c r="C1427" s="885" t="s">
        <v>4496</v>
      </c>
      <c r="D1427" s="669">
        <v>9980</v>
      </c>
    </row>
    <row r="1428" spans="1:4" s="23" customFormat="1" ht="38.25" x14ac:dyDescent="0.25">
      <c r="A1428" s="667">
        <v>1420</v>
      </c>
      <c r="B1428" s="886" t="s">
        <v>4497</v>
      </c>
      <c r="C1428" s="885" t="s">
        <v>4498</v>
      </c>
      <c r="D1428" s="669">
        <v>39035</v>
      </c>
    </row>
    <row r="1429" spans="1:4" s="23" customFormat="1" ht="25.5" x14ac:dyDescent="0.25">
      <c r="A1429" s="667">
        <v>1421</v>
      </c>
      <c r="B1429" s="886" t="s">
        <v>4499</v>
      </c>
      <c r="C1429" s="885" t="s">
        <v>4500</v>
      </c>
      <c r="D1429" s="669">
        <v>74402</v>
      </c>
    </row>
    <row r="1430" spans="1:4" s="23" customFormat="1" x14ac:dyDescent="0.25">
      <c r="A1430" s="667">
        <v>1422</v>
      </c>
      <c r="B1430" s="886" t="s">
        <v>4501</v>
      </c>
      <c r="C1430" s="885" t="s">
        <v>4502</v>
      </c>
      <c r="D1430" s="669">
        <v>1173.92</v>
      </c>
    </row>
    <row r="1431" spans="1:4" s="23" customFormat="1" ht="51" x14ac:dyDescent="0.25">
      <c r="A1431" s="667">
        <v>1423</v>
      </c>
      <c r="B1431" s="886" t="s">
        <v>4503</v>
      </c>
      <c r="C1431" s="885" t="s">
        <v>4504</v>
      </c>
      <c r="D1431" s="669">
        <v>6888</v>
      </c>
    </row>
    <row r="1432" spans="1:4" s="23" customFormat="1" ht="63.75" x14ac:dyDescent="0.25">
      <c r="A1432" s="667">
        <v>1424</v>
      </c>
      <c r="B1432" s="886" t="s">
        <v>4505</v>
      </c>
      <c r="C1432" s="885" t="s">
        <v>4506</v>
      </c>
      <c r="D1432" s="669">
        <v>138400</v>
      </c>
    </row>
    <row r="1433" spans="1:4" s="23" customFormat="1" ht="25.5" x14ac:dyDescent="0.25">
      <c r="A1433" s="667">
        <v>1425</v>
      </c>
      <c r="B1433" s="886" t="s">
        <v>4507</v>
      </c>
      <c r="C1433" s="885" t="s">
        <v>4508</v>
      </c>
      <c r="D1433" s="669">
        <v>161771.93</v>
      </c>
    </row>
    <row r="1434" spans="1:4" s="23" customFormat="1" ht="25.5" x14ac:dyDescent="0.25">
      <c r="A1434" s="667">
        <v>1426</v>
      </c>
      <c r="B1434" s="886" t="s">
        <v>4509</v>
      </c>
      <c r="C1434" s="885" t="s">
        <v>4508</v>
      </c>
      <c r="D1434" s="669">
        <v>161771.93</v>
      </c>
    </row>
    <row r="1435" spans="1:4" s="23" customFormat="1" ht="25.5" x14ac:dyDescent="0.25">
      <c r="A1435" s="667">
        <v>1427</v>
      </c>
      <c r="B1435" s="886" t="s">
        <v>4510</v>
      </c>
      <c r="C1435" s="885" t="s">
        <v>4511</v>
      </c>
      <c r="D1435" s="669">
        <v>58879.87</v>
      </c>
    </row>
    <row r="1436" spans="1:4" s="23" customFormat="1" ht="38.25" x14ac:dyDescent="0.25">
      <c r="A1436" s="667">
        <v>1428</v>
      </c>
      <c r="B1436" s="886" t="s">
        <v>4512</v>
      </c>
      <c r="C1436" s="885" t="s">
        <v>4513</v>
      </c>
      <c r="D1436" s="669">
        <v>16485.12</v>
      </c>
    </row>
    <row r="1437" spans="1:4" s="23" customFormat="1" ht="25.5" x14ac:dyDescent="0.25">
      <c r="A1437" s="667">
        <v>1429</v>
      </c>
      <c r="B1437" s="886" t="s">
        <v>4514</v>
      </c>
      <c r="C1437" s="885" t="s">
        <v>4515</v>
      </c>
      <c r="D1437" s="669">
        <v>55811</v>
      </c>
    </row>
    <row r="1438" spans="1:4" s="23" customFormat="1" x14ac:dyDescent="0.25">
      <c r="A1438" s="667">
        <v>1430</v>
      </c>
      <c r="B1438" s="886" t="s">
        <v>4516</v>
      </c>
      <c r="C1438" s="885" t="s">
        <v>4517</v>
      </c>
      <c r="D1438" s="669">
        <v>5327.7</v>
      </c>
    </row>
    <row r="1439" spans="1:4" s="23" customFormat="1" x14ac:dyDescent="0.25">
      <c r="A1439" s="667">
        <v>1431</v>
      </c>
      <c r="B1439" s="886" t="s">
        <v>4518</v>
      </c>
      <c r="C1439" s="885" t="s">
        <v>4519</v>
      </c>
      <c r="D1439" s="669">
        <v>3288</v>
      </c>
    </row>
    <row r="1440" spans="1:4" s="23" customFormat="1" ht="25.5" x14ac:dyDescent="0.25">
      <c r="A1440" s="667">
        <v>1432</v>
      </c>
      <c r="B1440" s="886" t="s">
        <v>4520</v>
      </c>
      <c r="C1440" s="885" t="s">
        <v>4521</v>
      </c>
      <c r="D1440" s="669">
        <v>4050</v>
      </c>
    </row>
    <row r="1441" spans="1:4" s="23" customFormat="1" ht="25.5" x14ac:dyDescent="0.25">
      <c r="A1441" s="667">
        <v>1433</v>
      </c>
      <c r="B1441" s="886" t="s">
        <v>4522</v>
      </c>
      <c r="C1441" s="885" t="s">
        <v>4523</v>
      </c>
      <c r="D1441" s="669">
        <v>2600</v>
      </c>
    </row>
    <row r="1442" spans="1:4" s="23" customFormat="1" ht="51" x14ac:dyDescent="0.25">
      <c r="A1442" s="667">
        <v>1434</v>
      </c>
      <c r="B1442" s="886" t="s">
        <v>4524</v>
      </c>
      <c r="C1442" s="885" t="s">
        <v>4525</v>
      </c>
      <c r="D1442" s="669">
        <v>7856.52</v>
      </c>
    </row>
    <row r="1443" spans="1:4" s="23" customFormat="1" x14ac:dyDescent="0.25">
      <c r="A1443" s="667">
        <v>1435</v>
      </c>
      <c r="B1443" s="886" t="s">
        <v>4526</v>
      </c>
      <c r="C1443" s="885" t="s">
        <v>4527</v>
      </c>
      <c r="D1443" s="669">
        <v>1235</v>
      </c>
    </row>
    <row r="1444" spans="1:4" s="23" customFormat="1" ht="25.5" x14ac:dyDescent="0.25">
      <c r="A1444" s="667">
        <v>1436</v>
      </c>
      <c r="B1444" s="886" t="s">
        <v>4528</v>
      </c>
      <c r="C1444" s="885" t="s">
        <v>4529</v>
      </c>
      <c r="D1444" s="669">
        <v>1505</v>
      </c>
    </row>
    <row r="1445" spans="1:4" s="23" customFormat="1" ht="25.5" x14ac:dyDescent="0.25">
      <c r="A1445" s="667">
        <v>1437</v>
      </c>
      <c r="B1445" s="886" t="s">
        <v>4530</v>
      </c>
      <c r="C1445" s="885" t="s">
        <v>4529</v>
      </c>
      <c r="D1445" s="669">
        <v>1505</v>
      </c>
    </row>
    <row r="1446" spans="1:4" s="23" customFormat="1" ht="25.5" x14ac:dyDescent="0.25">
      <c r="A1446" s="667">
        <v>1438</v>
      </c>
      <c r="B1446" s="886" t="s">
        <v>4531</v>
      </c>
      <c r="C1446" s="885" t="s">
        <v>4532</v>
      </c>
      <c r="D1446" s="669">
        <v>985</v>
      </c>
    </row>
    <row r="1447" spans="1:4" s="23" customFormat="1" ht="38.25" x14ac:dyDescent="0.25">
      <c r="A1447" s="667">
        <v>1439</v>
      </c>
      <c r="B1447" s="886" t="s">
        <v>4533</v>
      </c>
      <c r="C1447" s="885" t="s">
        <v>4534</v>
      </c>
      <c r="D1447" s="669">
        <v>32460</v>
      </c>
    </row>
    <row r="1448" spans="1:4" s="23" customFormat="1" ht="38.25" x14ac:dyDescent="0.25">
      <c r="A1448" s="667">
        <v>1440</v>
      </c>
      <c r="B1448" s="886" t="s">
        <v>4535</v>
      </c>
      <c r="C1448" s="885" t="s">
        <v>4534</v>
      </c>
      <c r="D1448" s="669">
        <v>32460</v>
      </c>
    </row>
    <row r="1449" spans="1:4" s="23" customFormat="1" ht="38.25" x14ac:dyDescent="0.25">
      <c r="A1449" s="667">
        <v>1441</v>
      </c>
      <c r="B1449" s="886" t="s">
        <v>4536</v>
      </c>
      <c r="C1449" s="885" t="s">
        <v>4534</v>
      </c>
      <c r="D1449" s="669">
        <v>32460</v>
      </c>
    </row>
    <row r="1450" spans="1:4" s="23" customFormat="1" ht="38.25" x14ac:dyDescent="0.25">
      <c r="A1450" s="667">
        <v>1442</v>
      </c>
      <c r="B1450" s="886" t="s">
        <v>4537</v>
      </c>
      <c r="C1450" s="885" t="s">
        <v>4534</v>
      </c>
      <c r="D1450" s="669">
        <v>32460</v>
      </c>
    </row>
    <row r="1451" spans="1:4" s="23" customFormat="1" ht="38.25" x14ac:dyDescent="0.25">
      <c r="A1451" s="667">
        <v>1443</v>
      </c>
      <c r="B1451" s="886" t="s">
        <v>4538</v>
      </c>
      <c r="C1451" s="885" t="s">
        <v>4534</v>
      </c>
      <c r="D1451" s="669">
        <v>32460</v>
      </c>
    </row>
    <row r="1452" spans="1:4" s="23" customFormat="1" ht="51" x14ac:dyDescent="0.25">
      <c r="A1452" s="667">
        <v>1444</v>
      </c>
      <c r="B1452" s="886" t="s">
        <v>4539</v>
      </c>
      <c r="C1452" s="885" t="s">
        <v>4540</v>
      </c>
      <c r="D1452" s="669">
        <v>8960.77</v>
      </c>
    </row>
    <row r="1453" spans="1:4" s="23" customFormat="1" ht="25.5" x14ac:dyDescent="0.25">
      <c r="A1453" s="667">
        <v>1445</v>
      </c>
      <c r="B1453" s="886" t="s">
        <v>4541</v>
      </c>
      <c r="C1453" s="885" t="s">
        <v>4542</v>
      </c>
      <c r="D1453" s="669">
        <v>2162.4</v>
      </c>
    </row>
    <row r="1454" spans="1:4" s="23" customFormat="1" ht="102" x14ac:dyDescent="0.25">
      <c r="A1454" s="667">
        <v>1446</v>
      </c>
      <c r="B1454" s="886" t="s">
        <v>4543</v>
      </c>
      <c r="C1454" s="885" t="s">
        <v>4544</v>
      </c>
      <c r="D1454" s="669">
        <v>66766.2</v>
      </c>
    </row>
    <row r="1455" spans="1:4" s="23" customFormat="1" ht="51" x14ac:dyDescent="0.25">
      <c r="A1455" s="667">
        <v>1447</v>
      </c>
      <c r="B1455" s="886" t="s">
        <v>4545</v>
      </c>
      <c r="C1455" s="885" t="s">
        <v>4546</v>
      </c>
      <c r="D1455" s="669">
        <v>4330</v>
      </c>
    </row>
    <row r="1456" spans="1:4" s="23" customFormat="1" x14ac:dyDescent="0.25">
      <c r="A1456" s="667">
        <v>1448</v>
      </c>
      <c r="B1456" s="886" t="s">
        <v>4547</v>
      </c>
      <c r="C1456" s="885" t="s">
        <v>4548</v>
      </c>
      <c r="D1456" s="669">
        <v>6391.3</v>
      </c>
    </row>
    <row r="1457" spans="1:4" s="23" customFormat="1" ht="51" x14ac:dyDescent="0.25">
      <c r="A1457" s="667">
        <v>1449</v>
      </c>
      <c r="B1457" s="886" t="s">
        <v>4549</v>
      </c>
      <c r="C1457" s="885" t="s">
        <v>4550</v>
      </c>
      <c r="D1457" s="669">
        <v>32280</v>
      </c>
    </row>
    <row r="1458" spans="1:4" s="23" customFormat="1" ht="25.5" x14ac:dyDescent="0.25">
      <c r="A1458" s="667">
        <v>1450</v>
      </c>
      <c r="B1458" s="886" t="s">
        <v>4551</v>
      </c>
      <c r="C1458" s="885" t="s">
        <v>4552</v>
      </c>
      <c r="D1458" s="669">
        <v>4380</v>
      </c>
    </row>
    <row r="1459" spans="1:4" s="23" customFormat="1" ht="25.5" x14ac:dyDescent="0.25">
      <c r="A1459" s="667">
        <v>1451</v>
      </c>
      <c r="B1459" s="886" t="s">
        <v>4553</v>
      </c>
      <c r="C1459" s="885" t="s">
        <v>4554</v>
      </c>
      <c r="D1459" s="669">
        <v>25000</v>
      </c>
    </row>
    <row r="1460" spans="1:4" s="23" customFormat="1" x14ac:dyDescent="0.25">
      <c r="A1460" s="667">
        <v>1452</v>
      </c>
      <c r="B1460" s="886" t="s">
        <v>4555</v>
      </c>
      <c r="C1460" s="885" t="s">
        <v>4556</v>
      </c>
      <c r="D1460" s="669">
        <v>2710.04</v>
      </c>
    </row>
    <row r="1461" spans="1:4" s="23" customFormat="1" ht="38.25" x14ac:dyDescent="0.25">
      <c r="A1461" s="667">
        <v>1453</v>
      </c>
      <c r="B1461" s="886" t="s">
        <v>4557</v>
      </c>
      <c r="C1461" s="885" t="s">
        <v>4558</v>
      </c>
      <c r="D1461" s="669">
        <v>3900</v>
      </c>
    </row>
    <row r="1462" spans="1:4" s="23" customFormat="1" x14ac:dyDescent="0.25">
      <c r="A1462" s="667">
        <v>1454</v>
      </c>
      <c r="B1462" s="886" t="s">
        <v>4559</v>
      </c>
      <c r="C1462" s="885" t="s">
        <v>4560</v>
      </c>
      <c r="D1462" s="669">
        <v>6500</v>
      </c>
    </row>
    <row r="1463" spans="1:4" s="23" customFormat="1" x14ac:dyDescent="0.25">
      <c r="A1463" s="667">
        <v>1455</v>
      </c>
      <c r="B1463" s="886" t="s">
        <v>4561</v>
      </c>
      <c r="C1463" s="885" t="s">
        <v>4562</v>
      </c>
      <c r="D1463" s="669">
        <v>43800</v>
      </c>
    </row>
    <row r="1464" spans="1:4" s="23" customFormat="1" x14ac:dyDescent="0.25">
      <c r="A1464" s="667">
        <v>1456</v>
      </c>
      <c r="B1464" s="886" t="s">
        <v>4563</v>
      </c>
      <c r="C1464" s="885" t="s">
        <v>4564</v>
      </c>
      <c r="D1464" s="669">
        <v>3410</v>
      </c>
    </row>
    <row r="1465" spans="1:4" s="23" customFormat="1" ht="38.25" x14ac:dyDescent="0.25">
      <c r="A1465" s="667">
        <v>1457</v>
      </c>
      <c r="B1465" s="886" t="s">
        <v>4565</v>
      </c>
      <c r="C1465" s="885" t="s">
        <v>4566</v>
      </c>
      <c r="D1465" s="669">
        <v>65040.95</v>
      </c>
    </row>
    <row r="1466" spans="1:4" s="23" customFormat="1" ht="25.5" x14ac:dyDescent="0.25">
      <c r="A1466" s="667">
        <v>1458</v>
      </c>
      <c r="B1466" s="886" t="s">
        <v>4567</v>
      </c>
      <c r="C1466" s="885" t="s">
        <v>4568</v>
      </c>
      <c r="D1466" s="669">
        <v>1590</v>
      </c>
    </row>
    <row r="1467" spans="1:4" s="23" customFormat="1" ht="25.5" x14ac:dyDescent="0.25">
      <c r="A1467" s="667">
        <v>1459</v>
      </c>
      <c r="B1467" s="886" t="s">
        <v>4569</v>
      </c>
      <c r="C1467" s="885" t="s">
        <v>4570</v>
      </c>
      <c r="D1467" s="669">
        <v>10355</v>
      </c>
    </row>
    <row r="1468" spans="1:4" s="23" customFormat="1" ht="25.5" x14ac:dyDescent="0.25">
      <c r="A1468" s="667">
        <v>1460</v>
      </c>
      <c r="B1468" s="886" t="s">
        <v>4571</v>
      </c>
      <c r="C1468" s="885" t="s">
        <v>4572</v>
      </c>
      <c r="D1468" s="669">
        <v>457</v>
      </c>
    </row>
    <row r="1469" spans="1:4" s="23" customFormat="1" ht="25.5" x14ac:dyDescent="0.25">
      <c r="A1469" s="667">
        <v>1461</v>
      </c>
      <c r="B1469" s="886" t="s">
        <v>4573</v>
      </c>
      <c r="C1469" s="885" t="s">
        <v>4574</v>
      </c>
      <c r="D1469" s="669">
        <v>27418</v>
      </c>
    </row>
    <row r="1470" spans="1:4" s="23" customFormat="1" ht="25.5" x14ac:dyDescent="0.25">
      <c r="A1470" s="667">
        <v>1462</v>
      </c>
      <c r="B1470" s="886" t="s">
        <v>4575</v>
      </c>
      <c r="C1470" s="885" t="s">
        <v>4576</v>
      </c>
      <c r="D1470" s="669">
        <v>4293.59</v>
      </c>
    </row>
    <row r="1471" spans="1:4" s="23" customFormat="1" x14ac:dyDescent="0.25">
      <c r="A1471" s="667">
        <v>1463</v>
      </c>
      <c r="B1471" s="886" t="s">
        <v>4577</v>
      </c>
      <c r="C1471" s="885" t="s">
        <v>4578</v>
      </c>
      <c r="D1471" s="669">
        <v>40700</v>
      </c>
    </row>
    <row r="1472" spans="1:4" s="23" customFormat="1" x14ac:dyDescent="0.25">
      <c r="A1472" s="667">
        <v>1464</v>
      </c>
      <c r="B1472" s="886" t="s">
        <v>4579</v>
      </c>
      <c r="C1472" s="885" t="s">
        <v>4580</v>
      </c>
      <c r="D1472" s="669">
        <v>2808</v>
      </c>
    </row>
    <row r="1473" spans="1:4" s="23" customFormat="1" ht="25.5" x14ac:dyDescent="0.25">
      <c r="A1473" s="667">
        <v>1465</v>
      </c>
      <c r="B1473" s="886" t="s">
        <v>4581</v>
      </c>
      <c r="C1473" s="885" t="s">
        <v>4582</v>
      </c>
      <c r="D1473" s="669">
        <v>4140</v>
      </c>
    </row>
    <row r="1474" spans="1:4" s="23" customFormat="1" ht="25.5" x14ac:dyDescent="0.25">
      <c r="A1474" s="667">
        <v>1466</v>
      </c>
      <c r="B1474" s="886" t="s">
        <v>4583</v>
      </c>
      <c r="C1474" s="885" t="s">
        <v>4584</v>
      </c>
      <c r="D1474" s="669">
        <v>3070</v>
      </c>
    </row>
    <row r="1475" spans="1:4" s="23" customFormat="1" ht="25.5" x14ac:dyDescent="0.25">
      <c r="A1475" s="667">
        <v>1467</v>
      </c>
      <c r="B1475" s="886" t="s">
        <v>4585</v>
      </c>
      <c r="C1475" s="885" t="s">
        <v>4586</v>
      </c>
      <c r="D1475" s="669">
        <v>2793.1</v>
      </c>
    </row>
    <row r="1476" spans="1:4" s="23" customFormat="1" ht="25.5" x14ac:dyDescent="0.25">
      <c r="A1476" s="667">
        <v>1468</v>
      </c>
      <c r="B1476" s="886" t="s">
        <v>4587</v>
      </c>
      <c r="C1476" s="885" t="s">
        <v>4588</v>
      </c>
      <c r="D1476" s="669">
        <v>5812.71</v>
      </c>
    </row>
    <row r="1477" spans="1:4" s="23" customFormat="1" ht="25.5" x14ac:dyDescent="0.25">
      <c r="A1477" s="667">
        <v>1469</v>
      </c>
      <c r="B1477" s="886" t="s">
        <v>4589</v>
      </c>
      <c r="C1477" s="885" t="s">
        <v>4590</v>
      </c>
      <c r="D1477" s="669">
        <v>30000</v>
      </c>
    </row>
    <row r="1478" spans="1:4" s="23" customFormat="1" ht="25.5" x14ac:dyDescent="0.25">
      <c r="A1478" s="667">
        <v>1470</v>
      </c>
      <c r="B1478" s="886" t="s">
        <v>4591</v>
      </c>
      <c r="C1478" s="885" t="s">
        <v>4592</v>
      </c>
      <c r="D1478" s="669">
        <v>12000</v>
      </c>
    </row>
    <row r="1479" spans="1:4" s="23" customFormat="1" x14ac:dyDescent="0.25">
      <c r="A1479" s="667">
        <v>1471</v>
      </c>
      <c r="B1479" s="886" t="s">
        <v>4593</v>
      </c>
      <c r="C1479" s="885" t="s">
        <v>4594</v>
      </c>
      <c r="D1479" s="669">
        <v>8857.2000000000007</v>
      </c>
    </row>
    <row r="1480" spans="1:4" s="23" customFormat="1" ht="25.5" x14ac:dyDescent="0.25">
      <c r="A1480" s="667">
        <v>1472</v>
      </c>
      <c r="B1480" s="886" t="s">
        <v>4595</v>
      </c>
      <c r="C1480" s="885" t="s">
        <v>4596</v>
      </c>
      <c r="D1480" s="669">
        <v>5811.3</v>
      </c>
    </row>
    <row r="1481" spans="1:4" s="23" customFormat="1" x14ac:dyDescent="0.25">
      <c r="A1481" s="667">
        <v>1473</v>
      </c>
      <c r="B1481" s="886" t="s">
        <v>4597</v>
      </c>
      <c r="C1481" s="885" t="s">
        <v>4598</v>
      </c>
      <c r="D1481" s="669">
        <v>14495.25</v>
      </c>
    </row>
    <row r="1482" spans="1:4" s="23" customFormat="1" ht="76.5" x14ac:dyDescent="0.25">
      <c r="A1482" s="667">
        <v>1474</v>
      </c>
      <c r="B1482" s="886" t="s">
        <v>4599</v>
      </c>
      <c r="C1482" s="885" t="s">
        <v>4600</v>
      </c>
      <c r="D1482" s="669">
        <v>18000</v>
      </c>
    </row>
    <row r="1483" spans="1:4" s="23" customFormat="1" ht="25.5" x14ac:dyDescent="0.25">
      <c r="A1483" s="667">
        <v>1475</v>
      </c>
      <c r="B1483" s="886" t="s">
        <v>4601</v>
      </c>
      <c r="C1483" s="885" t="s">
        <v>4602</v>
      </c>
      <c r="D1483" s="669">
        <v>54450.83</v>
      </c>
    </row>
    <row r="1484" spans="1:4" s="23" customFormat="1" x14ac:dyDescent="0.25">
      <c r="A1484" s="667">
        <v>1476</v>
      </c>
      <c r="B1484" s="886" t="s">
        <v>4603</v>
      </c>
      <c r="C1484" s="885" t="s">
        <v>4604</v>
      </c>
      <c r="D1484" s="669">
        <v>41794.76</v>
      </c>
    </row>
    <row r="1485" spans="1:4" s="23" customFormat="1" ht="38.25" x14ac:dyDescent="0.25">
      <c r="A1485" s="667">
        <v>1477</v>
      </c>
      <c r="B1485" s="886" t="s">
        <v>4605</v>
      </c>
      <c r="C1485" s="885" t="s">
        <v>4606</v>
      </c>
      <c r="D1485" s="669">
        <v>69355.62</v>
      </c>
    </row>
    <row r="1486" spans="1:4" s="23" customFormat="1" x14ac:dyDescent="0.25">
      <c r="A1486" s="667">
        <v>1478</v>
      </c>
      <c r="B1486" s="886" t="s">
        <v>4607</v>
      </c>
      <c r="C1486" s="885" t="s">
        <v>4608</v>
      </c>
      <c r="D1486" s="669">
        <v>20219.099999999999</v>
      </c>
    </row>
    <row r="1487" spans="1:4" s="23" customFormat="1" ht="25.5" x14ac:dyDescent="0.25">
      <c r="A1487" s="667">
        <v>1479</v>
      </c>
      <c r="B1487" s="886" t="s">
        <v>4609</v>
      </c>
      <c r="C1487" s="885" t="s">
        <v>4610</v>
      </c>
      <c r="D1487" s="669">
        <v>65670.16</v>
      </c>
    </row>
    <row r="1488" spans="1:4" s="23" customFormat="1" x14ac:dyDescent="0.25">
      <c r="A1488" s="667">
        <v>1480</v>
      </c>
      <c r="B1488" s="886" t="s">
        <v>4611</v>
      </c>
      <c r="C1488" s="885" t="s">
        <v>4612</v>
      </c>
      <c r="D1488" s="669">
        <v>12771.82</v>
      </c>
    </row>
    <row r="1489" spans="1:4" s="23" customFormat="1" x14ac:dyDescent="0.25">
      <c r="A1489" s="667">
        <v>1481</v>
      </c>
      <c r="B1489" s="886" t="s">
        <v>4613</v>
      </c>
      <c r="C1489" s="885" t="s">
        <v>4612</v>
      </c>
      <c r="D1489" s="669">
        <v>12771.82</v>
      </c>
    </row>
    <row r="1490" spans="1:4" s="23" customFormat="1" x14ac:dyDescent="0.25">
      <c r="A1490" s="667">
        <v>1482</v>
      </c>
      <c r="B1490" s="886" t="s">
        <v>4614</v>
      </c>
      <c r="C1490" s="885" t="s">
        <v>4612</v>
      </c>
      <c r="D1490" s="669">
        <v>12771.82</v>
      </c>
    </row>
    <row r="1491" spans="1:4" s="23" customFormat="1" x14ac:dyDescent="0.25">
      <c r="A1491" s="667">
        <v>1483</v>
      </c>
      <c r="B1491" s="886" t="s">
        <v>4615</v>
      </c>
      <c r="C1491" s="885" t="s">
        <v>4616</v>
      </c>
      <c r="D1491" s="669">
        <v>31762.5</v>
      </c>
    </row>
    <row r="1492" spans="1:4" s="23" customFormat="1" ht="38.25" x14ac:dyDescent="0.25">
      <c r="A1492" s="667">
        <v>1484</v>
      </c>
      <c r="B1492" s="886" t="s">
        <v>4617</v>
      </c>
      <c r="C1492" s="885" t="s">
        <v>4618</v>
      </c>
      <c r="D1492" s="669">
        <v>49406.28</v>
      </c>
    </row>
    <row r="1493" spans="1:4" s="23" customFormat="1" ht="25.5" x14ac:dyDescent="0.25">
      <c r="A1493" s="667">
        <v>1485</v>
      </c>
      <c r="B1493" s="886" t="s">
        <v>4619</v>
      </c>
      <c r="C1493" s="885" t="s">
        <v>4620</v>
      </c>
      <c r="D1493" s="669">
        <v>9033.65</v>
      </c>
    </row>
    <row r="1494" spans="1:4" s="23" customFormat="1" ht="25.5" x14ac:dyDescent="0.25">
      <c r="A1494" s="667">
        <v>1486</v>
      </c>
      <c r="B1494" s="886" t="s">
        <v>4621</v>
      </c>
      <c r="C1494" s="885" t="s">
        <v>4622</v>
      </c>
      <c r="D1494" s="669">
        <v>6375</v>
      </c>
    </row>
    <row r="1495" spans="1:4" s="23" customFormat="1" x14ac:dyDescent="0.25">
      <c r="A1495" s="667">
        <v>1487</v>
      </c>
      <c r="B1495" s="886" t="s">
        <v>4623</v>
      </c>
      <c r="C1495" s="885" t="s">
        <v>4624</v>
      </c>
      <c r="D1495" s="669">
        <v>23202.2</v>
      </c>
    </row>
    <row r="1496" spans="1:4" s="23" customFormat="1" x14ac:dyDescent="0.25">
      <c r="A1496" s="667">
        <v>1488</v>
      </c>
      <c r="B1496" s="886" t="s">
        <v>4625</v>
      </c>
      <c r="C1496" s="885" t="s">
        <v>4626</v>
      </c>
      <c r="D1496" s="669">
        <v>5654.21</v>
      </c>
    </row>
    <row r="1497" spans="1:4" s="23" customFormat="1" ht="25.5" x14ac:dyDescent="0.25">
      <c r="A1497" s="667">
        <v>1489</v>
      </c>
      <c r="B1497" s="886" t="s">
        <v>4627</v>
      </c>
      <c r="C1497" s="885" t="s">
        <v>4628</v>
      </c>
      <c r="D1497" s="669">
        <v>34000</v>
      </c>
    </row>
    <row r="1498" spans="1:4" s="23" customFormat="1" ht="25.5" x14ac:dyDescent="0.25">
      <c r="A1498" s="667">
        <v>1490</v>
      </c>
      <c r="B1498" s="886" t="s">
        <v>4629</v>
      </c>
      <c r="C1498" s="885" t="s">
        <v>4630</v>
      </c>
      <c r="D1498" s="669">
        <v>68303.360000000001</v>
      </c>
    </row>
    <row r="1499" spans="1:4" s="23" customFormat="1" x14ac:dyDescent="0.25">
      <c r="A1499" s="667">
        <v>1491</v>
      </c>
      <c r="B1499" s="886" t="s">
        <v>4631</v>
      </c>
      <c r="C1499" s="885" t="s">
        <v>4632</v>
      </c>
      <c r="D1499" s="669">
        <v>3100.35</v>
      </c>
    </row>
    <row r="1500" spans="1:4" s="23" customFormat="1" x14ac:dyDescent="0.25">
      <c r="A1500" s="667">
        <v>1492</v>
      </c>
      <c r="B1500" s="886" t="s">
        <v>4633</v>
      </c>
      <c r="C1500" s="885" t="s">
        <v>4632</v>
      </c>
      <c r="D1500" s="669">
        <v>3100.35</v>
      </c>
    </row>
    <row r="1501" spans="1:4" s="23" customFormat="1" x14ac:dyDescent="0.25">
      <c r="A1501" s="667">
        <v>1493</v>
      </c>
      <c r="B1501" s="886" t="s">
        <v>4634</v>
      </c>
      <c r="C1501" s="885" t="s">
        <v>4632</v>
      </c>
      <c r="D1501" s="669">
        <v>3100.35</v>
      </c>
    </row>
    <row r="1502" spans="1:4" s="23" customFormat="1" x14ac:dyDescent="0.25">
      <c r="A1502" s="667">
        <v>1494</v>
      </c>
      <c r="B1502" s="886" t="s">
        <v>4635</v>
      </c>
      <c r="C1502" s="885" t="s">
        <v>4632</v>
      </c>
      <c r="D1502" s="669">
        <v>3100.35</v>
      </c>
    </row>
    <row r="1503" spans="1:4" s="23" customFormat="1" x14ac:dyDescent="0.25">
      <c r="A1503" s="667">
        <v>1495</v>
      </c>
      <c r="B1503" s="886" t="s">
        <v>4636</v>
      </c>
      <c r="C1503" s="885" t="s">
        <v>4632</v>
      </c>
      <c r="D1503" s="669">
        <v>3100.35</v>
      </c>
    </row>
    <row r="1504" spans="1:4" s="23" customFormat="1" ht="25.5" x14ac:dyDescent="0.25">
      <c r="A1504" s="667">
        <v>1496</v>
      </c>
      <c r="B1504" s="886" t="s">
        <v>4637</v>
      </c>
      <c r="C1504" s="885" t="s">
        <v>4638</v>
      </c>
      <c r="D1504" s="669">
        <v>52981.82</v>
      </c>
    </row>
    <row r="1505" spans="1:4" s="23" customFormat="1" ht="25.5" x14ac:dyDescent="0.25">
      <c r="A1505" s="667">
        <v>1497</v>
      </c>
      <c r="B1505" s="886" t="s">
        <v>4639</v>
      </c>
      <c r="C1505" s="885" t="s">
        <v>4638</v>
      </c>
      <c r="D1505" s="669">
        <v>52981.82</v>
      </c>
    </row>
    <row r="1506" spans="1:4" s="23" customFormat="1" x14ac:dyDescent="0.25">
      <c r="A1506" s="667">
        <v>1498</v>
      </c>
      <c r="B1506" s="886" t="s">
        <v>4640</v>
      </c>
      <c r="C1506" s="885" t="s">
        <v>4641</v>
      </c>
      <c r="D1506" s="669">
        <v>16065</v>
      </c>
    </row>
    <row r="1507" spans="1:4" s="23" customFormat="1" ht="38.25" x14ac:dyDescent="0.25">
      <c r="A1507" s="667">
        <v>1499</v>
      </c>
      <c r="B1507" s="886" t="s">
        <v>4642</v>
      </c>
      <c r="C1507" s="885" t="s">
        <v>4643</v>
      </c>
      <c r="D1507" s="669">
        <v>10419.299999999999</v>
      </c>
    </row>
    <row r="1508" spans="1:4" s="23" customFormat="1" x14ac:dyDescent="0.25">
      <c r="A1508" s="667">
        <v>1500</v>
      </c>
      <c r="B1508" s="886" t="s">
        <v>4644</v>
      </c>
      <c r="C1508" s="885" t="s">
        <v>4645</v>
      </c>
      <c r="D1508" s="669">
        <v>8245</v>
      </c>
    </row>
    <row r="1509" spans="1:4" s="23" customFormat="1" x14ac:dyDescent="0.25">
      <c r="A1509" s="667">
        <v>1501</v>
      </c>
      <c r="B1509" s="886" t="s">
        <v>4646</v>
      </c>
      <c r="C1509" s="885" t="s">
        <v>4645</v>
      </c>
      <c r="D1509" s="669">
        <v>8245</v>
      </c>
    </row>
    <row r="1510" spans="1:4" s="23" customFormat="1" x14ac:dyDescent="0.25">
      <c r="A1510" s="667">
        <v>1502</v>
      </c>
      <c r="B1510" s="886" t="s">
        <v>4647</v>
      </c>
      <c r="C1510" s="885" t="s">
        <v>4648</v>
      </c>
      <c r="D1510" s="669">
        <v>6545</v>
      </c>
    </row>
    <row r="1511" spans="1:4" s="23" customFormat="1" x14ac:dyDescent="0.25">
      <c r="A1511" s="667">
        <v>1503</v>
      </c>
      <c r="B1511" s="886" t="s">
        <v>4649</v>
      </c>
      <c r="C1511" s="885" t="s">
        <v>4650</v>
      </c>
      <c r="D1511" s="669">
        <v>9211.5499999999993</v>
      </c>
    </row>
    <row r="1512" spans="1:4" s="23" customFormat="1" ht="63.75" x14ac:dyDescent="0.25">
      <c r="A1512" s="667">
        <v>1504</v>
      </c>
      <c r="B1512" s="886" t="s">
        <v>4651</v>
      </c>
      <c r="C1512" s="885" t="s">
        <v>4652</v>
      </c>
      <c r="D1512" s="669">
        <v>52800</v>
      </c>
    </row>
    <row r="1513" spans="1:4" s="23" customFormat="1" x14ac:dyDescent="0.25">
      <c r="A1513" s="667">
        <v>1505</v>
      </c>
      <c r="B1513" s="886" t="s">
        <v>4653</v>
      </c>
      <c r="C1513" s="885" t="s">
        <v>4654</v>
      </c>
      <c r="D1513" s="669">
        <v>65448.92</v>
      </c>
    </row>
    <row r="1514" spans="1:4" s="23" customFormat="1" x14ac:dyDescent="0.25">
      <c r="A1514" s="667">
        <v>1506</v>
      </c>
      <c r="B1514" s="886" t="s">
        <v>4655</v>
      </c>
      <c r="C1514" s="885" t="s">
        <v>4656</v>
      </c>
      <c r="D1514" s="669">
        <v>11179.93</v>
      </c>
    </row>
    <row r="1515" spans="1:4" s="23" customFormat="1" x14ac:dyDescent="0.25">
      <c r="A1515" s="667">
        <v>1507</v>
      </c>
      <c r="B1515" s="886" t="s">
        <v>4657</v>
      </c>
      <c r="C1515" s="885" t="s">
        <v>4658</v>
      </c>
      <c r="D1515" s="669">
        <v>3150.87</v>
      </c>
    </row>
    <row r="1516" spans="1:4" s="23" customFormat="1" x14ac:dyDescent="0.25">
      <c r="A1516" s="667">
        <v>1508</v>
      </c>
      <c r="B1516" s="886" t="s">
        <v>4659</v>
      </c>
      <c r="C1516" s="885" t="s">
        <v>4660</v>
      </c>
      <c r="D1516" s="669">
        <v>147250</v>
      </c>
    </row>
    <row r="1517" spans="1:4" s="23" customFormat="1" x14ac:dyDescent="0.25">
      <c r="A1517" s="667">
        <v>1509</v>
      </c>
      <c r="B1517" s="886" t="s">
        <v>4661</v>
      </c>
      <c r="C1517" s="885" t="s">
        <v>4662</v>
      </c>
      <c r="D1517" s="669">
        <v>61530.75</v>
      </c>
    </row>
    <row r="1518" spans="1:4" s="23" customFormat="1" x14ac:dyDescent="0.25">
      <c r="A1518" s="667">
        <v>1510</v>
      </c>
      <c r="B1518" s="886" t="s">
        <v>4663</v>
      </c>
      <c r="C1518" s="885" t="s">
        <v>4664</v>
      </c>
      <c r="D1518" s="669">
        <v>4449.8500000000004</v>
      </c>
    </row>
    <row r="1519" spans="1:4" s="23" customFormat="1" ht="25.5" x14ac:dyDescent="0.25">
      <c r="A1519" s="667">
        <v>1511</v>
      </c>
      <c r="B1519" s="886" t="s">
        <v>4665</v>
      </c>
      <c r="C1519" s="885" t="s">
        <v>4666</v>
      </c>
      <c r="D1519" s="669">
        <v>7900</v>
      </c>
    </row>
    <row r="1520" spans="1:4" s="23" customFormat="1" ht="25.5" x14ac:dyDescent="0.25">
      <c r="A1520" s="667">
        <v>1512</v>
      </c>
      <c r="B1520" s="886" t="s">
        <v>4667</v>
      </c>
      <c r="C1520" s="885" t="s">
        <v>4668</v>
      </c>
      <c r="D1520" s="669">
        <v>143200</v>
      </c>
    </row>
    <row r="1521" spans="1:4" s="23" customFormat="1" ht="38.25" x14ac:dyDescent="0.25">
      <c r="A1521" s="667">
        <v>1513</v>
      </c>
      <c r="B1521" s="886" t="s">
        <v>4669</v>
      </c>
      <c r="C1521" s="885" t="s">
        <v>4670</v>
      </c>
      <c r="D1521" s="669">
        <v>13579.17</v>
      </c>
    </row>
    <row r="1522" spans="1:4" s="23" customFormat="1" ht="51" x14ac:dyDescent="0.25">
      <c r="A1522" s="667">
        <v>1514</v>
      </c>
      <c r="B1522" s="886" t="s">
        <v>4671</v>
      </c>
      <c r="C1522" s="885" t="s">
        <v>4672</v>
      </c>
      <c r="D1522" s="669">
        <v>148510.19</v>
      </c>
    </row>
    <row r="1523" spans="1:4" s="23" customFormat="1" ht="38.25" x14ac:dyDescent="0.25">
      <c r="A1523" s="667">
        <v>1515</v>
      </c>
      <c r="B1523" s="886" t="s">
        <v>4673</v>
      </c>
      <c r="C1523" s="885" t="s">
        <v>4674</v>
      </c>
      <c r="D1523" s="669">
        <v>12516.7</v>
      </c>
    </row>
    <row r="1524" spans="1:4" s="23" customFormat="1" ht="63.75" x14ac:dyDescent="0.25">
      <c r="A1524" s="667">
        <v>1516</v>
      </c>
      <c r="B1524" s="886" t="s">
        <v>4675</v>
      </c>
      <c r="C1524" s="885" t="s">
        <v>4676</v>
      </c>
      <c r="D1524" s="669">
        <v>7800</v>
      </c>
    </row>
    <row r="1525" spans="1:4" s="23" customFormat="1" ht="38.25" x14ac:dyDescent="0.25">
      <c r="A1525" s="667">
        <v>1517</v>
      </c>
      <c r="B1525" s="886" t="s">
        <v>4677</v>
      </c>
      <c r="C1525" s="885" t="s">
        <v>4678</v>
      </c>
      <c r="D1525" s="669">
        <v>5400</v>
      </c>
    </row>
    <row r="1526" spans="1:4" s="23" customFormat="1" ht="38.25" x14ac:dyDescent="0.25">
      <c r="A1526" s="667">
        <v>1518</v>
      </c>
      <c r="B1526" s="886" t="s">
        <v>4679</v>
      </c>
      <c r="C1526" s="885" t="s">
        <v>4680</v>
      </c>
      <c r="D1526" s="669">
        <v>9500</v>
      </c>
    </row>
    <row r="1527" spans="1:4" s="23" customFormat="1" ht="38.25" x14ac:dyDescent="0.25">
      <c r="A1527" s="667">
        <v>1519</v>
      </c>
      <c r="B1527" s="886" t="s">
        <v>4681</v>
      </c>
      <c r="C1527" s="885" t="s">
        <v>4682</v>
      </c>
      <c r="D1527" s="669">
        <v>9250</v>
      </c>
    </row>
    <row r="1528" spans="1:4" s="23" customFormat="1" ht="25.5" x14ac:dyDescent="0.25">
      <c r="A1528" s="667">
        <v>1520</v>
      </c>
      <c r="B1528" s="886" t="s">
        <v>4683</v>
      </c>
      <c r="C1528" s="885" t="s">
        <v>4684</v>
      </c>
      <c r="D1528" s="669">
        <v>8298</v>
      </c>
    </row>
    <row r="1529" spans="1:4" s="23" customFormat="1" ht="25.5" x14ac:dyDescent="0.25">
      <c r="A1529" s="667">
        <v>1521</v>
      </c>
      <c r="B1529" s="886" t="s">
        <v>4685</v>
      </c>
      <c r="C1529" s="885" t="s">
        <v>4686</v>
      </c>
      <c r="D1529" s="669">
        <v>3950</v>
      </c>
    </row>
    <row r="1530" spans="1:4" s="23" customFormat="1" ht="38.25" x14ac:dyDescent="0.25">
      <c r="A1530" s="667">
        <v>1522</v>
      </c>
      <c r="B1530" s="886" t="s">
        <v>4687</v>
      </c>
      <c r="C1530" s="885" t="s">
        <v>4688</v>
      </c>
      <c r="D1530" s="669">
        <v>23000</v>
      </c>
    </row>
    <row r="1531" spans="1:4" s="23" customFormat="1" ht="51" x14ac:dyDescent="0.25">
      <c r="A1531" s="667">
        <v>1523</v>
      </c>
      <c r="B1531" s="886" t="s">
        <v>4689</v>
      </c>
      <c r="C1531" s="885" t="s">
        <v>4690</v>
      </c>
      <c r="D1531" s="669">
        <v>15000</v>
      </c>
    </row>
    <row r="1532" spans="1:4" s="23" customFormat="1" ht="25.5" x14ac:dyDescent="0.25">
      <c r="A1532" s="667">
        <v>1524</v>
      </c>
      <c r="B1532" s="886" t="s">
        <v>4691</v>
      </c>
      <c r="C1532" s="885" t="s">
        <v>4692</v>
      </c>
      <c r="D1532" s="669">
        <v>13721.73</v>
      </c>
    </row>
    <row r="1533" spans="1:4" s="23" customFormat="1" ht="25.5" x14ac:dyDescent="0.25">
      <c r="A1533" s="667">
        <v>1525</v>
      </c>
      <c r="B1533" s="886" t="s">
        <v>4693</v>
      </c>
      <c r="C1533" s="885" t="s">
        <v>4694</v>
      </c>
      <c r="D1533" s="669">
        <v>12200</v>
      </c>
    </row>
    <row r="1534" spans="1:4" s="23" customFormat="1" ht="25.5" x14ac:dyDescent="0.25">
      <c r="A1534" s="667">
        <v>1526</v>
      </c>
      <c r="B1534" s="886" t="s">
        <v>4695</v>
      </c>
      <c r="C1534" s="885" t="s">
        <v>4696</v>
      </c>
      <c r="D1534" s="669">
        <v>16890.23</v>
      </c>
    </row>
    <row r="1535" spans="1:4" s="23" customFormat="1" ht="38.25" x14ac:dyDescent="0.25">
      <c r="A1535" s="667">
        <v>1527</v>
      </c>
      <c r="B1535" s="886" t="s">
        <v>4697</v>
      </c>
      <c r="C1535" s="885" t="s">
        <v>4698</v>
      </c>
      <c r="D1535" s="669">
        <v>34168</v>
      </c>
    </row>
    <row r="1536" spans="1:4" s="23" customFormat="1" ht="25.5" x14ac:dyDescent="0.25">
      <c r="A1536" s="667">
        <v>1528</v>
      </c>
      <c r="B1536" s="886" t="s">
        <v>4699</v>
      </c>
      <c r="C1536" s="885" t="s">
        <v>4700</v>
      </c>
      <c r="D1536" s="669">
        <v>8289</v>
      </c>
    </row>
    <row r="1537" spans="1:4" s="23" customFormat="1" x14ac:dyDescent="0.25">
      <c r="A1537" s="667">
        <v>1529</v>
      </c>
      <c r="B1537" s="886" t="s">
        <v>4701</v>
      </c>
      <c r="C1537" s="885" t="s">
        <v>4702</v>
      </c>
      <c r="D1537" s="669">
        <v>26050</v>
      </c>
    </row>
    <row r="1538" spans="1:4" s="23" customFormat="1" x14ac:dyDescent="0.25">
      <c r="A1538" s="667">
        <v>1530</v>
      </c>
      <c r="B1538" s="886" t="s">
        <v>4703</v>
      </c>
      <c r="C1538" s="885" t="s">
        <v>4704</v>
      </c>
      <c r="D1538" s="669">
        <v>26050</v>
      </c>
    </row>
    <row r="1539" spans="1:4" s="23" customFormat="1" x14ac:dyDescent="0.25">
      <c r="A1539" s="667">
        <v>1531</v>
      </c>
      <c r="B1539" s="886" t="s">
        <v>4705</v>
      </c>
      <c r="C1539" s="885" t="s">
        <v>4706</v>
      </c>
      <c r="D1539" s="669">
        <v>26050</v>
      </c>
    </row>
    <row r="1540" spans="1:4" s="23" customFormat="1" ht="38.25" x14ac:dyDescent="0.25">
      <c r="A1540" s="667">
        <v>1532</v>
      </c>
      <c r="B1540" s="886" t="s">
        <v>4707</v>
      </c>
      <c r="C1540" s="885" t="s">
        <v>4708</v>
      </c>
      <c r="D1540" s="669">
        <v>43250</v>
      </c>
    </row>
    <row r="1541" spans="1:4" s="23" customFormat="1" ht="38.25" x14ac:dyDescent="0.25">
      <c r="A1541" s="667">
        <v>1533</v>
      </c>
      <c r="B1541" s="886" t="s">
        <v>4709</v>
      </c>
      <c r="C1541" s="885" t="s">
        <v>4710</v>
      </c>
      <c r="D1541" s="669">
        <v>17414</v>
      </c>
    </row>
    <row r="1542" spans="1:4" s="23" customFormat="1" ht="38.25" x14ac:dyDescent="0.25">
      <c r="A1542" s="667">
        <v>1534</v>
      </c>
      <c r="B1542" s="886" t="s">
        <v>4711</v>
      </c>
      <c r="C1542" s="885" t="s">
        <v>4710</v>
      </c>
      <c r="D1542" s="669">
        <v>17414</v>
      </c>
    </row>
    <row r="1543" spans="1:4" s="23" customFormat="1" ht="76.5" x14ac:dyDescent="0.25">
      <c r="A1543" s="667">
        <v>1535</v>
      </c>
      <c r="B1543" s="886" t="s">
        <v>4712</v>
      </c>
      <c r="C1543" s="885" t="s">
        <v>4713</v>
      </c>
      <c r="D1543" s="669">
        <v>50700</v>
      </c>
    </row>
    <row r="1544" spans="1:4" s="23" customFormat="1" ht="89.25" x14ac:dyDescent="0.25">
      <c r="A1544" s="667">
        <v>1536</v>
      </c>
      <c r="B1544" s="886" t="s">
        <v>4714</v>
      </c>
      <c r="C1544" s="885" t="s">
        <v>4715</v>
      </c>
      <c r="D1544" s="669">
        <v>124900</v>
      </c>
    </row>
    <row r="1545" spans="1:4" s="23" customFormat="1" ht="51" x14ac:dyDescent="0.25">
      <c r="A1545" s="667">
        <v>1537</v>
      </c>
      <c r="B1545" s="886" t="s">
        <v>4716</v>
      </c>
      <c r="C1545" s="885" t="s">
        <v>4717</v>
      </c>
      <c r="D1545" s="669">
        <v>75000</v>
      </c>
    </row>
    <row r="1546" spans="1:4" s="23" customFormat="1" ht="51" x14ac:dyDescent="0.25">
      <c r="A1546" s="667">
        <v>1538</v>
      </c>
      <c r="B1546" s="886" t="s">
        <v>4718</v>
      </c>
      <c r="C1546" s="885" t="s">
        <v>4719</v>
      </c>
      <c r="D1546" s="669">
        <v>59000</v>
      </c>
    </row>
    <row r="1547" spans="1:4" s="23" customFormat="1" ht="38.25" x14ac:dyDescent="0.25">
      <c r="A1547" s="667">
        <v>1539</v>
      </c>
      <c r="B1547" s="886" t="s">
        <v>4720</v>
      </c>
      <c r="C1547" s="885" t="s">
        <v>4721</v>
      </c>
      <c r="D1547" s="669">
        <v>82455.12</v>
      </c>
    </row>
    <row r="1548" spans="1:4" s="23" customFormat="1" ht="38.25" x14ac:dyDescent="0.25">
      <c r="A1548" s="667">
        <v>1540</v>
      </c>
      <c r="B1548" s="886" t="s">
        <v>4722</v>
      </c>
      <c r="C1548" s="885" t="s">
        <v>4723</v>
      </c>
      <c r="D1548" s="669">
        <v>54243.95</v>
      </c>
    </row>
    <row r="1549" spans="1:4" s="23" customFormat="1" ht="38.25" x14ac:dyDescent="0.25">
      <c r="A1549" s="667">
        <v>1541</v>
      </c>
      <c r="B1549" s="886" t="s">
        <v>4724</v>
      </c>
      <c r="C1549" s="885" t="s">
        <v>4725</v>
      </c>
      <c r="D1549" s="669">
        <v>29847.58</v>
      </c>
    </row>
    <row r="1550" spans="1:4" s="23" customFormat="1" ht="63.75" x14ac:dyDescent="0.25">
      <c r="A1550" s="667">
        <v>1542</v>
      </c>
      <c r="B1550" s="886" t="s">
        <v>4726</v>
      </c>
      <c r="C1550" s="885" t="s">
        <v>4727</v>
      </c>
      <c r="D1550" s="669">
        <v>19257.939999999999</v>
      </c>
    </row>
    <row r="1551" spans="1:4" s="23" customFormat="1" ht="51" x14ac:dyDescent="0.25">
      <c r="A1551" s="667">
        <v>1543</v>
      </c>
      <c r="B1551" s="886" t="s">
        <v>4728</v>
      </c>
      <c r="C1551" s="885" t="s">
        <v>4729</v>
      </c>
      <c r="D1551" s="669">
        <v>218082.15</v>
      </c>
    </row>
    <row r="1552" spans="1:4" s="23" customFormat="1" ht="38.25" x14ac:dyDescent="0.25">
      <c r="A1552" s="667">
        <v>1544</v>
      </c>
      <c r="B1552" s="886" t="s">
        <v>4730</v>
      </c>
      <c r="C1552" s="885" t="s">
        <v>4731</v>
      </c>
      <c r="D1552" s="669">
        <v>512836.57</v>
      </c>
    </row>
    <row r="1553" spans="1:4" s="23" customFormat="1" ht="38.25" x14ac:dyDescent="0.25">
      <c r="A1553" s="667">
        <v>1545</v>
      </c>
      <c r="B1553" s="886" t="s">
        <v>4732</v>
      </c>
      <c r="C1553" s="885" t="s">
        <v>4733</v>
      </c>
      <c r="D1553" s="669">
        <v>34700.080000000002</v>
      </c>
    </row>
    <row r="1554" spans="1:4" s="23" customFormat="1" ht="25.5" x14ac:dyDescent="0.25">
      <c r="A1554" s="667">
        <v>1546</v>
      </c>
      <c r="B1554" s="886" t="s">
        <v>4734</v>
      </c>
      <c r="C1554" s="885" t="s">
        <v>4735</v>
      </c>
      <c r="D1554" s="669">
        <v>19054.990000000002</v>
      </c>
    </row>
    <row r="1555" spans="1:4" s="23" customFormat="1" ht="38.25" x14ac:dyDescent="0.25">
      <c r="A1555" s="667">
        <v>1547</v>
      </c>
      <c r="B1555" s="886" t="s">
        <v>4736</v>
      </c>
      <c r="C1555" s="885" t="s">
        <v>4737</v>
      </c>
      <c r="D1555" s="669">
        <v>512836.56</v>
      </c>
    </row>
    <row r="1556" spans="1:4" s="23" customFormat="1" ht="38.25" x14ac:dyDescent="0.25">
      <c r="A1556" s="667">
        <v>1548</v>
      </c>
      <c r="B1556" s="886" t="s">
        <v>4738</v>
      </c>
      <c r="C1556" s="885" t="s">
        <v>4739</v>
      </c>
      <c r="D1556" s="669">
        <v>375095.29</v>
      </c>
    </row>
    <row r="1557" spans="1:4" s="23" customFormat="1" ht="25.5" x14ac:dyDescent="0.25">
      <c r="A1557" s="667">
        <v>1549</v>
      </c>
      <c r="B1557" s="886" t="s">
        <v>4740</v>
      </c>
      <c r="C1557" s="885" t="s">
        <v>4741</v>
      </c>
      <c r="D1557" s="669">
        <v>45700.88</v>
      </c>
    </row>
    <row r="1558" spans="1:4" s="23" customFormat="1" ht="102" x14ac:dyDescent="0.25">
      <c r="A1558" s="667">
        <v>1550</v>
      </c>
      <c r="B1558" s="886" t="s">
        <v>4742</v>
      </c>
      <c r="C1558" s="885" t="s">
        <v>4743</v>
      </c>
      <c r="D1558" s="669">
        <v>49866.3</v>
      </c>
    </row>
    <row r="1559" spans="1:4" s="23" customFormat="1" ht="38.25" x14ac:dyDescent="0.25">
      <c r="A1559" s="667">
        <v>1551</v>
      </c>
      <c r="B1559" s="886" t="s">
        <v>4744</v>
      </c>
      <c r="C1559" s="885" t="s">
        <v>4745</v>
      </c>
      <c r="D1559" s="669">
        <v>45700.88</v>
      </c>
    </row>
    <row r="1560" spans="1:4" s="23" customFormat="1" ht="38.25" x14ac:dyDescent="0.25">
      <c r="A1560" s="667">
        <v>1552</v>
      </c>
      <c r="B1560" s="886" t="s">
        <v>4746</v>
      </c>
      <c r="C1560" s="885" t="s">
        <v>4745</v>
      </c>
      <c r="D1560" s="669">
        <v>45700.88</v>
      </c>
    </row>
    <row r="1561" spans="1:4" s="23" customFormat="1" x14ac:dyDescent="0.25">
      <c r="A1561" s="667">
        <v>1553</v>
      </c>
      <c r="B1561" s="886" t="s">
        <v>4747</v>
      </c>
      <c r="C1561" s="885" t="s">
        <v>4748</v>
      </c>
      <c r="D1561" s="669">
        <v>21216</v>
      </c>
    </row>
    <row r="1562" spans="1:4" s="23" customFormat="1" x14ac:dyDescent="0.25">
      <c r="A1562" s="667">
        <v>1554</v>
      </c>
      <c r="B1562" s="886" t="s">
        <v>4749</v>
      </c>
      <c r="C1562" s="885" t="s">
        <v>4748</v>
      </c>
      <c r="D1562" s="669">
        <v>21216</v>
      </c>
    </row>
    <row r="1563" spans="1:4" s="23" customFormat="1" ht="25.5" x14ac:dyDescent="0.25">
      <c r="A1563" s="667">
        <v>1555</v>
      </c>
      <c r="B1563" s="886" t="s">
        <v>4750</v>
      </c>
      <c r="C1563" s="885" t="s">
        <v>4751</v>
      </c>
      <c r="D1563" s="669">
        <v>62453.35</v>
      </c>
    </row>
    <row r="1564" spans="1:4" s="23" customFormat="1" ht="25.5" x14ac:dyDescent="0.25">
      <c r="A1564" s="667">
        <v>1556</v>
      </c>
      <c r="B1564" s="886" t="s">
        <v>4752</v>
      </c>
      <c r="C1564" s="885" t="s">
        <v>4753</v>
      </c>
      <c r="D1564" s="669">
        <v>62453.35</v>
      </c>
    </row>
    <row r="1565" spans="1:4" s="23" customFormat="1" ht="25.5" x14ac:dyDescent="0.25">
      <c r="A1565" s="667">
        <v>1557</v>
      </c>
      <c r="B1565" s="886" t="s">
        <v>4754</v>
      </c>
      <c r="C1565" s="885" t="s">
        <v>4755</v>
      </c>
      <c r="D1565" s="669">
        <v>188667.7</v>
      </c>
    </row>
    <row r="1566" spans="1:4" s="23" customFormat="1" ht="25.5" x14ac:dyDescent="0.25">
      <c r="A1566" s="667">
        <v>1558</v>
      </c>
      <c r="B1566" s="886" t="s">
        <v>4756</v>
      </c>
      <c r="C1566" s="885" t="s">
        <v>4757</v>
      </c>
      <c r="D1566" s="669">
        <v>263064.37</v>
      </c>
    </row>
    <row r="1567" spans="1:4" s="23" customFormat="1" ht="76.5" x14ac:dyDescent="0.25">
      <c r="A1567" s="667">
        <v>1559</v>
      </c>
      <c r="B1567" s="886" t="s">
        <v>4758</v>
      </c>
      <c r="C1567" s="885" t="s">
        <v>4759</v>
      </c>
      <c r="D1567" s="669">
        <v>123646.48</v>
      </c>
    </row>
    <row r="1568" spans="1:4" s="23" customFormat="1" ht="51" x14ac:dyDescent="0.25">
      <c r="A1568" s="667">
        <v>1560</v>
      </c>
      <c r="B1568" s="886" t="s">
        <v>4760</v>
      </c>
      <c r="C1568" s="885" t="s">
        <v>4761</v>
      </c>
      <c r="D1568" s="669">
        <v>49028.14</v>
      </c>
    </row>
    <row r="1569" spans="1:4" s="23" customFormat="1" ht="51" x14ac:dyDescent="0.25">
      <c r="A1569" s="667">
        <v>1561</v>
      </c>
      <c r="B1569" s="886" t="s">
        <v>4762</v>
      </c>
      <c r="C1569" s="885" t="s">
        <v>4763</v>
      </c>
      <c r="D1569" s="669">
        <v>40645</v>
      </c>
    </row>
    <row r="1570" spans="1:4" s="23" customFormat="1" ht="51" x14ac:dyDescent="0.25">
      <c r="A1570" s="667">
        <v>1562</v>
      </c>
      <c r="B1570" s="886" t="s">
        <v>4764</v>
      </c>
      <c r="C1570" s="885" t="s">
        <v>4763</v>
      </c>
      <c r="D1570" s="669">
        <v>40645</v>
      </c>
    </row>
    <row r="1571" spans="1:4" s="23" customFormat="1" ht="51" x14ac:dyDescent="0.25">
      <c r="A1571" s="667">
        <v>1563</v>
      </c>
      <c r="B1571" s="886" t="s">
        <v>4765</v>
      </c>
      <c r="C1571" s="885" t="s">
        <v>4766</v>
      </c>
      <c r="D1571" s="669">
        <v>44204.35</v>
      </c>
    </row>
    <row r="1572" spans="1:4" s="23" customFormat="1" ht="38.25" x14ac:dyDescent="0.25">
      <c r="A1572" s="667">
        <v>1564</v>
      </c>
      <c r="B1572" s="886" t="s">
        <v>4767</v>
      </c>
      <c r="C1572" s="885" t="s">
        <v>4768</v>
      </c>
      <c r="D1572" s="669">
        <v>119032.3</v>
      </c>
    </row>
    <row r="1573" spans="1:4" s="23" customFormat="1" ht="38.25" x14ac:dyDescent="0.25">
      <c r="A1573" s="667">
        <v>1565</v>
      </c>
      <c r="B1573" s="886" t="s">
        <v>4769</v>
      </c>
      <c r="C1573" s="885" t="s">
        <v>4768</v>
      </c>
      <c r="D1573" s="669">
        <v>119032.3</v>
      </c>
    </row>
    <row r="1574" spans="1:4" s="23" customFormat="1" ht="25.5" x14ac:dyDescent="0.25">
      <c r="A1574" s="667">
        <v>1566</v>
      </c>
      <c r="B1574" s="886" t="s">
        <v>4770</v>
      </c>
      <c r="C1574" s="885" t="s">
        <v>4771</v>
      </c>
      <c r="D1574" s="669">
        <v>10811.18</v>
      </c>
    </row>
    <row r="1575" spans="1:4" s="23" customFormat="1" ht="51" x14ac:dyDescent="0.25">
      <c r="A1575" s="667">
        <v>1567</v>
      </c>
      <c r="B1575" s="886" t="s">
        <v>4772</v>
      </c>
      <c r="C1575" s="885" t="s">
        <v>4773</v>
      </c>
      <c r="D1575" s="669">
        <v>157056.20000000001</v>
      </c>
    </row>
    <row r="1576" spans="1:4" s="23" customFormat="1" ht="51" x14ac:dyDescent="0.25">
      <c r="A1576" s="667">
        <v>1568</v>
      </c>
      <c r="B1576" s="886" t="s">
        <v>4774</v>
      </c>
      <c r="C1576" s="885" t="s">
        <v>4773</v>
      </c>
      <c r="D1576" s="669">
        <v>157056.20000000001</v>
      </c>
    </row>
    <row r="1577" spans="1:4" s="23" customFormat="1" ht="25.5" x14ac:dyDescent="0.25">
      <c r="A1577" s="667">
        <v>1569</v>
      </c>
      <c r="B1577" s="886" t="s">
        <v>4775</v>
      </c>
      <c r="C1577" s="885" t="s">
        <v>4776</v>
      </c>
      <c r="D1577" s="669">
        <v>116058.81</v>
      </c>
    </row>
    <row r="1578" spans="1:4" s="23" customFormat="1" ht="76.5" x14ac:dyDescent="0.25">
      <c r="A1578" s="667">
        <v>1570</v>
      </c>
      <c r="B1578" s="886" t="s">
        <v>4777</v>
      </c>
      <c r="C1578" s="885" t="s">
        <v>4778</v>
      </c>
      <c r="D1578" s="669">
        <v>107948.3</v>
      </c>
    </row>
    <row r="1579" spans="1:4" s="23" customFormat="1" ht="89.25" x14ac:dyDescent="0.25">
      <c r="A1579" s="667">
        <v>1571</v>
      </c>
      <c r="B1579" s="886" t="s">
        <v>4779</v>
      </c>
      <c r="C1579" s="885" t="s">
        <v>4780</v>
      </c>
      <c r="D1579" s="669">
        <v>132890.70000000001</v>
      </c>
    </row>
    <row r="1580" spans="1:4" s="23" customFormat="1" x14ac:dyDescent="0.25">
      <c r="A1580" s="667">
        <v>1572</v>
      </c>
      <c r="B1580" s="886" t="s">
        <v>4781</v>
      </c>
      <c r="C1580" s="885" t="s">
        <v>4782</v>
      </c>
      <c r="D1580" s="669">
        <v>11050</v>
      </c>
    </row>
    <row r="1581" spans="1:4" s="23" customFormat="1" ht="76.5" x14ac:dyDescent="0.25">
      <c r="A1581" s="667">
        <v>1573</v>
      </c>
      <c r="B1581" s="886" t="s">
        <v>4783</v>
      </c>
      <c r="C1581" s="885" t="s">
        <v>4784</v>
      </c>
      <c r="D1581" s="669">
        <v>114056.4</v>
      </c>
    </row>
    <row r="1582" spans="1:4" s="23" customFormat="1" ht="25.5" x14ac:dyDescent="0.25">
      <c r="A1582" s="667">
        <v>1574</v>
      </c>
      <c r="B1582" s="886" t="s">
        <v>4785</v>
      </c>
      <c r="C1582" s="885" t="s">
        <v>4786</v>
      </c>
      <c r="D1582" s="669">
        <v>157056.20000000001</v>
      </c>
    </row>
    <row r="1583" spans="1:4" s="23" customFormat="1" ht="76.5" x14ac:dyDescent="0.25">
      <c r="A1583" s="667">
        <v>1575</v>
      </c>
      <c r="B1583" s="886" t="s">
        <v>4787</v>
      </c>
      <c r="C1583" s="885" t="s">
        <v>4788</v>
      </c>
      <c r="D1583" s="669">
        <v>496150</v>
      </c>
    </row>
    <row r="1584" spans="1:4" s="23" customFormat="1" ht="76.5" x14ac:dyDescent="0.25">
      <c r="A1584" s="667">
        <v>1576</v>
      </c>
      <c r="B1584" s="886" t="s">
        <v>4789</v>
      </c>
      <c r="C1584" s="885" t="s">
        <v>4790</v>
      </c>
      <c r="D1584" s="669">
        <v>496150</v>
      </c>
    </row>
    <row r="1585" spans="1:4" s="23" customFormat="1" ht="25.5" x14ac:dyDescent="0.25">
      <c r="A1585" s="667">
        <v>1577</v>
      </c>
      <c r="B1585" s="886" t="s">
        <v>4791</v>
      </c>
      <c r="C1585" s="885" t="s">
        <v>4792</v>
      </c>
      <c r="D1585" s="669">
        <v>51260</v>
      </c>
    </row>
    <row r="1586" spans="1:4" s="23" customFormat="1" ht="25.5" x14ac:dyDescent="0.25">
      <c r="A1586" s="667">
        <v>1578</v>
      </c>
      <c r="B1586" s="886" t="s">
        <v>4793</v>
      </c>
      <c r="C1586" s="885" t="s">
        <v>4794</v>
      </c>
      <c r="D1586" s="669">
        <v>11823.5</v>
      </c>
    </row>
    <row r="1587" spans="1:4" s="23" customFormat="1" ht="25.5" x14ac:dyDescent="0.25">
      <c r="A1587" s="667">
        <v>1579</v>
      </c>
      <c r="B1587" s="886" t="s">
        <v>4795</v>
      </c>
      <c r="C1587" s="885" t="s">
        <v>4794</v>
      </c>
      <c r="D1587" s="669">
        <v>11823.5</v>
      </c>
    </row>
    <row r="1588" spans="1:4" s="23" customFormat="1" ht="38.25" x14ac:dyDescent="0.25">
      <c r="A1588" s="667">
        <v>1580</v>
      </c>
      <c r="B1588" s="886" t="s">
        <v>4796</v>
      </c>
      <c r="C1588" s="885" t="s">
        <v>4797</v>
      </c>
      <c r="D1588" s="669">
        <v>9069.84</v>
      </c>
    </row>
    <row r="1589" spans="1:4" s="23" customFormat="1" ht="25.5" x14ac:dyDescent="0.25">
      <c r="A1589" s="667">
        <v>1581</v>
      </c>
      <c r="B1589" s="886" t="s">
        <v>4798</v>
      </c>
      <c r="C1589" s="885" t="s">
        <v>4799</v>
      </c>
      <c r="D1589" s="669">
        <v>81605.78</v>
      </c>
    </row>
    <row r="1590" spans="1:4" s="23" customFormat="1" ht="25.5" x14ac:dyDescent="0.25">
      <c r="A1590" s="667">
        <v>1582</v>
      </c>
      <c r="B1590" s="886" t="s">
        <v>4800</v>
      </c>
      <c r="C1590" s="885" t="s">
        <v>4801</v>
      </c>
      <c r="D1590" s="669">
        <v>25650</v>
      </c>
    </row>
    <row r="1591" spans="1:4" s="23" customFormat="1" ht="63.75" x14ac:dyDescent="0.25">
      <c r="A1591" s="667">
        <v>1583</v>
      </c>
      <c r="B1591" s="886" t="s">
        <v>4802</v>
      </c>
      <c r="C1591" s="885" t="s">
        <v>4803</v>
      </c>
      <c r="D1591" s="669">
        <v>41560.32</v>
      </c>
    </row>
    <row r="1592" spans="1:4" s="23" customFormat="1" ht="63.75" x14ac:dyDescent="0.25">
      <c r="A1592" s="667">
        <v>1584</v>
      </c>
      <c r="B1592" s="886" t="s">
        <v>4804</v>
      </c>
      <c r="C1592" s="885" t="s">
        <v>4803</v>
      </c>
      <c r="D1592" s="669">
        <v>41560.32</v>
      </c>
    </row>
    <row r="1593" spans="1:4" s="23" customFormat="1" ht="63.75" x14ac:dyDescent="0.25">
      <c r="A1593" s="667">
        <v>1585</v>
      </c>
      <c r="B1593" s="886" t="s">
        <v>4805</v>
      </c>
      <c r="C1593" s="885" t="s">
        <v>4806</v>
      </c>
      <c r="D1593" s="669">
        <v>67270.080000000002</v>
      </c>
    </row>
    <row r="1594" spans="1:4" s="23" customFormat="1" ht="63.75" x14ac:dyDescent="0.25">
      <c r="A1594" s="667">
        <v>1586</v>
      </c>
      <c r="B1594" s="886" t="s">
        <v>4807</v>
      </c>
      <c r="C1594" s="885" t="s">
        <v>4803</v>
      </c>
      <c r="D1594" s="669">
        <v>41560.32</v>
      </c>
    </row>
    <row r="1595" spans="1:4" s="23" customFormat="1" ht="63.75" x14ac:dyDescent="0.25">
      <c r="A1595" s="667">
        <v>1587</v>
      </c>
      <c r="B1595" s="886" t="s">
        <v>4808</v>
      </c>
      <c r="C1595" s="885" t="s">
        <v>4809</v>
      </c>
      <c r="D1595" s="669">
        <v>38498.28</v>
      </c>
    </row>
    <row r="1596" spans="1:4" s="23" customFormat="1" ht="63.75" x14ac:dyDescent="0.25">
      <c r="A1596" s="667">
        <v>1588</v>
      </c>
      <c r="B1596" s="886" t="s">
        <v>4810</v>
      </c>
      <c r="C1596" s="885" t="s">
        <v>4811</v>
      </c>
      <c r="D1596" s="669">
        <v>36858.239999999998</v>
      </c>
    </row>
    <row r="1597" spans="1:4" s="23" customFormat="1" ht="63.75" x14ac:dyDescent="0.25">
      <c r="A1597" s="667">
        <v>1589</v>
      </c>
      <c r="B1597" s="886" t="s">
        <v>4812</v>
      </c>
      <c r="C1597" s="885" t="s">
        <v>4813</v>
      </c>
      <c r="D1597" s="669">
        <v>65658.48</v>
      </c>
    </row>
    <row r="1598" spans="1:4" s="23" customFormat="1" ht="63.75" x14ac:dyDescent="0.25">
      <c r="A1598" s="667">
        <v>1590</v>
      </c>
      <c r="B1598" s="886" t="s">
        <v>4814</v>
      </c>
      <c r="C1598" s="885" t="s">
        <v>4815</v>
      </c>
      <c r="D1598" s="669">
        <v>65658.48</v>
      </c>
    </row>
    <row r="1599" spans="1:4" s="23" customFormat="1" ht="63.75" x14ac:dyDescent="0.25">
      <c r="A1599" s="667">
        <v>1591</v>
      </c>
      <c r="B1599" s="886" t="s">
        <v>4816</v>
      </c>
      <c r="C1599" s="885" t="s">
        <v>4817</v>
      </c>
      <c r="D1599" s="669">
        <v>65658.48</v>
      </c>
    </row>
    <row r="1600" spans="1:4" s="23" customFormat="1" ht="63.75" x14ac:dyDescent="0.25">
      <c r="A1600" s="667">
        <v>1592</v>
      </c>
      <c r="B1600" s="886" t="s">
        <v>4818</v>
      </c>
      <c r="C1600" s="885" t="s">
        <v>4819</v>
      </c>
      <c r="D1600" s="669">
        <v>36858.239999999998</v>
      </c>
    </row>
    <row r="1601" spans="1:4" s="23" customFormat="1" ht="63.75" x14ac:dyDescent="0.25">
      <c r="A1601" s="667">
        <v>1593</v>
      </c>
      <c r="B1601" s="886" t="s">
        <v>4820</v>
      </c>
      <c r="C1601" s="885" t="s">
        <v>4821</v>
      </c>
      <c r="D1601" s="669">
        <v>99742.8</v>
      </c>
    </row>
    <row r="1602" spans="1:4" s="23" customFormat="1" ht="63.75" x14ac:dyDescent="0.25">
      <c r="A1602" s="667">
        <v>1594</v>
      </c>
      <c r="B1602" s="886" t="s">
        <v>4822</v>
      </c>
      <c r="C1602" s="885" t="s">
        <v>4823</v>
      </c>
      <c r="D1602" s="669">
        <v>69834</v>
      </c>
    </row>
    <row r="1603" spans="1:4" s="23" customFormat="1" ht="51" x14ac:dyDescent="0.25">
      <c r="A1603" s="667">
        <v>1595</v>
      </c>
      <c r="B1603" s="886" t="s">
        <v>4824</v>
      </c>
      <c r="C1603" s="885" t="s">
        <v>4825</v>
      </c>
      <c r="D1603" s="669">
        <v>72122.740000000005</v>
      </c>
    </row>
    <row r="1604" spans="1:4" s="23" customFormat="1" ht="51" x14ac:dyDescent="0.25">
      <c r="A1604" s="667">
        <v>1596</v>
      </c>
      <c r="B1604" s="886" t="s">
        <v>4826</v>
      </c>
      <c r="C1604" s="885" t="s">
        <v>4825</v>
      </c>
      <c r="D1604" s="669">
        <v>72122.740000000005</v>
      </c>
    </row>
    <row r="1605" spans="1:4" s="23" customFormat="1" ht="25.5" x14ac:dyDescent="0.25">
      <c r="A1605" s="667">
        <v>1597</v>
      </c>
      <c r="B1605" s="886" t="s">
        <v>4827</v>
      </c>
      <c r="C1605" s="885" t="s">
        <v>4828</v>
      </c>
      <c r="D1605" s="669">
        <v>115783.2</v>
      </c>
    </row>
    <row r="1606" spans="1:4" s="23" customFormat="1" ht="25.5" x14ac:dyDescent="0.25">
      <c r="A1606" s="667">
        <v>1598</v>
      </c>
      <c r="B1606" s="886" t="s">
        <v>4829</v>
      </c>
      <c r="C1606" s="885" t="s">
        <v>4830</v>
      </c>
      <c r="D1606" s="669">
        <v>123789.84</v>
      </c>
    </row>
    <row r="1607" spans="1:4" s="23" customFormat="1" ht="25.5" x14ac:dyDescent="0.25">
      <c r="A1607" s="667">
        <v>1599</v>
      </c>
      <c r="B1607" s="886" t="s">
        <v>4831</v>
      </c>
      <c r="C1607" s="885" t="s">
        <v>4832</v>
      </c>
      <c r="D1607" s="669">
        <v>36169.5</v>
      </c>
    </row>
    <row r="1608" spans="1:4" s="23" customFormat="1" ht="25.5" x14ac:dyDescent="0.25">
      <c r="A1608" s="667">
        <v>1600</v>
      </c>
      <c r="B1608" s="886" t="s">
        <v>4833</v>
      </c>
      <c r="C1608" s="885" t="s">
        <v>4834</v>
      </c>
      <c r="D1608" s="669">
        <v>7309.68</v>
      </c>
    </row>
    <row r="1609" spans="1:4" s="23" customFormat="1" ht="38.25" x14ac:dyDescent="0.25">
      <c r="A1609" s="667">
        <v>1601</v>
      </c>
      <c r="B1609" s="886" t="s">
        <v>4835</v>
      </c>
      <c r="C1609" s="885" t="s">
        <v>4836</v>
      </c>
      <c r="D1609" s="669">
        <v>50075.01</v>
      </c>
    </row>
    <row r="1610" spans="1:4" s="23" customFormat="1" ht="25.5" x14ac:dyDescent="0.25">
      <c r="A1610" s="667">
        <v>1602</v>
      </c>
      <c r="B1610" s="886" t="s">
        <v>4837</v>
      </c>
      <c r="C1610" s="885" t="s">
        <v>4838</v>
      </c>
      <c r="D1610" s="669">
        <v>101673</v>
      </c>
    </row>
    <row r="1611" spans="1:4" s="23" customFormat="1" ht="25.5" x14ac:dyDescent="0.25">
      <c r="A1611" s="667">
        <v>1603</v>
      </c>
      <c r="B1611" s="886" t="s">
        <v>4839</v>
      </c>
      <c r="C1611" s="885" t="s">
        <v>4840</v>
      </c>
      <c r="D1611" s="669">
        <v>71186.11</v>
      </c>
    </row>
    <row r="1612" spans="1:4" s="23" customFormat="1" ht="38.25" x14ac:dyDescent="0.25">
      <c r="A1612" s="667">
        <v>1604</v>
      </c>
      <c r="B1612" s="886" t="s">
        <v>4841</v>
      </c>
      <c r="C1612" s="885" t="s">
        <v>4842</v>
      </c>
      <c r="D1612" s="669">
        <v>66810</v>
      </c>
    </row>
    <row r="1613" spans="1:4" s="23" customFormat="1" ht="51" x14ac:dyDescent="0.25">
      <c r="A1613" s="667">
        <v>1605</v>
      </c>
      <c r="B1613" s="886" t="s">
        <v>4843</v>
      </c>
      <c r="C1613" s="885" t="s">
        <v>4844</v>
      </c>
      <c r="D1613" s="669">
        <v>15108.75</v>
      </c>
    </row>
    <row r="1614" spans="1:4" s="23" customFormat="1" ht="51" x14ac:dyDescent="0.25">
      <c r="A1614" s="667">
        <v>1606</v>
      </c>
      <c r="B1614" s="886" t="s">
        <v>4845</v>
      </c>
      <c r="C1614" s="885" t="s">
        <v>4846</v>
      </c>
      <c r="D1614" s="669">
        <v>20501.25</v>
      </c>
    </row>
    <row r="1615" spans="1:4" s="23" customFormat="1" ht="76.5" x14ac:dyDescent="0.25">
      <c r="A1615" s="667">
        <v>1607</v>
      </c>
      <c r="B1615" s="886" t="s">
        <v>4847</v>
      </c>
      <c r="C1615" s="885" t="s">
        <v>4848</v>
      </c>
      <c r="D1615" s="669">
        <v>10842</v>
      </c>
    </row>
    <row r="1616" spans="1:4" s="23" customFormat="1" ht="63.75" x14ac:dyDescent="0.25">
      <c r="A1616" s="667">
        <v>1608</v>
      </c>
      <c r="B1616" s="886" t="s">
        <v>4849</v>
      </c>
      <c r="C1616" s="885" t="s">
        <v>4850</v>
      </c>
      <c r="D1616" s="669">
        <v>156948.54999999999</v>
      </c>
    </row>
    <row r="1617" spans="1:4" s="23" customFormat="1" ht="63.75" x14ac:dyDescent="0.25">
      <c r="A1617" s="667">
        <v>1609</v>
      </c>
      <c r="B1617" s="886" t="s">
        <v>4851</v>
      </c>
      <c r="C1617" s="885" t="s">
        <v>4852</v>
      </c>
      <c r="D1617" s="669">
        <v>43433.81</v>
      </c>
    </row>
    <row r="1618" spans="1:4" s="23" customFormat="1" ht="51" x14ac:dyDescent="0.25">
      <c r="A1618" s="667">
        <v>1610</v>
      </c>
      <c r="B1618" s="886" t="s">
        <v>4853</v>
      </c>
      <c r="C1618" s="885" t="s">
        <v>4854</v>
      </c>
      <c r="D1618" s="669">
        <v>10409.48</v>
      </c>
    </row>
    <row r="1619" spans="1:4" s="23" customFormat="1" ht="51" x14ac:dyDescent="0.25">
      <c r="A1619" s="667">
        <v>1611</v>
      </c>
      <c r="B1619" s="886" t="s">
        <v>4855</v>
      </c>
      <c r="C1619" s="885" t="s">
        <v>4856</v>
      </c>
      <c r="D1619" s="669">
        <v>111580</v>
      </c>
    </row>
    <row r="1620" spans="1:4" s="23" customFormat="1" ht="38.25" x14ac:dyDescent="0.25">
      <c r="A1620" s="667">
        <v>1612</v>
      </c>
      <c r="B1620" s="886" t="s">
        <v>4857</v>
      </c>
      <c r="C1620" s="885" t="s">
        <v>4858</v>
      </c>
      <c r="D1620" s="669">
        <v>35313.599999999999</v>
      </c>
    </row>
    <row r="1621" spans="1:4" s="23" customFormat="1" ht="38.25" x14ac:dyDescent="0.25">
      <c r="A1621" s="667">
        <v>1613</v>
      </c>
      <c r="B1621" s="886" t="s">
        <v>4859</v>
      </c>
      <c r="C1621" s="885" t="s">
        <v>4860</v>
      </c>
      <c r="D1621" s="669">
        <v>35313.599999999999</v>
      </c>
    </row>
    <row r="1622" spans="1:4" s="23" customFormat="1" ht="63.75" x14ac:dyDescent="0.25">
      <c r="A1622" s="667">
        <v>1614</v>
      </c>
      <c r="B1622" s="886" t="s">
        <v>4861</v>
      </c>
      <c r="C1622" s="885" t="s">
        <v>4862</v>
      </c>
      <c r="D1622" s="669">
        <v>72450</v>
      </c>
    </row>
    <row r="1623" spans="1:4" s="23" customFormat="1" ht="63.75" x14ac:dyDescent="0.25">
      <c r="A1623" s="667">
        <v>1615</v>
      </c>
      <c r="B1623" s="886" t="s">
        <v>4863</v>
      </c>
      <c r="C1623" s="885" t="s">
        <v>4864</v>
      </c>
      <c r="D1623" s="669">
        <v>111890</v>
      </c>
    </row>
    <row r="1624" spans="1:4" s="23" customFormat="1" ht="38.25" x14ac:dyDescent="0.25">
      <c r="A1624" s="667">
        <v>1616</v>
      </c>
      <c r="B1624" s="886" t="s">
        <v>4865</v>
      </c>
      <c r="C1624" s="885" t="s">
        <v>4866</v>
      </c>
      <c r="D1624" s="669">
        <v>118103.45</v>
      </c>
    </row>
    <row r="1625" spans="1:4" s="23" customFormat="1" ht="38.25" x14ac:dyDescent="0.25">
      <c r="A1625" s="667">
        <v>1617</v>
      </c>
      <c r="B1625" s="886" t="s">
        <v>4867</v>
      </c>
      <c r="C1625" s="885" t="s">
        <v>4868</v>
      </c>
      <c r="D1625" s="669">
        <v>90517.24</v>
      </c>
    </row>
    <row r="1626" spans="1:4" s="23" customFormat="1" ht="25.5" x14ac:dyDescent="0.25">
      <c r="A1626" s="667">
        <v>1618</v>
      </c>
      <c r="B1626" s="886" t="s">
        <v>4869</v>
      </c>
      <c r="C1626" s="885" t="s">
        <v>4870</v>
      </c>
      <c r="D1626" s="669">
        <v>161206.9</v>
      </c>
    </row>
    <row r="1627" spans="1:4" s="23" customFormat="1" ht="38.25" x14ac:dyDescent="0.25">
      <c r="A1627" s="667">
        <v>1619</v>
      </c>
      <c r="B1627" s="886" t="s">
        <v>4871</v>
      </c>
      <c r="C1627" s="885" t="s">
        <v>4872</v>
      </c>
      <c r="D1627" s="669">
        <v>204310.35</v>
      </c>
    </row>
    <row r="1628" spans="1:4" s="23" customFormat="1" ht="38.25" x14ac:dyDescent="0.25">
      <c r="A1628" s="667">
        <v>1620</v>
      </c>
      <c r="B1628" s="886" t="s">
        <v>4873</v>
      </c>
      <c r="C1628" s="885" t="s">
        <v>4874</v>
      </c>
      <c r="D1628" s="669">
        <v>592192</v>
      </c>
    </row>
    <row r="1629" spans="1:4" s="23" customFormat="1" ht="38.25" x14ac:dyDescent="0.25">
      <c r="A1629" s="667">
        <v>1621</v>
      </c>
      <c r="B1629" s="886" t="s">
        <v>4875</v>
      </c>
      <c r="C1629" s="885" t="s">
        <v>4876</v>
      </c>
      <c r="D1629" s="669">
        <v>75792</v>
      </c>
    </row>
    <row r="1630" spans="1:4" s="23" customFormat="1" ht="63.75" x14ac:dyDescent="0.25">
      <c r="A1630" s="667">
        <v>1622</v>
      </c>
      <c r="B1630" s="886" t="s">
        <v>4877</v>
      </c>
      <c r="C1630" s="885" t="s">
        <v>4878</v>
      </c>
      <c r="D1630" s="669">
        <v>295261.18</v>
      </c>
    </row>
    <row r="1631" spans="1:4" s="23" customFormat="1" ht="51" x14ac:dyDescent="0.25">
      <c r="A1631" s="667">
        <v>1623</v>
      </c>
      <c r="B1631" s="886" t="s">
        <v>4879</v>
      </c>
      <c r="C1631" s="885" t="s">
        <v>4880</v>
      </c>
      <c r="D1631" s="669">
        <v>23608.03</v>
      </c>
    </row>
    <row r="1632" spans="1:4" s="23" customFormat="1" ht="51" x14ac:dyDescent="0.25">
      <c r="A1632" s="667">
        <v>1624</v>
      </c>
      <c r="B1632" s="886" t="s">
        <v>4881</v>
      </c>
      <c r="C1632" s="885" t="s">
        <v>4882</v>
      </c>
      <c r="D1632" s="669">
        <v>28525</v>
      </c>
    </row>
    <row r="1633" spans="1:4" s="23" customFormat="1" ht="51" x14ac:dyDescent="0.25">
      <c r="A1633" s="667">
        <v>1625</v>
      </c>
      <c r="B1633" s="886" t="s">
        <v>4883</v>
      </c>
      <c r="C1633" s="885" t="s">
        <v>4884</v>
      </c>
      <c r="D1633" s="669">
        <v>28525</v>
      </c>
    </row>
    <row r="1634" spans="1:4" s="23" customFormat="1" ht="51" x14ac:dyDescent="0.25">
      <c r="A1634" s="667">
        <v>1626</v>
      </c>
      <c r="B1634" s="886" t="s">
        <v>4885</v>
      </c>
      <c r="C1634" s="885" t="s">
        <v>4886</v>
      </c>
      <c r="D1634" s="669">
        <v>28525</v>
      </c>
    </row>
    <row r="1635" spans="1:4" s="23" customFormat="1" ht="51" x14ac:dyDescent="0.25">
      <c r="A1635" s="667">
        <v>1627</v>
      </c>
      <c r="B1635" s="886" t="s">
        <v>4887</v>
      </c>
      <c r="C1635" s="885" t="s">
        <v>4888</v>
      </c>
      <c r="D1635" s="669">
        <v>28525</v>
      </c>
    </row>
    <row r="1636" spans="1:4" s="23" customFormat="1" ht="51" x14ac:dyDescent="0.25">
      <c r="A1636" s="667">
        <v>1628</v>
      </c>
      <c r="B1636" s="886" t="s">
        <v>4889</v>
      </c>
      <c r="C1636" s="885" t="s">
        <v>4890</v>
      </c>
      <c r="D1636" s="669">
        <v>36338.75</v>
      </c>
    </row>
    <row r="1637" spans="1:4" s="23" customFormat="1" ht="63.75" x14ac:dyDescent="0.25">
      <c r="A1637" s="667">
        <v>1629</v>
      </c>
      <c r="B1637" s="886" t="s">
        <v>4891</v>
      </c>
      <c r="C1637" s="885" t="s">
        <v>4892</v>
      </c>
      <c r="D1637" s="669">
        <v>42788.2</v>
      </c>
    </row>
    <row r="1638" spans="1:4" s="23" customFormat="1" ht="51" x14ac:dyDescent="0.25">
      <c r="A1638" s="667">
        <v>1630</v>
      </c>
      <c r="B1638" s="886" t="s">
        <v>4893</v>
      </c>
      <c r="C1638" s="885" t="s">
        <v>4894</v>
      </c>
      <c r="D1638" s="669">
        <v>10221.049999999999</v>
      </c>
    </row>
    <row r="1639" spans="1:4" s="23" customFormat="1" ht="38.25" x14ac:dyDescent="0.25">
      <c r="A1639" s="667">
        <v>1631</v>
      </c>
      <c r="B1639" s="886" t="s">
        <v>4895</v>
      </c>
      <c r="C1639" s="885" t="s">
        <v>4896</v>
      </c>
      <c r="D1639" s="669">
        <v>41206</v>
      </c>
    </row>
    <row r="1640" spans="1:4" s="23" customFormat="1" ht="38.25" x14ac:dyDescent="0.25">
      <c r="A1640" s="667">
        <v>1632</v>
      </c>
      <c r="B1640" s="886" t="s">
        <v>4897</v>
      </c>
      <c r="C1640" s="885" t="s">
        <v>4898</v>
      </c>
      <c r="D1640" s="669">
        <v>28789.49</v>
      </c>
    </row>
    <row r="1641" spans="1:4" s="23" customFormat="1" ht="38.25" x14ac:dyDescent="0.25">
      <c r="A1641" s="667">
        <v>1633</v>
      </c>
      <c r="B1641" s="886" t="s">
        <v>4899</v>
      </c>
      <c r="C1641" s="885" t="s">
        <v>4900</v>
      </c>
      <c r="D1641" s="669">
        <v>29652.02</v>
      </c>
    </row>
    <row r="1642" spans="1:4" s="23" customFormat="1" ht="38.25" x14ac:dyDescent="0.25">
      <c r="A1642" s="667">
        <v>1634</v>
      </c>
      <c r="B1642" s="886" t="s">
        <v>4901</v>
      </c>
      <c r="C1642" s="885" t="s">
        <v>4902</v>
      </c>
      <c r="D1642" s="669">
        <v>28789.47</v>
      </c>
    </row>
    <row r="1643" spans="1:4" s="23" customFormat="1" ht="38.25" x14ac:dyDescent="0.25">
      <c r="A1643" s="667">
        <v>1635</v>
      </c>
      <c r="B1643" s="886" t="s">
        <v>4903</v>
      </c>
      <c r="C1643" s="885" t="s">
        <v>4904</v>
      </c>
      <c r="D1643" s="669">
        <v>19604</v>
      </c>
    </row>
    <row r="1644" spans="1:4" s="23" customFormat="1" ht="51" x14ac:dyDescent="0.25">
      <c r="A1644" s="667">
        <v>1636</v>
      </c>
      <c r="B1644" s="886" t="s">
        <v>4905</v>
      </c>
      <c r="C1644" s="885" t="s">
        <v>4906</v>
      </c>
      <c r="D1644" s="669">
        <v>11385</v>
      </c>
    </row>
    <row r="1645" spans="1:4" s="23" customFormat="1" ht="51" x14ac:dyDescent="0.25">
      <c r="A1645" s="667">
        <v>1637</v>
      </c>
      <c r="B1645" s="886" t="s">
        <v>4907</v>
      </c>
      <c r="C1645" s="885" t="s">
        <v>4906</v>
      </c>
      <c r="D1645" s="669">
        <v>11385</v>
      </c>
    </row>
    <row r="1646" spans="1:4" s="23" customFormat="1" ht="25.5" x14ac:dyDescent="0.25">
      <c r="A1646" s="667">
        <v>1638</v>
      </c>
      <c r="B1646" s="668" t="s">
        <v>4908</v>
      </c>
      <c r="C1646" s="885" t="s">
        <v>4909</v>
      </c>
      <c r="D1646" s="669">
        <v>28615.68</v>
      </c>
    </row>
    <row r="1647" spans="1:4" s="23" customFormat="1" ht="38.25" x14ac:dyDescent="0.25">
      <c r="A1647" s="667">
        <v>1639</v>
      </c>
      <c r="B1647" s="668" t="s">
        <v>4910</v>
      </c>
      <c r="C1647" s="885" t="s">
        <v>4911</v>
      </c>
      <c r="D1647" s="669">
        <v>4500</v>
      </c>
    </row>
    <row r="1648" spans="1:4" s="23" customFormat="1" ht="38.25" x14ac:dyDescent="0.25">
      <c r="A1648" s="667">
        <v>1640</v>
      </c>
      <c r="B1648" s="668" t="s">
        <v>4912</v>
      </c>
      <c r="C1648" s="885" t="s">
        <v>4913</v>
      </c>
      <c r="D1648" s="669">
        <v>4500</v>
      </c>
    </row>
    <row r="1649" spans="1:4" s="23" customFormat="1" ht="38.25" x14ac:dyDescent="0.25">
      <c r="A1649" s="667">
        <v>1641</v>
      </c>
      <c r="B1649" s="668" t="s">
        <v>4914</v>
      </c>
      <c r="C1649" s="885" t="s">
        <v>4915</v>
      </c>
      <c r="D1649" s="669">
        <v>4500</v>
      </c>
    </row>
    <row r="1650" spans="1:4" s="23" customFormat="1" ht="38.25" x14ac:dyDescent="0.25">
      <c r="A1650" s="667">
        <v>1642</v>
      </c>
      <c r="B1650" s="668" t="s">
        <v>4916</v>
      </c>
      <c r="C1650" s="885" t="s">
        <v>4917</v>
      </c>
      <c r="D1650" s="669">
        <v>4500</v>
      </c>
    </row>
    <row r="1651" spans="1:4" s="23" customFormat="1" ht="38.25" x14ac:dyDescent="0.25">
      <c r="A1651" s="667">
        <v>1643</v>
      </c>
      <c r="B1651" s="668" t="s">
        <v>4918</v>
      </c>
      <c r="C1651" s="885" t="s">
        <v>4919</v>
      </c>
      <c r="D1651" s="669">
        <v>4500</v>
      </c>
    </row>
    <row r="1652" spans="1:4" s="23" customFormat="1" ht="38.25" x14ac:dyDescent="0.25">
      <c r="A1652" s="667">
        <v>1644</v>
      </c>
      <c r="B1652" s="668" t="s">
        <v>4920</v>
      </c>
      <c r="C1652" s="885" t="s">
        <v>4921</v>
      </c>
      <c r="D1652" s="669">
        <v>4500</v>
      </c>
    </row>
    <row r="1653" spans="1:4" s="23" customFormat="1" ht="38.25" x14ac:dyDescent="0.25">
      <c r="A1653" s="667">
        <v>1645</v>
      </c>
      <c r="B1653" s="668" t="s">
        <v>4922</v>
      </c>
      <c r="C1653" s="885" t="s">
        <v>4923</v>
      </c>
      <c r="D1653" s="669">
        <v>4500</v>
      </c>
    </row>
    <row r="1654" spans="1:4" s="23" customFormat="1" ht="38.25" x14ac:dyDescent="0.25">
      <c r="A1654" s="667">
        <v>1646</v>
      </c>
      <c r="B1654" s="668" t="s">
        <v>4924</v>
      </c>
      <c r="C1654" s="885" t="s">
        <v>4925</v>
      </c>
      <c r="D1654" s="669">
        <v>4500</v>
      </c>
    </row>
    <row r="1655" spans="1:4" s="23" customFormat="1" ht="38.25" x14ac:dyDescent="0.25">
      <c r="A1655" s="667">
        <v>1647</v>
      </c>
      <c r="B1655" s="668" t="s">
        <v>4926</v>
      </c>
      <c r="C1655" s="885" t="s">
        <v>4927</v>
      </c>
      <c r="D1655" s="669">
        <v>4500</v>
      </c>
    </row>
    <row r="1656" spans="1:4" s="23" customFormat="1" ht="38.25" x14ac:dyDescent="0.25">
      <c r="A1656" s="667">
        <v>1648</v>
      </c>
      <c r="B1656" s="668" t="s">
        <v>4928</v>
      </c>
      <c r="C1656" s="885" t="s">
        <v>4929</v>
      </c>
      <c r="D1656" s="669">
        <v>4500</v>
      </c>
    </row>
    <row r="1657" spans="1:4" s="23" customFormat="1" ht="38.25" x14ac:dyDescent="0.25">
      <c r="A1657" s="667">
        <v>1649</v>
      </c>
      <c r="B1657" s="668" t="s">
        <v>4930</v>
      </c>
      <c r="C1657" s="885" t="s">
        <v>4931</v>
      </c>
      <c r="D1657" s="669">
        <v>4500</v>
      </c>
    </row>
    <row r="1658" spans="1:4" s="23" customFormat="1" ht="38.25" x14ac:dyDescent="0.25">
      <c r="A1658" s="667">
        <v>1650</v>
      </c>
      <c r="B1658" s="668" t="s">
        <v>4932</v>
      </c>
      <c r="C1658" s="885" t="s">
        <v>4933</v>
      </c>
      <c r="D1658" s="669">
        <v>4500</v>
      </c>
    </row>
    <row r="1659" spans="1:4" s="23" customFormat="1" ht="25.5" x14ac:dyDescent="0.25">
      <c r="A1659" s="667">
        <v>1651</v>
      </c>
      <c r="B1659" s="668" t="s">
        <v>4934</v>
      </c>
      <c r="C1659" s="885" t="s">
        <v>4935</v>
      </c>
      <c r="D1659" s="669">
        <v>23740.5</v>
      </c>
    </row>
    <row r="1660" spans="1:4" s="23" customFormat="1" x14ac:dyDescent="0.25">
      <c r="A1660" s="667">
        <v>1652</v>
      </c>
      <c r="B1660" s="668" t="s">
        <v>4936</v>
      </c>
      <c r="C1660" s="885" t="s">
        <v>4937</v>
      </c>
      <c r="D1660" s="669">
        <v>49110.59</v>
      </c>
    </row>
    <row r="1661" spans="1:4" s="23" customFormat="1" x14ac:dyDescent="0.25">
      <c r="A1661" s="667">
        <v>1653</v>
      </c>
      <c r="B1661" s="668" t="s">
        <v>4938</v>
      </c>
      <c r="C1661" s="885" t="s">
        <v>4937</v>
      </c>
      <c r="D1661" s="669">
        <v>49110.59</v>
      </c>
    </row>
    <row r="1662" spans="1:4" s="23" customFormat="1" x14ac:dyDescent="0.25">
      <c r="A1662" s="667">
        <v>1654</v>
      </c>
      <c r="B1662" s="668" t="s">
        <v>4939</v>
      </c>
      <c r="C1662" s="885" t="s">
        <v>4940</v>
      </c>
      <c r="D1662" s="669">
        <v>3800</v>
      </c>
    </row>
    <row r="1663" spans="1:4" s="23" customFormat="1" x14ac:dyDescent="0.25">
      <c r="A1663" s="667">
        <v>1655</v>
      </c>
      <c r="B1663" s="668" t="s">
        <v>4941</v>
      </c>
      <c r="C1663" s="885" t="s">
        <v>4942</v>
      </c>
      <c r="D1663" s="669">
        <v>17450</v>
      </c>
    </row>
    <row r="1664" spans="1:4" s="23" customFormat="1" ht="25.5" x14ac:dyDescent="0.25">
      <c r="A1664" s="667">
        <v>1656</v>
      </c>
      <c r="B1664" s="668" t="s">
        <v>4943</v>
      </c>
      <c r="C1664" s="885" t="s">
        <v>4944</v>
      </c>
      <c r="D1664" s="669">
        <v>45130</v>
      </c>
    </row>
    <row r="1665" spans="1:4" s="23" customFormat="1" ht="25.5" x14ac:dyDescent="0.25">
      <c r="A1665" s="667">
        <v>1657</v>
      </c>
      <c r="B1665" s="668" t="s">
        <v>4945</v>
      </c>
      <c r="C1665" s="885" t="s">
        <v>4946</v>
      </c>
      <c r="D1665" s="669">
        <v>68000</v>
      </c>
    </row>
    <row r="1666" spans="1:4" s="23" customFormat="1" ht="25.5" x14ac:dyDescent="0.25">
      <c r="A1666" s="667">
        <v>1658</v>
      </c>
      <c r="B1666" s="668" t="s">
        <v>4947</v>
      </c>
      <c r="C1666" s="885" t="s">
        <v>4946</v>
      </c>
      <c r="D1666" s="669">
        <v>68000</v>
      </c>
    </row>
    <row r="1667" spans="1:4" s="23" customFormat="1" ht="25.5" x14ac:dyDescent="0.25">
      <c r="A1667" s="667">
        <v>1659</v>
      </c>
      <c r="B1667" s="668" t="s">
        <v>4948</v>
      </c>
      <c r="C1667" s="885" t="s">
        <v>4946</v>
      </c>
      <c r="D1667" s="669">
        <v>75000</v>
      </c>
    </row>
    <row r="1668" spans="1:4" s="23" customFormat="1" ht="51" x14ac:dyDescent="0.25">
      <c r="A1668" s="667">
        <v>1660</v>
      </c>
      <c r="B1668" s="668" t="s">
        <v>4949</v>
      </c>
      <c r="C1668" s="885" t="s">
        <v>4950</v>
      </c>
      <c r="D1668" s="669">
        <v>22815</v>
      </c>
    </row>
    <row r="1669" spans="1:4" s="23" customFormat="1" x14ac:dyDescent="0.25">
      <c r="A1669" s="667">
        <v>1661</v>
      </c>
      <c r="B1669" s="668" t="s">
        <v>4951</v>
      </c>
      <c r="C1669" s="885" t="s">
        <v>4952</v>
      </c>
      <c r="D1669" s="669">
        <v>9000</v>
      </c>
    </row>
    <row r="1670" spans="1:4" s="23" customFormat="1" ht="51" x14ac:dyDescent="0.25">
      <c r="A1670" s="667">
        <v>1662</v>
      </c>
      <c r="B1670" s="668" t="s">
        <v>4953</v>
      </c>
      <c r="C1670" s="885" t="s">
        <v>4954</v>
      </c>
      <c r="D1670" s="669">
        <v>190000</v>
      </c>
    </row>
    <row r="1671" spans="1:4" s="23" customFormat="1" ht="51" x14ac:dyDescent="0.25">
      <c r="A1671" s="667">
        <v>1663</v>
      </c>
      <c r="B1671" s="668" t="s">
        <v>4955</v>
      </c>
      <c r="C1671" s="885" t="s">
        <v>4956</v>
      </c>
      <c r="D1671" s="669">
        <v>190000</v>
      </c>
    </row>
    <row r="1672" spans="1:4" s="23" customFormat="1" ht="38.25" x14ac:dyDescent="0.25">
      <c r="A1672" s="667">
        <v>1664</v>
      </c>
      <c r="B1672" s="668" t="s">
        <v>4957</v>
      </c>
      <c r="C1672" s="885" t="s">
        <v>4958</v>
      </c>
      <c r="D1672" s="669">
        <v>312360</v>
      </c>
    </row>
    <row r="1673" spans="1:4" s="23" customFormat="1" ht="38.25" x14ac:dyDescent="0.25">
      <c r="A1673" s="667">
        <v>1665</v>
      </c>
      <c r="B1673" s="668" t="s">
        <v>4959</v>
      </c>
      <c r="C1673" s="885" t="s">
        <v>4958</v>
      </c>
      <c r="D1673" s="669">
        <v>312360</v>
      </c>
    </row>
    <row r="1674" spans="1:4" s="23" customFormat="1" ht="38.25" x14ac:dyDescent="0.25">
      <c r="A1674" s="667">
        <v>1666</v>
      </c>
      <c r="B1674" s="668" t="s">
        <v>4960</v>
      </c>
      <c r="C1674" s="885" t="s">
        <v>4961</v>
      </c>
      <c r="D1674" s="669">
        <v>29115</v>
      </c>
    </row>
    <row r="1675" spans="1:4" s="23" customFormat="1" ht="38.25" x14ac:dyDescent="0.25">
      <c r="A1675" s="667">
        <v>1667</v>
      </c>
      <c r="B1675" s="668" t="s">
        <v>4962</v>
      </c>
      <c r="C1675" s="885" t="s">
        <v>4963</v>
      </c>
      <c r="D1675" s="669">
        <v>85310</v>
      </c>
    </row>
    <row r="1676" spans="1:4" s="23" customFormat="1" ht="38.25" x14ac:dyDescent="0.25">
      <c r="A1676" s="667">
        <v>1668</v>
      </c>
      <c r="B1676" s="668" t="s">
        <v>4964</v>
      </c>
      <c r="C1676" s="885" t="s">
        <v>4965</v>
      </c>
      <c r="D1676" s="669">
        <v>29115</v>
      </c>
    </row>
    <row r="1677" spans="1:4" s="23" customFormat="1" ht="38.25" x14ac:dyDescent="0.25">
      <c r="A1677" s="667">
        <v>1669</v>
      </c>
      <c r="B1677" s="668" t="s">
        <v>4966</v>
      </c>
      <c r="C1677" s="885" t="s">
        <v>4965</v>
      </c>
      <c r="D1677" s="669">
        <v>29115</v>
      </c>
    </row>
    <row r="1678" spans="1:4" s="23" customFormat="1" ht="63.75" x14ac:dyDescent="0.25">
      <c r="A1678" s="667">
        <v>1670</v>
      </c>
      <c r="B1678" s="668" t="s">
        <v>4967</v>
      </c>
      <c r="C1678" s="885" t="s">
        <v>4968</v>
      </c>
      <c r="D1678" s="669">
        <v>20680</v>
      </c>
    </row>
    <row r="1679" spans="1:4" s="23" customFormat="1" ht="63.75" x14ac:dyDescent="0.25">
      <c r="A1679" s="667">
        <v>1671</v>
      </c>
      <c r="B1679" s="668" t="s">
        <v>4969</v>
      </c>
      <c r="C1679" s="885" t="s">
        <v>4970</v>
      </c>
      <c r="D1679" s="669">
        <v>20680</v>
      </c>
    </row>
    <row r="1680" spans="1:4" s="23" customFormat="1" ht="63.75" x14ac:dyDescent="0.25">
      <c r="A1680" s="667">
        <v>1672</v>
      </c>
      <c r="B1680" s="668" t="s">
        <v>4971</v>
      </c>
      <c r="C1680" s="885" t="s">
        <v>4972</v>
      </c>
      <c r="D1680" s="669">
        <v>20680</v>
      </c>
    </row>
    <row r="1681" spans="1:4" s="23" customFormat="1" ht="38.25" x14ac:dyDescent="0.25">
      <c r="A1681" s="667">
        <v>1673</v>
      </c>
      <c r="B1681" s="668" t="s">
        <v>4973</v>
      </c>
      <c r="C1681" s="885" t="s">
        <v>4974</v>
      </c>
      <c r="D1681" s="669">
        <v>20861.29</v>
      </c>
    </row>
    <row r="1682" spans="1:4" s="23" customFormat="1" ht="38.25" x14ac:dyDescent="0.25">
      <c r="A1682" s="667">
        <v>1674</v>
      </c>
      <c r="B1682" s="668" t="s">
        <v>4975</v>
      </c>
      <c r="C1682" s="885" t="s">
        <v>4976</v>
      </c>
      <c r="D1682" s="669">
        <v>4960</v>
      </c>
    </row>
    <row r="1683" spans="1:4" s="23" customFormat="1" ht="38.25" x14ac:dyDescent="0.25">
      <c r="A1683" s="667">
        <v>1675</v>
      </c>
      <c r="B1683" s="668" t="s">
        <v>4977</v>
      </c>
      <c r="C1683" s="885" t="s">
        <v>4978</v>
      </c>
      <c r="D1683" s="669">
        <v>16489</v>
      </c>
    </row>
    <row r="1684" spans="1:4" s="23" customFormat="1" ht="25.5" x14ac:dyDescent="0.25">
      <c r="A1684" s="667">
        <v>1676</v>
      </c>
      <c r="B1684" s="668" t="s">
        <v>4979</v>
      </c>
      <c r="C1684" s="885" t="s">
        <v>4980</v>
      </c>
      <c r="D1684" s="669">
        <v>3102.59</v>
      </c>
    </row>
    <row r="1685" spans="1:4" s="23" customFormat="1" ht="38.25" x14ac:dyDescent="0.25">
      <c r="A1685" s="667">
        <v>1677</v>
      </c>
      <c r="B1685" s="668" t="s">
        <v>4981</v>
      </c>
      <c r="C1685" s="885" t="s">
        <v>4982</v>
      </c>
      <c r="D1685" s="669">
        <v>15506.39</v>
      </c>
    </row>
    <row r="1686" spans="1:4" s="23" customFormat="1" ht="38.25" x14ac:dyDescent="0.25">
      <c r="A1686" s="667">
        <v>1678</v>
      </c>
      <c r="B1686" s="668" t="s">
        <v>4983</v>
      </c>
      <c r="C1686" s="885" t="s">
        <v>4984</v>
      </c>
      <c r="D1686" s="669">
        <v>15506.39</v>
      </c>
    </row>
    <row r="1687" spans="1:4" s="23" customFormat="1" ht="38.25" x14ac:dyDescent="0.25">
      <c r="A1687" s="667">
        <v>1679</v>
      </c>
      <c r="B1687" s="668" t="s">
        <v>4985</v>
      </c>
      <c r="C1687" s="885" t="s">
        <v>4986</v>
      </c>
      <c r="D1687" s="669">
        <v>15506.39</v>
      </c>
    </row>
    <row r="1688" spans="1:4" s="23" customFormat="1" ht="38.25" x14ac:dyDescent="0.25">
      <c r="A1688" s="667">
        <v>1680</v>
      </c>
      <c r="B1688" s="668" t="s">
        <v>4987</v>
      </c>
      <c r="C1688" s="885" t="s">
        <v>4988</v>
      </c>
      <c r="D1688" s="669">
        <v>15506.39</v>
      </c>
    </row>
    <row r="1689" spans="1:4" s="23" customFormat="1" ht="38.25" x14ac:dyDescent="0.25">
      <c r="A1689" s="667">
        <v>1681</v>
      </c>
      <c r="B1689" s="668" t="s">
        <v>4989</v>
      </c>
      <c r="C1689" s="885" t="s">
        <v>4990</v>
      </c>
      <c r="D1689" s="669">
        <v>3400.59</v>
      </c>
    </row>
    <row r="1690" spans="1:4" s="23" customFormat="1" ht="38.25" x14ac:dyDescent="0.25">
      <c r="A1690" s="667">
        <v>1682</v>
      </c>
      <c r="B1690" s="668" t="s">
        <v>4991</v>
      </c>
      <c r="C1690" s="885" t="s">
        <v>4992</v>
      </c>
      <c r="D1690" s="669">
        <v>3400.59</v>
      </c>
    </row>
    <row r="1691" spans="1:4" s="23" customFormat="1" ht="38.25" x14ac:dyDescent="0.25">
      <c r="A1691" s="667">
        <v>1683</v>
      </c>
      <c r="B1691" s="668" t="s">
        <v>4993</v>
      </c>
      <c r="C1691" s="885" t="s">
        <v>4994</v>
      </c>
      <c r="D1691" s="669">
        <v>3400.59</v>
      </c>
    </row>
    <row r="1692" spans="1:4" s="23" customFormat="1" ht="38.25" x14ac:dyDescent="0.25">
      <c r="A1692" s="667">
        <v>1684</v>
      </c>
      <c r="B1692" s="668" t="s">
        <v>4995</v>
      </c>
      <c r="C1692" s="885" t="s">
        <v>4996</v>
      </c>
      <c r="D1692" s="669">
        <v>3400.59</v>
      </c>
    </row>
    <row r="1693" spans="1:4" s="23" customFormat="1" x14ac:dyDescent="0.25">
      <c r="A1693" s="667">
        <v>1685</v>
      </c>
      <c r="B1693" s="668" t="s">
        <v>4997</v>
      </c>
      <c r="C1693" s="885" t="s">
        <v>4998</v>
      </c>
      <c r="D1693" s="669">
        <v>1760</v>
      </c>
    </row>
    <row r="1694" spans="1:4" s="23" customFormat="1" x14ac:dyDescent="0.25">
      <c r="A1694" s="667">
        <v>1686</v>
      </c>
      <c r="B1694" s="668" t="s">
        <v>4997</v>
      </c>
      <c r="C1694" s="885" t="s">
        <v>4998</v>
      </c>
      <c r="D1694" s="669">
        <v>1760</v>
      </c>
    </row>
    <row r="1695" spans="1:4" s="23" customFormat="1" x14ac:dyDescent="0.25">
      <c r="A1695" s="667">
        <v>1687</v>
      </c>
      <c r="B1695" s="668" t="s">
        <v>4999</v>
      </c>
      <c r="C1695" s="885" t="s">
        <v>5000</v>
      </c>
      <c r="D1695" s="669">
        <v>830</v>
      </c>
    </row>
    <row r="1696" spans="1:4" s="23" customFormat="1" x14ac:dyDescent="0.25">
      <c r="A1696" s="667">
        <v>1688</v>
      </c>
      <c r="B1696" s="668" t="s">
        <v>5001</v>
      </c>
      <c r="C1696" s="885" t="s">
        <v>5002</v>
      </c>
      <c r="D1696" s="669">
        <v>5390.43</v>
      </c>
    </row>
    <row r="1697" spans="1:4" s="23" customFormat="1" ht="51" x14ac:dyDescent="0.25">
      <c r="A1697" s="667">
        <v>1689</v>
      </c>
      <c r="B1697" s="668" t="s">
        <v>5003</v>
      </c>
      <c r="C1697" s="885" t="s">
        <v>5004</v>
      </c>
      <c r="D1697" s="669">
        <v>4190</v>
      </c>
    </row>
    <row r="1698" spans="1:4" s="23" customFormat="1" x14ac:dyDescent="0.25">
      <c r="A1698" s="667">
        <v>1690</v>
      </c>
      <c r="B1698" s="668" t="s">
        <v>5005</v>
      </c>
      <c r="C1698" s="885" t="s">
        <v>5006</v>
      </c>
      <c r="D1698" s="669">
        <v>2086.08</v>
      </c>
    </row>
    <row r="1699" spans="1:4" s="23" customFormat="1" x14ac:dyDescent="0.25">
      <c r="A1699" s="667">
        <v>1691</v>
      </c>
      <c r="B1699" s="668" t="s">
        <v>5007</v>
      </c>
      <c r="C1699" s="885" t="s">
        <v>5008</v>
      </c>
      <c r="D1699" s="669">
        <v>4129.5600000000004</v>
      </c>
    </row>
    <row r="1700" spans="1:4" s="23" customFormat="1" ht="25.5" x14ac:dyDescent="0.25">
      <c r="A1700" s="667">
        <v>1692</v>
      </c>
      <c r="B1700" s="668" t="s">
        <v>5009</v>
      </c>
      <c r="C1700" s="885" t="s">
        <v>5010</v>
      </c>
      <c r="D1700" s="669">
        <v>3900</v>
      </c>
    </row>
    <row r="1701" spans="1:4" s="23" customFormat="1" ht="25.5" x14ac:dyDescent="0.25">
      <c r="A1701" s="667">
        <v>1693</v>
      </c>
      <c r="B1701" s="668" t="s">
        <v>5011</v>
      </c>
      <c r="C1701" s="885" t="s">
        <v>5012</v>
      </c>
      <c r="D1701" s="669">
        <v>6465.52</v>
      </c>
    </row>
    <row r="1702" spans="1:4" s="23" customFormat="1" ht="25.5" x14ac:dyDescent="0.25">
      <c r="A1702" s="667">
        <v>1694</v>
      </c>
      <c r="B1702" s="668" t="s">
        <v>5013</v>
      </c>
      <c r="C1702" s="885" t="s">
        <v>5014</v>
      </c>
      <c r="D1702" s="669">
        <v>12342</v>
      </c>
    </row>
    <row r="1703" spans="1:4" s="23" customFormat="1" x14ac:dyDescent="0.25">
      <c r="A1703" s="667">
        <v>1695</v>
      </c>
      <c r="B1703" s="668" t="s">
        <v>5015</v>
      </c>
      <c r="C1703" s="885" t="s">
        <v>3579</v>
      </c>
      <c r="D1703" s="669">
        <v>233805</v>
      </c>
    </row>
    <row r="1704" spans="1:4" s="23" customFormat="1" ht="38.25" x14ac:dyDescent="0.25">
      <c r="A1704" s="667">
        <v>1696</v>
      </c>
      <c r="B1704" s="668" t="s">
        <v>5016</v>
      </c>
      <c r="C1704" s="885" t="s">
        <v>5017</v>
      </c>
      <c r="D1704" s="669">
        <v>11206.04</v>
      </c>
    </row>
    <row r="1705" spans="1:4" s="23" customFormat="1" ht="51" x14ac:dyDescent="0.25">
      <c r="A1705" s="667">
        <v>1697</v>
      </c>
      <c r="B1705" s="668" t="s">
        <v>5018</v>
      </c>
      <c r="C1705" s="885" t="s">
        <v>5019</v>
      </c>
      <c r="D1705" s="669">
        <v>2090270</v>
      </c>
    </row>
    <row r="1706" spans="1:4" s="23" customFormat="1" ht="25.5" x14ac:dyDescent="0.25">
      <c r="A1706" s="667">
        <v>1698</v>
      </c>
      <c r="B1706" s="668" t="s">
        <v>5020</v>
      </c>
      <c r="C1706" s="885" t="s">
        <v>5021</v>
      </c>
      <c r="D1706" s="669">
        <v>2500</v>
      </c>
    </row>
    <row r="1707" spans="1:4" s="23" customFormat="1" ht="25.5" x14ac:dyDescent="0.25">
      <c r="A1707" s="667">
        <v>1699</v>
      </c>
      <c r="B1707" s="668" t="s">
        <v>5022</v>
      </c>
      <c r="C1707" s="885" t="s">
        <v>5023</v>
      </c>
      <c r="D1707" s="669">
        <v>5732</v>
      </c>
    </row>
    <row r="1708" spans="1:4" s="23" customFormat="1" ht="25.5" x14ac:dyDescent="0.25">
      <c r="A1708" s="667">
        <v>1700</v>
      </c>
      <c r="B1708" s="668" t="s">
        <v>5024</v>
      </c>
      <c r="C1708" s="885" t="s">
        <v>5025</v>
      </c>
      <c r="D1708" s="669">
        <v>10229</v>
      </c>
    </row>
    <row r="1709" spans="1:4" s="23" customFormat="1" ht="25.5" x14ac:dyDescent="0.25">
      <c r="A1709" s="667">
        <v>1701</v>
      </c>
      <c r="B1709" s="668" t="s">
        <v>5026</v>
      </c>
      <c r="C1709" s="885" t="s">
        <v>5027</v>
      </c>
      <c r="D1709" s="669">
        <v>7350</v>
      </c>
    </row>
    <row r="1710" spans="1:4" s="23" customFormat="1" x14ac:dyDescent="0.25">
      <c r="A1710" s="667">
        <v>1702</v>
      </c>
      <c r="B1710" s="668" t="s">
        <v>5028</v>
      </c>
      <c r="C1710" s="885" t="s">
        <v>5029</v>
      </c>
      <c r="D1710" s="669">
        <v>5905.9</v>
      </c>
    </row>
    <row r="1711" spans="1:4" s="23" customFormat="1" x14ac:dyDescent="0.25">
      <c r="A1711" s="667">
        <v>1703</v>
      </c>
      <c r="B1711" s="668" t="s">
        <v>5030</v>
      </c>
      <c r="C1711" s="885" t="s">
        <v>5031</v>
      </c>
      <c r="D1711" s="669">
        <v>14000</v>
      </c>
    </row>
    <row r="1712" spans="1:4" s="23" customFormat="1" ht="25.5" x14ac:dyDescent="0.25">
      <c r="A1712" s="667">
        <v>1704</v>
      </c>
      <c r="B1712" s="668" t="s">
        <v>5032</v>
      </c>
      <c r="C1712" s="885" t="s">
        <v>5033</v>
      </c>
      <c r="D1712" s="669">
        <v>15872</v>
      </c>
    </row>
    <row r="1713" spans="1:4" s="23" customFormat="1" ht="38.25" x14ac:dyDescent="0.25">
      <c r="A1713" s="667">
        <v>1705</v>
      </c>
      <c r="B1713" s="668" t="s">
        <v>5034</v>
      </c>
      <c r="C1713" s="885" t="s">
        <v>5035</v>
      </c>
      <c r="D1713" s="669">
        <v>16665</v>
      </c>
    </row>
    <row r="1714" spans="1:4" s="23" customFormat="1" ht="25.5" x14ac:dyDescent="0.25">
      <c r="A1714" s="667">
        <v>1706</v>
      </c>
      <c r="B1714" s="668" t="s">
        <v>5036</v>
      </c>
      <c r="C1714" s="885" t="s">
        <v>5037</v>
      </c>
      <c r="D1714" s="669">
        <v>2500</v>
      </c>
    </row>
    <row r="1715" spans="1:4" s="23" customFormat="1" x14ac:dyDescent="0.25">
      <c r="A1715" s="667">
        <v>1707</v>
      </c>
      <c r="B1715" s="668" t="s">
        <v>5038</v>
      </c>
      <c r="C1715" s="885" t="s">
        <v>5039</v>
      </c>
      <c r="D1715" s="669">
        <v>3217.39</v>
      </c>
    </row>
    <row r="1716" spans="1:4" s="23" customFormat="1" ht="25.5" x14ac:dyDescent="0.25">
      <c r="A1716" s="667">
        <v>1708</v>
      </c>
      <c r="B1716" s="668" t="s">
        <v>5040</v>
      </c>
      <c r="C1716" s="885" t="s">
        <v>5041</v>
      </c>
      <c r="D1716" s="669">
        <v>37000</v>
      </c>
    </row>
    <row r="1717" spans="1:4" s="23" customFormat="1" ht="25.5" x14ac:dyDescent="0.25">
      <c r="A1717" s="667">
        <v>1709</v>
      </c>
      <c r="B1717" s="668" t="s">
        <v>5042</v>
      </c>
      <c r="C1717" s="885" t="s">
        <v>5043</v>
      </c>
      <c r="D1717" s="669">
        <v>5812.71</v>
      </c>
    </row>
    <row r="1718" spans="1:4" s="23" customFormat="1" x14ac:dyDescent="0.25">
      <c r="A1718" s="667">
        <v>1710</v>
      </c>
      <c r="B1718" s="668" t="s">
        <v>5044</v>
      </c>
      <c r="C1718" s="885" t="s">
        <v>5045</v>
      </c>
      <c r="D1718" s="669">
        <v>14500</v>
      </c>
    </row>
    <row r="1719" spans="1:4" s="23" customFormat="1" x14ac:dyDescent="0.25">
      <c r="A1719" s="667">
        <v>1711</v>
      </c>
      <c r="B1719" s="668" t="s">
        <v>5046</v>
      </c>
      <c r="C1719" s="885" t="s">
        <v>5047</v>
      </c>
      <c r="D1719" s="669">
        <v>5180.91</v>
      </c>
    </row>
    <row r="1720" spans="1:4" s="23" customFormat="1" x14ac:dyDescent="0.25">
      <c r="A1720" s="667">
        <v>1712</v>
      </c>
      <c r="B1720" s="668" t="s">
        <v>5048</v>
      </c>
      <c r="C1720" s="885" t="s">
        <v>5049</v>
      </c>
      <c r="D1720" s="669">
        <v>53683.37</v>
      </c>
    </row>
    <row r="1721" spans="1:4" s="23" customFormat="1" x14ac:dyDescent="0.25">
      <c r="A1721" s="667">
        <v>1713</v>
      </c>
      <c r="B1721" s="668" t="s">
        <v>5050</v>
      </c>
      <c r="C1721" s="885" t="s">
        <v>5051</v>
      </c>
      <c r="D1721" s="669">
        <v>38930</v>
      </c>
    </row>
    <row r="1722" spans="1:4" s="23" customFormat="1" ht="25.5" x14ac:dyDescent="0.25">
      <c r="A1722" s="667">
        <v>1714</v>
      </c>
      <c r="B1722" s="668" t="s">
        <v>5052</v>
      </c>
      <c r="C1722" s="885" t="s">
        <v>5053</v>
      </c>
      <c r="D1722" s="669">
        <v>120628.82</v>
      </c>
    </row>
    <row r="1723" spans="1:4" s="23" customFormat="1" ht="25.5" x14ac:dyDescent="0.25">
      <c r="A1723" s="667">
        <v>1715</v>
      </c>
      <c r="B1723" s="668" t="s">
        <v>5054</v>
      </c>
      <c r="C1723" s="885" t="s">
        <v>5055</v>
      </c>
      <c r="D1723" s="669">
        <v>170923.1</v>
      </c>
    </row>
    <row r="1724" spans="1:4" s="23" customFormat="1" ht="25.5" x14ac:dyDescent="0.25">
      <c r="A1724" s="667">
        <v>1716</v>
      </c>
      <c r="B1724" s="668" t="s">
        <v>5056</v>
      </c>
      <c r="C1724" s="885" t="s">
        <v>5057</v>
      </c>
      <c r="D1724" s="669">
        <v>295339.3</v>
      </c>
    </row>
    <row r="1725" spans="1:4" s="23" customFormat="1" ht="25.5" x14ac:dyDescent="0.25">
      <c r="A1725" s="667">
        <v>1717</v>
      </c>
      <c r="B1725" s="668" t="s">
        <v>5058</v>
      </c>
      <c r="C1725" s="885" t="s">
        <v>5059</v>
      </c>
      <c r="D1725" s="669">
        <v>86409.09</v>
      </c>
    </row>
    <row r="1726" spans="1:4" s="23" customFormat="1" ht="38.25" x14ac:dyDescent="0.25">
      <c r="A1726" s="667">
        <v>1718</v>
      </c>
      <c r="B1726" s="668" t="s">
        <v>5060</v>
      </c>
      <c r="C1726" s="885" t="s">
        <v>5061</v>
      </c>
      <c r="D1726" s="669">
        <v>10146.77</v>
      </c>
    </row>
    <row r="1727" spans="1:4" s="23" customFormat="1" ht="38.25" x14ac:dyDescent="0.25">
      <c r="A1727" s="667">
        <v>1719</v>
      </c>
      <c r="B1727" s="668" t="s">
        <v>5062</v>
      </c>
      <c r="C1727" s="885" t="s">
        <v>5063</v>
      </c>
      <c r="D1727" s="669">
        <v>18234.55</v>
      </c>
    </row>
    <row r="1728" spans="1:4" s="23" customFormat="1" ht="25.5" x14ac:dyDescent="0.25">
      <c r="A1728" s="667">
        <v>1720</v>
      </c>
      <c r="B1728" s="668" t="s">
        <v>5064</v>
      </c>
      <c r="C1728" s="885" t="s">
        <v>5065</v>
      </c>
      <c r="D1728" s="669">
        <v>43103.45</v>
      </c>
    </row>
    <row r="1729" spans="1:4" s="23" customFormat="1" ht="25.5" x14ac:dyDescent="0.25">
      <c r="A1729" s="667">
        <v>1721</v>
      </c>
      <c r="B1729" s="668" t="s">
        <v>5066</v>
      </c>
      <c r="C1729" s="885" t="s">
        <v>5067</v>
      </c>
      <c r="D1729" s="669">
        <v>68965.52</v>
      </c>
    </row>
    <row r="1730" spans="1:4" s="23" customFormat="1" ht="38.25" x14ac:dyDescent="0.25">
      <c r="A1730" s="667">
        <v>1722</v>
      </c>
      <c r="B1730" s="668" t="s">
        <v>5068</v>
      </c>
      <c r="C1730" s="885" t="s">
        <v>5069</v>
      </c>
      <c r="D1730" s="669">
        <v>32643</v>
      </c>
    </row>
    <row r="1731" spans="1:4" s="23" customFormat="1" ht="38.25" x14ac:dyDescent="0.25">
      <c r="A1731" s="667">
        <v>1723</v>
      </c>
      <c r="B1731" s="668" t="s">
        <v>5070</v>
      </c>
      <c r="C1731" s="885" t="s">
        <v>5071</v>
      </c>
      <c r="D1731" s="669">
        <v>55000</v>
      </c>
    </row>
    <row r="1732" spans="1:4" s="23" customFormat="1" x14ac:dyDescent="0.25">
      <c r="A1732" s="667">
        <v>1724</v>
      </c>
      <c r="B1732" s="668" t="s">
        <v>5072</v>
      </c>
      <c r="C1732" s="885" t="s">
        <v>5073</v>
      </c>
      <c r="D1732" s="669">
        <v>22623.14</v>
      </c>
    </row>
    <row r="1733" spans="1:4" s="23" customFormat="1" ht="25.5" x14ac:dyDescent="0.25">
      <c r="A1733" s="667">
        <v>1725</v>
      </c>
      <c r="B1733" s="668" t="s">
        <v>5074</v>
      </c>
      <c r="C1733" s="885" t="s">
        <v>5075</v>
      </c>
      <c r="D1733" s="669">
        <v>27000</v>
      </c>
    </row>
    <row r="1734" spans="1:4" s="23" customFormat="1" ht="38.25" x14ac:dyDescent="0.25">
      <c r="A1734" s="667">
        <v>1726</v>
      </c>
      <c r="B1734" s="668" t="s">
        <v>5076</v>
      </c>
      <c r="C1734" s="885" t="s">
        <v>5077</v>
      </c>
      <c r="D1734" s="669">
        <v>112548.69</v>
      </c>
    </row>
    <row r="1735" spans="1:4" s="23" customFormat="1" ht="38.25" x14ac:dyDescent="0.25">
      <c r="A1735" s="667">
        <v>1727</v>
      </c>
      <c r="B1735" s="668" t="s">
        <v>5078</v>
      </c>
      <c r="C1735" s="885" t="s">
        <v>5079</v>
      </c>
      <c r="D1735" s="669">
        <v>13789</v>
      </c>
    </row>
    <row r="1736" spans="1:4" s="23" customFormat="1" ht="38.25" x14ac:dyDescent="0.25">
      <c r="A1736" s="667">
        <v>1728</v>
      </c>
      <c r="B1736" s="668" t="s">
        <v>5080</v>
      </c>
      <c r="C1736" s="885" t="s">
        <v>5081</v>
      </c>
      <c r="D1736" s="669">
        <v>53800</v>
      </c>
    </row>
    <row r="1737" spans="1:4" s="23" customFormat="1" ht="25.5" x14ac:dyDescent="0.25">
      <c r="A1737" s="667">
        <v>1729</v>
      </c>
      <c r="B1737" s="668" t="s">
        <v>5082</v>
      </c>
      <c r="C1737" s="885" t="s">
        <v>5083</v>
      </c>
      <c r="D1737" s="669">
        <v>14500</v>
      </c>
    </row>
    <row r="1738" spans="1:4" s="23" customFormat="1" ht="38.25" x14ac:dyDescent="0.25">
      <c r="A1738" s="667">
        <v>1730</v>
      </c>
      <c r="B1738" s="668" t="s">
        <v>5084</v>
      </c>
      <c r="C1738" s="885" t="s">
        <v>5085</v>
      </c>
      <c r="D1738" s="669">
        <v>28600</v>
      </c>
    </row>
    <row r="1739" spans="1:4" s="23" customFormat="1" ht="38.25" x14ac:dyDescent="0.25">
      <c r="A1739" s="667">
        <v>1731</v>
      </c>
      <c r="B1739" s="668" t="s">
        <v>5086</v>
      </c>
      <c r="C1739" s="885" t="s">
        <v>5087</v>
      </c>
      <c r="D1739" s="669">
        <v>26750</v>
      </c>
    </row>
    <row r="1740" spans="1:4" s="23" customFormat="1" ht="38.25" x14ac:dyDescent="0.25">
      <c r="A1740" s="667">
        <v>1732</v>
      </c>
      <c r="B1740" s="668" t="s">
        <v>5088</v>
      </c>
      <c r="C1740" s="885" t="s">
        <v>5089</v>
      </c>
      <c r="D1740" s="669">
        <v>51565.22</v>
      </c>
    </row>
    <row r="1741" spans="1:4" s="23" customFormat="1" ht="25.5" x14ac:dyDescent="0.25">
      <c r="A1741" s="667">
        <v>1733</v>
      </c>
      <c r="B1741" s="668" t="s">
        <v>5090</v>
      </c>
      <c r="C1741" s="885" t="s">
        <v>5091</v>
      </c>
      <c r="D1741" s="669">
        <v>216170</v>
      </c>
    </row>
    <row r="1742" spans="1:4" s="23" customFormat="1" ht="25.5" x14ac:dyDescent="0.25">
      <c r="A1742" s="667">
        <v>1734</v>
      </c>
      <c r="B1742" s="668" t="s">
        <v>5092</v>
      </c>
      <c r="C1742" s="885" t="s">
        <v>5093</v>
      </c>
      <c r="D1742" s="669">
        <v>259658</v>
      </c>
    </row>
    <row r="1743" spans="1:4" s="23" customFormat="1" x14ac:dyDescent="0.25">
      <c r="A1743" s="667">
        <v>1735</v>
      </c>
      <c r="B1743" s="668" t="s">
        <v>5094</v>
      </c>
      <c r="C1743" s="885" t="s">
        <v>5095</v>
      </c>
      <c r="D1743" s="669">
        <v>14181.96</v>
      </c>
    </row>
    <row r="1744" spans="1:4" s="23" customFormat="1" ht="25.5" x14ac:dyDescent="0.25">
      <c r="A1744" s="667">
        <v>1736</v>
      </c>
      <c r="B1744" s="668" t="s">
        <v>5096</v>
      </c>
      <c r="C1744" s="885" t="s">
        <v>5097</v>
      </c>
      <c r="D1744" s="669">
        <v>25650</v>
      </c>
    </row>
    <row r="1745" spans="1:4" s="23" customFormat="1" ht="25.5" x14ac:dyDescent="0.25">
      <c r="A1745" s="667">
        <v>1737</v>
      </c>
      <c r="B1745" s="668" t="s">
        <v>5098</v>
      </c>
      <c r="C1745" s="885" t="s">
        <v>5099</v>
      </c>
      <c r="D1745" s="669">
        <v>58178.76</v>
      </c>
    </row>
    <row r="1746" spans="1:4" s="23" customFormat="1" ht="25.5" x14ac:dyDescent="0.25">
      <c r="A1746" s="667">
        <v>1738</v>
      </c>
      <c r="B1746" s="668" t="s">
        <v>5100</v>
      </c>
      <c r="C1746" s="885" t="s">
        <v>5101</v>
      </c>
      <c r="D1746" s="669">
        <v>172566.81</v>
      </c>
    </row>
    <row r="1747" spans="1:4" s="23" customFormat="1" ht="63.75" x14ac:dyDescent="0.25">
      <c r="A1747" s="667">
        <v>1739</v>
      </c>
      <c r="B1747" s="668" t="s">
        <v>5102</v>
      </c>
      <c r="C1747" s="885" t="s">
        <v>5103</v>
      </c>
      <c r="D1747" s="669">
        <v>11872.5</v>
      </c>
    </row>
    <row r="1748" spans="1:4" s="23" customFormat="1" ht="76.5" x14ac:dyDescent="0.25">
      <c r="A1748" s="667">
        <v>1740</v>
      </c>
      <c r="B1748" s="668" t="s">
        <v>5104</v>
      </c>
      <c r="C1748" s="885" t="s">
        <v>5105</v>
      </c>
      <c r="D1748" s="669">
        <v>7558.75</v>
      </c>
    </row>
    <row r="1749" spans="1:4" s="23" customFormat="1" ht="76.5" x14ac:dyDescent="0.25">
      <c r="A1749" s="667">
        <v>1741</v>
      </c>
      <c r="B1749" s="668" t="s">
        <v>5106</v>
      </c>
      <c r="C1749" s="885" t="s">
        <v>5107</v>
      </c>
      <c r="D1749" s="669">
        <v>72140.399999999994</v>
      </c>
    </row>
    <row r="1750" spans="1:4" s="23" customFormat="1" ht="25.5" x14ac:dyDescent="0.25">
      <c r="A1750" s="667">
        <v>1742</v>
      </c>
      <c r="B1750" s="668" t="s">
        <v>5108</v>
      </c>
      <c r="C1750" s="885" t="s">
        <v>5109</v>
      </c>
      <c r="D1750" s="669">
        <v>95090.76</v>
      </c>
    </row>
    <row r="1751" spans="1:4" s="23" customFormat="1" ht="25.5" x14ac:dyDescent="0.25">
      <c r="A1751" s="667">
        <v>1743</v>
      </c>
      <c r="B1751" s="668" t="s">
        <v>5110</v>
      </c>
      <c r="C1751" s="885" t="s">
        <v>5111</v>
      </c>
      <c r="D1751" s="669">
        <v>22798.13</v>
      </c>
    </row>
    <row r="1752" spans="1:4" s="23" customFormat="1" ht="38.25" x14ac:dyDescent="0.25">
      <c r="A1752" s="667">
        <v>1744</v>
      </c>
      <c r="B1752" s="668" t="s">
        <v>5112</v>
      </c>
      <c r="C1752" s="885" t="s">
        <v>5113</v>
      </c>
      <c r="D1752" s="669">
        <v>30956.63</v>
      </c>
    </row>
    <row r="1753" spans="1:4" s="23" customFormat="1" ht="38.25" x14ac:dyDescent="0.25">
      <c r="A1753" s="667">
        <v>1745</v>
      </c>
      <c r="B1753" s="668" t="s">
        <v>5114</v>
      </c>
      <c r="C1753" s="885" t="s">
        <v>5115</v>
      </c>
      <c r="D1753" s="669">
        <v>189944.85</v>
      </c>
    </row>
    <row r="1754" spans="1:4" s="23" customFormat="1" ht="25.5" x14ac:dyDescent="0.25">
      <c r="A1754" s="667">
        <v>1746</v>
      </c>
      <c r="B1754" s="668" t="s">
        <v>5116</v>
      </c>
      <c r="C1754" s="885" t="s">
        <v>5117</v>
      </c>
      <c r="D1754" s="669">
        <v>99134.399999999994</v>
      </c>
    </row>
    <row r="1755" spans="1:4" s="23" customFormat="1" x14ac:dyDescent="0.25">
      <c r="A1755" s="667">
        <v>1747</v>
      </c>
      <c r="B1755" s="668" t="s">
        <v>5118</v>
      </c>
      <c r="C1755" s="885" t="s">
        <v>5119</v>
      </c>
      <c r="D1755" s="669">
        <v>9310</v>
      </c>
    </row>
    <row r="1756" spans="1:4" s="23" customFormat="1" x14ac:dyDescent="0.25">
      <c r="A1756" s="667">
        <v>1748</v>
      </c>
      <c r="B1756" s="668" t="s">
        <v>5120</v>
      </c>
      <c r="C1756" s="885" t="s">
        <v>5121</v>
      </c>
      <c r="D1756" s="669">
        <v>14776.32</v>
      </c>
    </row>
    <row r="1757" spans="1:4" s="23" customFormat="1" ht="25.5" x14ac:dyDescent="0.25">
      <c r="A1757" s="667">
        <v>1749</v>
      </c>
      <c r="B1757" s="668" t="s">
        <v>5122</v>
      </c>
      <c r="C1757" s="885" t="s">
        <v>5123</v>
      </c>
      <c r="D1757" s="669">
        <v>16686</v>
      </c>
    </row>
    <row r="1758" spans="1:4" s="23" customFormat="1" ht="38.25" x14ac:dyDescent="0.25">
      <c r="A1758" s="667">
        <v>1750</v>
      </c>
      <c r="B1758" s="668" t="s">
        <v>5124</v>
      </c>
      <c r="C1758" s="885" t="s">
        <v>5125</v>
      </c>
      <c r="D1758" s="669">
        <v>105710</v>
      </c>
    </row>
    <row r="1759" spans="1:4" s="23" customFormat="1" ht="38.25" x14ac:dyDescent="0.25">
      <c r="A1759" s="667">
        <v>1751</v>
      </c>
      <c r="B1759" s="668" t="s">
        <v>5126</v>
      </c>
      <c r="C1759" s="885" t="s">
        <v>5127</v>
      </c>
      <c r="D1759" s="669">
        <v>23635</v>
      </c>
    </row>
    <row r="1760" spans="1:4" s="23" customFormat="1" ht="38.25" x14ac:dyDescent="0.25">
      <c r="A1760" s="667">
        <v>1752</v>
      </c>
      <c r="B1760" s="668" t="s">
        <v>5128</v>
      </c>
      <c r="C1760" s="885" t="s">
        <v>5129</v>
      </c>
      <c r="D1760" s="669">
        <v>21264.79</v>
      </c>
    </row>
    <row r="1761" spans="1:4" s="23" customFormat="1" ht="51" x14ac:dyDescent="0.25">
      <c r="A1761" s="667">
        <v>1753</v>
      </c>
      <c r="B1761" s="668" t="s">
        <v>5130</v>
      </c>
      <c r="C1761" s="885" t="s">
        <v>5131</v>
      </c>
      <c r="D1761" s="669">
        <v>59832.26</v>
      </c>
    </row>
    <row r="1762" spans="1:4" s="23" customFormat="1" ht="51" x14ac:dyDescent="0.25">
      <c r="A1762" s="667">
        <v>1754</v>
      </c>
      <c r="B1762" s="668" t="s">
        <v>5132</v>
      </c>
      <c r="C1762" s="885" t="s">
        <v>5133</v>
      </c>
      <c r="D1762" s="669">
        <v>23608.03</v>
      </c>
    </row>
    <row r="1763" spans="1:4" s="23" customFormat="1" ht="51" x14ac:dyDescent="0.25">
      <c r="A1763" s="667">
        <v>1755</v>
      </c>
      <c r="B1763" s="668" t="s">
        <v>5134</v>
      </c>
      <c r="C1763" s="885" t="s">
        <v>5135</v>
      </c>
      <c r="D1763" s="669">
        <v>48021.48</v>
      </c>
    </row>
    <row r="1764" spans="1:4" s="23" customFormat="1" ht="51" x14ac:dyDescent="0.25">
      <c r="A1764" s="667">
        <v>1756</v>
      </c>
      <c r="B1764" s="668" t="s">
        <v>5136</v>
      </c>
      <c r="C1764" s="885" t="s">
        <v>5137</v>
      </c>
      <c r="D1764" s="669">
        <v>14464.32</v>
      </c>
    </row>
    <row r="1765" spans="1:4" s="23" customFormat="1" ht="51" x14ac:dyDescent="0.25">
      <c r="A1765" s="667">
        <v>1757</v>
      </c>
      <c r="B1765" s="668" t="s">
        <v>5138</v>
      </c>
      <c r="C1765" s="885" t="s">
        <v>5139</v>
      </c>
      <c r="D1765" s="669">
        <v>18500</v>
      </c>
    </row>
    <row r="1766" spans="1:4" s="23" customFormat="1" ht="63.75" x14ac:dyDescent="0.25">
      <c r="A1766" s="667">
        <v>1758</v>
      </c>
      <c r="B1766" s="668" t="s">
        <v>5140</v>
      </c>
      <c r="C1766" s="885" t="s">
        <v>5141</v>
      </c>
      <c r="D1766" s="669">
        <v>26663.75</v>
      </c>
    </row>
    <row r="1767" spans="1:4" s="23" customFormat="1" ht="51" x14ac:dyDescent="0.25">
      <c r="A1767" s="667">
        <v>1759</v>
      </c>
      <c r="B1767" s="668" t="s">
        <v>5142</v>
      </c>
      <c r="C1767" s="885" t="s">
        <v>5143</v>
      </c>
      <c r="D1767" s="669">
        <v>23412</v>
      </c>
    </row>
    <row r="1768" spans="1:4" s="23" customFormat="1" ht="89.25" x14ac:dyDescent="0.25">
      <c r="A1768" s="667">
        <v>1760</v>
      </c>
      <c r="B1768" s="668" t="s">
        <v>5144</v>
      </c>
      <c r="C1768" s="885" t="s">
        <v>5145</v>
      </c>
      <c r="D1768" s="669">
        <v>69200</v>
      </c>
    </row>
    <row r="1769" spans="1:4" s="23" customFormat="1" ht="38.25" x14ac:dyDescent="0.25">
      <c r="A1769" s="667">
        <v>1761</v>
      </c>
      <c r="B1769" s="668" t="s">
        <v>5146</v>
      </c>
      <c r="C1769" s="885" t="s">
        <v>5147</v>
      </c>
      <c r="D1769" s="669">
        <v>75000</v>
      </c>
    </row>
    <row r="1770" spans="1:4" s="23" customFormat="1" ht="38.25" x14ac:dyDescent="0.25">
      <c r="A1770" s="667">
        <v>1762</v>
      </c>
      <c r="B1770" s="668" t="s">
        <v>5148</v>
      </c>
      <c r="C1770" s="885" t="s">
        <v>5149</v>
      </c>
      <c r="D1770" s="669">
        <v>75000</v>
      </c>
    </row>
    <row r="1771" spans="1:4" s="23" customFormat="1" ht="38.25" x14ac:dyDescent="0.25">
      <c r="A1771" s="667">
        <v>1763</v>
      </c>
      <c r="B1771" s="668" t="s">
        <v>5150</v>
      </c>
      <c r="C1771" s="885" t="s">
        <v>5151</v>
      </c>
      <c r="D1771" s="669">
        <v>75000</v>
      </c>
    </row>
    <row r="1772" spans="1:4" s="23" customFormat="1" ht="38.25" x14ac:dyDescent="0.25">
      <c r="A1772" s="667">
        <v>1764</v>
      </c>
      <c r="B1772" s="668" t="s">
        <v>5152</v>
      </c>
      <c r="C1772" s="885" t="s">
        <v>5153</v>
      </c>
      <c r="D1772" s="669">
        <v>13800</v>
      </c>
    </row>
    <row r="1773" spans="1:4" s="23" customFormat="1" ht="38.25" x14ac:dyDescent="0.25">
      <c r="A1773" s="667">
        <v>1765</v>
      </c>
      <c r="B1773" s="668" t="s">
        <v>5154</v>
      </c>
      <c r="C1773" s="885" t="s">
        <v>5155</v>
      </c>
      <c r="D1773" s="669">
        <v>13800</v>
      </c>
    </row>
    <row r="1774" spans="1:4" s="23" customFormat="1" ht="38.25" x14ac:dyDescent="0.25">
      <c r="A1774" s="667">
        <v>1766</v>
      </c>
      <c r="B1774" s="668" t="s">
        <v>5156</v>
      </c>
      <c r="C1774" s="885" t="s">
        <v>5157</v>
      </c>
      <c r="D1774" s="669">
        <v>13800</v>
      </c>
    </row>
    <row r="1775" spans="1:4" s="23" customFormat="1" ht="38.25" x14ac:dyDescent="0.25">
      <c r="A1775" s="667">
        <v>1767</v>
      </c>
      <c r="B1775" s="668" t="s">
        <v>5158</v>
      </c>
      <c r="C1775" s="885" t="s">
        <v>5159</v>
      </c>
      <c r="D1775" s="669">
        <v>13800</v>
      </c>
    </row>
    <row r="1776" spans="1:4" s="23" customFormat="1" x14ac:dyDescent="0.25">
      <c r="A1776" s="667">
        <v>1768</v>
      </c>
      <c r="B1776" s="668" t="s">
        <v>5154</v>
      </c>
      <c r="C1776" s="885" t="s">
        <v>5160</v>
      </c>
      <c r="D1776" s="669">
        <v>77716</v>
      </c>
    </row>
    <row r="1777" spans="1:4" s="23" customFormat="1" ht="51" x14ac:dyDescent="0.25">
      <c r="A1777" s="667">
        <v>1769</v>
      </c>
      <c r="B1777" s="668" t="s">
        <v>5161</v>
      </c>
      <c r="C1777" s="885" t="s">
        <v>5162</v>
      </c>
      <c r="D1777" s="669">
        <v>22815</v>
      </c>
    </row>
    <row r="1778" spans="1:4" s="23" customFormat="1" ht="51" x14ac:dyDescent="0.25">
      <c r="A1778" s="667">
        <v>1770</v>
      </c>
      <c r="B1778" s="668" t="s">
        <v>5163</v>
      </c>
      <c r="C1778" s="885" t="s">
        <v>5164</v>
      </c>
      <c r="D1778" s="669">
        <v>22815</v>
      </c>
    </row>
    <row r="1779" spans="1:4" s="23" customFormat="1" ht="51" x14ac:dyDescent="0.25">
      <c r="A1779" s="667">
        <v>1771</v>
      </c>
      <c r="B1779" s="668" t="s">
        <v>5165</v>
      </c>
      <c r="C1779" s="885" t="s">
        <v>5166</v>
      </c>
      <c r="D1779" s="669">
        <v>22815</v>
      </c>
    </row>
    <row r="1780" spans="1:4" s="23" customFormat="1" ht="25.5" x14ac:dyDescent="0.25">
      <c r="A1780" s="667">
        <v>1772</v>
      </c>
      <c r="B1780" s="668" t="s">
        <v>5167</v>
      </c>
      <c r="C1780" s="885" t="s">
        <v>5168</v>
      </c>
      <c r="D1780" s="669">
        <v>85310</v>
      </c>
    </row>
    <row r="1781" spans="1:4" s="23" customFormat="1" ht="38.25" x14ac:dyDescent="0.25">
      <c r="A1781" s="667">
        <v>1773</v>
      </c>
      <c r="B1781" s="668" t="s">
        <v>5169</v>
      </c>
      <c r="C1781" s="885" t="s">
        <v>5170</v>
      </c>
      <c r="D1781" s="669">
        <v>29115</v>
      </c>
    </row>
    <row r="1782" spans="1:4" s="23" customFormat="1" ht="38.25" x14ac:dyDescent="0.25">
      <c r="A1782" s="667">
        <v>1774</v>
      </c>
      <c r="B1782" s="668" t="s">
        <v>5171</v>
      </c>
      <c r="C1782" s="885" t="s">
        <v>5172</v>
      </c>
      <c r="D1782" s="669">
        <v>29115</v>
      </c>
    </row>
    <row r="1783" spans="1:4" s="23" customFormat="1" ht="38.25" x14ac:dyDescent="0.25">
      <c r="A1783" s="667">
        <v>1775</v>
      </c>
      <c r="B1783" s="668" t="s">
        <v>5173</v>
      </c>
      <c r="C1783" s="885" t="s">
        <v>5174</v>
      </c>
      <c r="D1783" s="669">
        <v>29115</v>
      </c>
    </row>
    <row r="1784" spans="1:4" s="23" customFormat="1" ht="38.25" x14ac:dyDescent="0.25">
      <c r="A1784" s="667">
        <v>1776</v>
      </c>
      <c r="B1784" s="668" t="s">
        <v>5175</v>
      </c>
      <c r="C1784" s="885" t="s">
        <v>5176</v>
      </c>
      <c r="D1784" s="669">
        <v>80233.73</v>
      </c>
    </row>
    <row r="1785" spans="1:4" s="23" customFormat="1" ht="38.25" x14ac:dyDescent="0.25">
      <c r="A1785" s="667">
        <v>1777</v>
      </c>
      <c r="B1785" s="668" t="s">
        <v>5177</v>
      </c>
      <c r="C1785" s="885" t="s">
        <v>5176</v>
      </c>
      <c r="D1785" s="669">
        <v>80233.73</v>
      </c>
    </row>
    <row r="1786" spans="1:4" s="23" customFormat="1" ht="38.25" x14ac:dyDescent="0.25">
      <c r="A1786" s="667">
        <v>1778</v>
      </c>
      <c r="B1786" s="668" t="s">
        <v>5178</v>
      </c>
      <c r="C1786" s="885" t="s">
        <v>5179</v>
      </c>
      <c r="D1786" s="669">
        <v>95233.73</v>
      </c>
    </row>
    <row r="1787" spans="1:4" s="23" customFormat="1" ht="63.75" x14ac:dyDescent="0.25">
      <c r="A1787" s="667">
        <v>1779</v>
      </c>
      <c r="B1787" s="668" t="s">
        <v>5180</v>
      </c>
      <c r="C1787" s="885" t="s">
        <v>5181</v>
      </c>
      <c r="D1787" s="669">
        <v>24500</v>
      </c>
    </row>
    <row r="1788" spans="1:4" s="23" customFormat="1" x14ac:dyDescent="0.25">
      <c r="A1788" s="667">
        <v>1780</v>
      </c>
      <c r="B1788" s="668" t="s">
        <v>5182</v>
      </c>
      <c r="C1788" s="885" t="s">
        <v>5183</v>
      </c>
      <c r="D1788" s="669">
        <v>29567</v>
      </c>
    </row>
    <row r="1789" spans="1:4" s="23" customFormat="1" ht="25.5" x14ac:dyDescent="0.25">
      <c r="A1789" s="667">
        <v>1781</v>
      </c>
      <c r="B1789" s="668" t="s">
        <v>5184</v>
      </c>
      <c r="C1789" s="885" t="s">
        <v>5185</v>
      </c>
      <c r="D1789" s="669">
        <v>39900</v>
      </c>
    </row>
    <row r="1790" spans="1:4" s="23" customFormat="1" ht="25.5" x14ac:dyDescent="0.25">
      <c r="A1790" s="667">
        <v>1782</v>
      </c>
      <c r="B1790" s="668" t="s">
        <v>5186</v>
      </c>
      <c r="C1790" s="885" t="s">
        <v>5187</v>
      </c>
      <c r="D1790" s="669">
        <v>39900</v>
      </c>
    </row>
    <row r="1791" spans="1:4" s="23" customFormat="1" ht="25.5" x14ac:dyDescent="0.25">
      <c r="A1791" s="667">
        <v>1783</v>
      </c>
      <c r="B1791" s="668" t="s">
        <v>5188</v>
      </c>
      <c r="C1791" s="885" t="s">
        <v>5189</v>
      </c>
      <c r="D1791" s="669">
        <v>39900</v>
      </c>
    </row>
    <row r="1792" spans="1:4" s="23" customFormat="1" ht="25.5" x14ac:dyDescent="0.25">
      <c r="A1792" s="667">
        <v>1784</v>
      </c>
      <c r="B1792" s="668" t="s">
        <v>5190</v>
      </c>
      <c r="C1792" s="885" t="s">
        <v>5191</v>
      </c>
      <c r="D1792" s="669">
        <v>33460</v>
      </c>
    </row>
    <row r="1793" spans="1:4" s="23" customFormat="1" ht="38.25" x14ac:dyDescent="0.25">
      <c r="A1793" s="667">
        <v>1785</v>
      </c>
      <c r="B1793" s="668" t="s">
        <v>5192</v>
      </c>
      <c r="C1793" s="885" t="s">
        <v>5193</v>
      </c>
      <c r="D1793" s="669">
        <v>33460</v>
      </c>
    </row>
    <row r="1794" spans="1:4" s="23" customFormat="1" ht="76.5" x14ac:dyDescent="0.25">
      <c r="A1794" s="667">
        <v>1786</v>
      </c>
      <c r="B1794" s="668" t="s">
        <v>5194</v>
      </c>
      <c r="C1794" s="885" t="s">
        <v>5195</v>
      </c>
      <c r="D1794" s="669">
        <v>39621.25</v>
      </c>
    </row>
    <row r="1795" spans="1:4" s="23" customFormat="1" ht="51" x14ac:dyDescent="0.25">
      <c r="A1795" s="667">
        <v>1787</v>
      </c>
      <c r="B1795" s="668" t="s">
        <v>5196</v>
      </c>
      <c r="C1795" s="885" t="s">
        <v>5197</v>
      </c>
      <c r="D1795" s="669">
        <v>7815</v>
      </c>
    </row>
    <row r="1796" spans="1:4" s="23" customFormat="1" ht="63.75" x14ac:dyDescent="0.25">
      <c r="A1796" s="667">
        <v>1788</v>
      </c>
      <c r="B1796" s="668" t="s">
        <v>5198</v>
      </c>
      <c r="C1796" s="885" t="s">
        <v>5199</v>
      </c>
      <c r="D1796" s="669">
        <v>8152.17</v>
      </c>
    </row>
    <row r="1797" spans="1:4" s="23" customFormat="1" ht="25.5" x14ac:dyDescent="0.25">
      <c r="A1797" s="667">
        <v>1789</v>
      </c>
      <c r="B1797" s="668" t="s">
        <v>5200</v>
      </c>
      <c r="C1797" s="885" t="s">
        <v>5201</v>
      </c>
      <c r="D1797" s="669">
        <v>10741</v>
      </c>
    </row>
    <row r="1798" spans="1:4" s="23" customFormat="1" ht="51" x14ac:dyDescent="0.25">
      <c r="A1798" s="667">
        <v>1790</v>
      </c>
      <c r="B1798" s="668" t="s">
        <v>5202</v>
      </c>
      <c r="C1798" s="885" t="s">
        <v>5203</v>
      </c>
      <c r="D1798" s="669">
        <v>10741</v>
      </c>
    </row>
    <row r="1799" spans="1:4" s="23" customFormat="1" ht="25.5" x14ac:dyDescent="0.25">
      <c r="A1799" s="667">
        <v>1791</v>
      </c>
      <c r="B1799" s="668" t="s">
        <v>5204</v>
      </c>
      <c r="C1799" s="885" t="s">
        <v>5205</v>
      </c>
      <c r="D1799" s="669">
        <v>2346.96</v>
      </c>
    </row>
    <row r="1800" spans="1:4" s="23" customFormat="1" x14ac:dyDescent="0.25">
      <c r="A1800" s="667">
        <v>1792</v>
      </c>
      <c r="B1800" s="668" t="s">
        <v>5206</v>
      </c>
      <c r="C1800" s="885" t="s">
        <v>5207</v>
      </c>
      <c r="D1800" s="669">
        <v>390</v>
      </c>
    </row>
    <row r="1801" spans="1:4" s="23" customFormat="1" ht="25.5" x14ac:dyDescent="0.25">
      <c r="A1801" s="667">
        <v>1793</v>
      </c>
      <c r="B1801" s="668" t="s">
        <v>5208</v>
      </c>
      <c r="C1801" s="885" t="s">
        <v>5209</v>
      </c>
      <c r="D1801" s="669">
        <v>1450</v>
      </c>
    </row>
    <row r="1802" spans="1:4" s="23" customFormat="1" x14ac:dyDescent="0.25">
      <c r="A1802" s="667">
        <v>1794</v>
      </c>
      <c r="B1802" s="668" t="s">
        <v>5210</v>
      </c>
      <c r="C1802" s="885" t="s">
        <v>5211</v>
      </c>
      <c r="D1802" s="669">
        <v>390</v>
      </c>
    </row>
    <row r="1803" spans="1:4" s="23" customFormat="1" ht="25.5" x14ac:dyDescent="0.25">
      <c r="A1803" s="667">
        <v>1795</v>
      </c>
      <c r="B1803" s="668" t="s">
        <v>5212</v>
      </c>
      <c r="C1803" s="885" t="s">
        <v>5213</v>
      </c>
      <c r="D1803" s="669">
        <v>1364.34</v>
      </c>
    </row>
    <row r="1804" spans="1:4" s="23" customFormat="1" ht="38.25" x14ac:dyDescent="0.25">
      <c r="A1804" s="667">
        <v>1796</v>
      </c>
      <c r="B1804" s="668" t="s">
        <v>5214</v>
      </c>
      <c r="C1804" s="885" t="s">
        <v>5215</v>
      </c>
      <c r="D1804" s="669">
        <v>840</v>
      </c>
    </row>
    <row r="1805" spans="1:4" s="23" customFormat="1" ht="38.25" x14ac:dyDescent="0.25">
      <c r="A1805" s="667">
        <v>1797</v>
      </c>
      <c r="B1805" s="668" t="s">
        <v>5216</v>
      </c>
      <c r="C1805" s="885" t="s">
        <v>5217</v>
      </c>
      <c r="D1805" s="669">
        <v>170</v>
      </c>
    </row>
    <row r="1806" spans="1:4" s="23" customFormat="1" ht="38.25" x14ac:dyDescent="0.25">
      <c r="A1806" s="667">
        <v>1798</v>
      </c>
      <c r="B1806" s="668" t="s">
        <v>5202</v>
      </c>
      <c r="C1806" s="885" t="s">
        <v>5218</v>
      </c>
      <c r="D1806" s="669">
        <v>130</v>
      </c>
    </row>
    <row r="1807" spans="1:4" s="23" customFormat="1" ht="25.5" x14ac:dyDescent="0.25">
      <c r="A1807" s="667">
        <v>1799</v>
      </c>
      <c r="B1807" s="668" t="s">
        <v>5204</v>
      </c>
      <c r="C1807" s="885" t="s">
        <v>5219</v>
      </c>
      <c r="D1807" s="669">
        <v>90</v>
      </c>
    </row>
    <row r="1808" spans="1:4" s="23" customFormat="1" x14ac:dyDescent="0.25">
      <c r="A1808" s="667">
        <v>1800</v>
      </c>
      <c r="B1808" s="668" t="s">
        <v>5220</v>
      </c>
      <c r="C1808" s="885" t="s">
        <v>5221</v>
      </c>
      <c r="D1808" s="669">
        <v>142.5</v>
      </c>
    </row>
    <row r="1809" spans="1:4" s="23" customFormat="1" x14ac:dyDescent="0.25">
      <c r="A1809" s="667">
        <v>1801</v>
      </c>
      <c r="B1809" s="668" t="s">
        <v>5222</v>
      </c>
      <c r="C1809" s="885" t="s">
        <v>5221</v>
      </c>
      <c r="D1809" s="669">
        <v>142.5</v>
      </c>
    </row>
    <row r="1810" spans="1:4" s="23" customFormat="1" x14ac:dyDescent="0.25">
      <c r="A1810" s="667">
        <v>1802</v>
      </c>
      <c r="B1810" s="668" t="s">
        <v>5223</v>
      </c>
      <c r="C1810" s="885" t="s">
        <v>5224</v>
      </c>
      <c r="D1810" s="669">
        <v>57.5</v>
      </c>
    </row>
    <row r="1811" spans="1:4" s="23" customFormat="1" x14ac:dyDescent="0.25">
      <c r="A1811" s="667">
        <v>1803</v>
      </c>
      <c r="B1811" s="668" t="s">
        <v>5225</v>
      </c>
      <c r="C1811" s="885" t="s">
        <v>5226</v>
      </c>
      <c r="D1811" s="669">
        <v>200</v>
      </c>
    </row>
    <row r="1812" spans="1:4" s="23" customFormat="1" x14ac:dyDescent="0.25">
      <c r="A1812" s="667">
        <v>1804</v>
      </c>
      <c r="B1812" s="668" t="s">
        <v>5227</v>
      </c>
      <c r="C1812" s="885" t="s">
        <v>5228</v>
      </c>
      <c r="D1812" s="669">
        <v>54</v>
      </c>
    </row>
    <row r="1813" spans="1:4" s="23" customFormat="1" x14ac:dyDescent="0.25">
      <c r="A1813" s="667">
        <v>1805</v>
      </c>
      <c r="B1813" s="668" t="s">
        <v>5229</v>
      </c>
      <c r="C1813" s="885" t="s">
        <v>5230</v>
      </c>
      <c r="D1813" s="669">
        <v>2118.1999999999998</v>
      </c>
    </row>
    <row r="1814" spans="1:4" s="23" customFormat="1" ht="25.5" x14ac:dyDescent="0.25">
      <c r="A1814" s="667">
        <v>1806</v>
      </c>
      <c r="B1814" s="668" t="s">
        <v>5231</v>
      </c>
      <c r="C1814" s="885" t="s">
        <v>5232</v>
      </c>
      <c r="D1814" s="669">
        <v>2758.51</v>
      </c>
    </row>
    <row r="1815" spans="1:4" s="23" customFormat="1" ht="38.25" x14ac:dyDescent="0.25">
      <c r="A1815" s="667">
        <v>1807</v>
      </c>
      <c r="B1815" s="668" t="s">
        <v>5233</v>
      </c>
      <c r="C1815" s="885" t="s">
        <v>5234</v>
      </c>
      <c r="D1815" s="669">
        <v>1500</v>
      </c>
    </row>
    <row r="1816" spans="1:4" s="23" customFormat="1" ht="25.5" x14ac:dyDescent="0.25">
      <c r="A1816" s="667">
        <v>1808</v>
      </c>
      <c r="B1816" s="668" t="s">
        <v>5235</v>
      </c>
      <c r="C1816" s="885" t="s">
        <v>5236</v>
      </c>
      <c r="D1816" s="669">
        <v>3200</v>
      </c>
    </row>
    <row r="1817" spans="1:4" s="23" customFormat="1" ht="38.25" x14ac:dyDescent="0.25">
      <c r="A1817" s="667">
        <v>1809</v>
      </c>
      <c r="B1817" s="668" t="s">
        <v>5237</v>
      </c>
      <c r="C1817" s="885" t="s">
        <v>5238</v>
      </c>
      <c r="D1817" s="669">
        <v>10373.91</v>
      </c>
    </row>
    <row r="1818" spans="1:4" s="23" customFormat="1" ht="25.5" x14ac:dyDescent="0.25">
      <c r="A1818" s="667">
        <v>1810</v>
      </c>
      <c r="B1818" s="668" t="s">
        <v>5239</v>
      </c>
      <c r="C1818" s="885" t="s">
        <v>5240</v>
      </c>
      <c r="D1818" s="669">
        <v>1400</v>
      </c>
    </row>
    <row r="1819" spans="1:4" s="23" customFormat="1" ht="38.25" x14ac:dyDescent="0.25">
      <c r="A1819" s="667">
        <v>1811</v>
      </c>
      <c r="B1819" s="668" t="s">
        <v>5241</v>
      </c>
      <c r="C1819" s="885" t="s">
        <v>5242</v>
      </c>
      <c r="D1819" s="669">
        <v>11482.82</v>
      </c>
    </row>
    <row r="1820" spans="1:4" s="23" customFormat="1" ht="51" x14ac:dyDescent="0.25">
      <c r="A1820" s="667">
        <v>1812</v>
      </c>
      <c r="B1820" s="668" t="s">
        <v>5243</v>
      </c>
      <c r="C1820" s="885" t="s">
        <v>5244</v>
      </c>
      <c r="D1820" s="669">
        <v>11482.82</v>
      </c>
    </row>
    <row r="1821" spans="1:4" s="23" customFormat="1" ht="51" x14ac:dyDescent="0.25">
      <c r="A1821" s="667">
        <v>1813</v>
      </c>
      <c r="B1821" s="668" t="s">
        <v>5245</v>
      </c>
      <c r="C1821" s="885" t="s">
        <v>5246</v>
      </c>
      <c r="D1821" s="669">
        <v>11482.82</v>
      </c>
    </row>
    <row r="1822" spans="1:4" s="23" customFormat="1" ht="51" x14ac:dyDescent="0.25">
      <c r="A1822" s="667">
        <v>1814</v>
      </c>
      <c r="B1822" s="668" t="s">
        <v>5247</v>
      </c>
      <c r="C1822" s="885" t="s">
        <v>5248</v>
      </c>
      <c r="D1822" s="669">
        <v>11482.82</v>
      </c>
    </row>
    <row r="1823" spans="1:4" s="23" customFormat="1" ht="63.75" x14ac:dyDescent="0.25">
      <c r="A1823" s="667">
        <v>1815</v>
      </c>
      <c r="B1823" s="668" t="s">
        <v>5249</v>
      </c>
      <c r="C1823" s="885" t="s">
        <v>5250</v>
      </c>
      <c r="D1823" s="669">
        <v>8320</v>
      </c>
    </row>
    <row r="1824" spans="1:4" s="23" customFormat="1" ht="38.25" x14ac:dyDescent="0.25">
      <c r="A1824" s="667">
        <v>1816</v>
      </c>
      <c r="B1824" s="668" t="s">
        <v>5251</v>
      </c>
      <c r="C1824" s="885" t="s">
        <v>5252</v>
      </c>
      <c r="D1824" s="669">
        <v>4590</v>
      </c>
    </row>
    <row r="1825" spans="1:4" s="23" customFormat="1" ht="25.5" x14ac:dyDescent="0.25">
      <c r="A1825" s="667">
        <v>1817</v>
      </c>
      <c r="B1825" s="668" t="s">
        <v>5253</v>
      </c>
      <c r="C1825" s="885" t="s">
        <v>5254</v>
      </c>
      <c r="D1825" s="669">
        <v>5200</v>
      </c>
    </row>
    <row r="1826" spans="1:4" s="23" customFormat="1" ht="25.5" x14ac:dyDescent="0.25">
      <c r="A1826" s="667">
        <v>1818</v>
      </c>
      <c r="B1826" s="668" t="s">
        <v>5255</v>
      </c>
      <c r="C1826" s="885" t="s">
        <v>5256</v>
      </c>
      <c r="D1826" s="669">
        <v>5200</v>
      </c>
    </row>
    <row r="1827" spans="1:4" s="23" customFormat="1" ht="51" x14ac:dyDescent="0.25">
      <c r="A1827" s="667">
        <v>1819</v>
      </c>
      <c r="B1827" s="668" t="s">
        <v>5257</v>
      </c>
      <c r="C1827" s="885" t="s">
        <v>5258</v>
      </c>
      <c r="D1827" s="669">
        <v>11634</v>
      </c>
    </row>
    <row r="1828" spans="1:4" s="23" customFormat="1" ht="51" x14ac:dyDescent="0.25">
      <c r="A1828" s="667">
        <v>1820</v>
      </c>
      <c r="B1828" s="668" t="s">
        <v>5259</v>
      </c>
      <c r="C1828" s="885" t="s">
        <v>5260</v>
      </c>
      <c r="D1828" s="669">
        <v>10775</v>
      </c>
    </row>
    <row r="1829" spans="1:4" s="23" customFormat="1" ht="51" x14ac:dyDescent="0.25">
      <c r="A1829" s="667">
        <v>1821</v>
      </c>
      <c r="B1829" s="668" t="s">
        <v>5261</v>
      </c>
      <c r="C1829" s="885" t="s">
        <v>5262</v>
      </c>
      <c r="D1829" s="669">
        <v>9370</v>
      </c>
    </row>
    <row r="1830" spans="1:4" s="23" customFormat="1" ht="63.75" x14ac:dyDescent="0.25">
      <c r="A1830" s="667">
        <v>1822</v>
      </c>
      <c r="B1830" s="668" t="s">
        <v>5263</v>
      </c>
      <c r="C1830" s="885" t="s">
        <v>5264</v>
      </c>
      <c r="D1830" s="669">
        <v>7400</v>
      </c>
    </row>
    <row r="1831" spans="1:4" s="23" customFormat="1" ht="38.25" x14ac:dyDescent="0.25">
      <c r="A1831" s="667">
        <v>1823</v>
      </c>
      <c r="B1831" s="668" t="s">
        <v>5265</v>
      </c>
      <c r="C1831" s="885" t="s">
        <v>5266</v>
      </c>
      <c r="D1831" s="669">
        <v>5440</v>
      </c>
    </row>
    <row r="1832" spans="1:4" s="23" customFormat="1" ht="63.75" x14ac:dyDescent="0.25">
      <c r="A1832" s="667">
        <v>1824</v>
      </c>
      <c r="B1832" s="668" t="s">
        <v>5267</v>
      </c>
      <c r="C1832" s="885" t="s">
        <v>5268</v>
      </c>
      <c r="D1832" s="669">
        <v>6450</v>
      </c>
    </row>
    <row r="1833" spans="1:4" s="23" customFormat="1" ht="38.25" x14ac:dyDescent="0.25">
      <c r="A1833" s="667">
        <v>1825</v>
      </c>
      <c r="B1833" s="668" t="s">
        <v>5269</v>
      </c>
      <c r="C1833" s="885" t="s">
        <v>5270</v>
      </c>
      <c r="D1833" s="669">
        <v>4250</v>
      </c>
    </row>
    <row r="1834" spans="1:4" s="23" customFormat="1" x14ac:dyDescent="0.25">
      <c r="A1834" s="667">
        <v>1826</v>
      </c>
      <c r="B1834" s="668" t="s">
        <v>5271</v>
      </c>
      <c r="C1834" s="885" t="s">
        <v>5272</v>
      </c>
      <c r="D1834" s="669">
        <v>950</v>
      </c>
    </row>
    <row r="1835" spans="1:4" s="23" customFormat="1" ht="38.25" x14ac:dyDescent="0.25">
      <c r="A1835" s="667">
        <v>1827</v>
      </c>
      <c r="B1835" s="668" t="s">
        <v>5273</v>
      </c>
      <c r="C1835" s="885" t="s">
        <v>5274</v>
      </c>
      <c r="D1835" s="669">
        <v>4250</v>
      </c>
    </row>
    <row r="1836" spans="1:4" s="23" customFormat="1" x14ac:dyDescent="0.25">
      <c r="A1836" s="667">
        <v>1828</v>
      </c>
      <c r="B1836" s="668" t="s">
        <v>5275</v>
      </c>
      <c r="C1836" s="885" t="s">
        <v>5272</v>
      </c>
      <c r="D1836" s="669">
        <v>950</v>
      </c>
    </row>
    <row r="1837" spans="1:4" s="23" customFormat="1" ht="63.75" x14ac:dyDescent="0.25">
      <c r="A1837" s="667">
        <v>1829</v>
      </c>
      <c r="B1837" s="668" t="s">
        <v>5276</v>
      </c>
      <c r="C1837" s="885" t="s">
        <v>5277</v>
      </c>
      <c r="D1837" s="669">
        <v>8600</v>
      </c>
    </row>
    <row r="1838" spans="1:4" s="23" customFormat="1" ht="25.5" x14ac:dyDescent="0.25">
      <c r="A1838" s="667">
        <v>1830</v>
      </c>
      <c r="B1838" s="668" t="s">
        <v>5278</v>
      </c>
      <c r="C1838" s="885" t="s">
        <v>5279</v>
      </c>
      <c r="D1838" s="669">
        <v>3300</v>
      </c>
    </row>
    <row r="1839" spans="1:4" s="23" customFormat="1" ht="25.5" x14ac:dyDescent="0.25">
      <c r="A1839" s="667">
        <v>1831</v>
      </c>
      <c r="B1839" s="668" t="s">
        <v>5280</v>
      </c>
      <c r="C1839" s="885" t="s">
        <v>5281</v>
      </c>
      <c r="D1839" s="669">
        <v>3000</v>
      </c>
    </row>
    <row r="1840" spans="1:4" s="23" customFormat="1" ht="25.5" x14ac:dyDescent="0.25">
      <c r="A1840" s="667">
        <v>1832</v>
      </c>
      <c r="B1840" s="668" t="s">
        <v>5282</v>
      </c>
      <c r="C1840" s="885" t="s">
        <v>5283</v>
      </c>
      <c r="D1840" s="669">
        <v>1350</v>
      </c>
    </row>
    <row r="1841" spans="1:4" s="23" customFormat="1" ht="38.25" x14ac:dyDescent="0.25">
      <c r="A1841" s="667">
        <v>1833</v>
      </c>
      <c r="B1841" s="668" t="s">
        <v>5284</v>
      </c>
      <c r="C1841" s="885" t="s">
        <v>5285</v>
      </c>
      <c r="D1841" s="669">
        <v>1723.28</v>
      </c>
    </row>
    <row r="1842" spans="1:4" s="23" customFormat="1" ht="38.25" x14ac:dyDescent="0.25">
      <c r="A1842" s="667">
        <v>1834</v>
      </c>
      <c r="B1842" s="668" t="s">
        <v>5286</v>
      </c>
      <c r="C1842" s="885" t="s">
        <v>5287</v>
      </c>
      <c r="D1842" s="669">
        <v>0</v>
      </c>
    </row>
    <row r="1843" spans="1:4" s="23" customFormat="1" ht="51" x14ac:dyDescent="0.25">
      <c r="A1843" s="667">
        <v>1835</v>
      </c>
      <c r="B1843" s="668" t="s">
        <v>5288</v>
      </c>
      <c r="C1843" s="885" t="s">
        <v>5289</v>
      </c>
      <c r="D1843" s="669">
        <v>4900</v>
      </c>
    </row>
    <row r="1844" spans="1:4" s="23" customFormat="1" ht="51" x14ac:dyDescent="0.25">
      <c r="A1844" s="667">
        <v>1836</v>
      </c>
      <c r="B1844" s="668" t="s">
        <v>5290</v>
      </c>
      <c r="C1844" s="885" t="s">
        <v>5291</v>
      </c>
      <c r="D1844" s="669">
        <v>4900</v>
      </c>
    </row>
    <row r="1845" spans="1:4" s="23" customFormat="1" ht="25.5" x14ac:dyDescent="0.25">
      <c r="A1845" s="667">
        <v>1837</v>
      </c>
      <c r="B1845" s="668" t="s">
        <v>5292</v>
      </c>
      <c r="C1845" s="885" t="s">
        <v>5293</v>
      </c>
      <c r="D1845" s="669">
        <v>1396.55</v>
      </c>
    </row>
    <row r="1846" spans="1:4" s="23" customFormat="1" ht="38.25" x14ac:dyDescent="0.25">
      <c r="A1846" s="667">
        <v>1838</v>
      </c>
      <c r="B1846" s="668" t="s">
        <v>5294</v>
      </c>
      <c r="C1846" s="885" t="s">
        <v>5295</v>
      </c>
      <c r="D1846" s="669">
        <v>16489</v>
      </c>
    </row>
    <row r="1847" spans="1:4" s="23" customFormat="1" ht="38.25" x14ac:dyDescent="0.25">
      <c r="A1847" s="667">
        <v>1839</v>
      </c>
      <c r="B1847" s="668" t="s">
        <v>5296</v>
      </c>
      <c r="C1847" s="885" t="s">
        <v>5297</v>
      </c>
      <c r="D1847" s="669">
        <v>16489</v>
      </c>
    </row>
    <row r="1848" spans="1:4" s="23" customFormat="1" ht="38.25" x14ac:dyDescent="0.25">
      <c r="A1848" s="667">
        <v>1840</v>
      </c>
      <c r="B1848" s="668" t="s">
        <v>5298</v>
      </c>
      <c r="C1848" s="885" t="s">
        <v>5299</v>
      </c>
      <c r="D1848" s="669">
        <v>16489</v>
      </c>
    </row>
    <row r="1849" spans="1:4" s="23" customFormat="1" ht="38.25" x14ac:dyDescent="0.25">
      <c r="A1849" s="667">
        <v>1841</v>
      </c>
      <c r="B1849" s="668" t="s">
        <v>5300</v>
      </c>
      <c r="C1849" s="885" t="s">
        <v>5301</v>
      </c>
      <c r="D1849" s="669">
        <v>16489</v>
      </c>
    </row>
    <row r="1850" spans="1:4" s="23" customFormat="1" ht="38.25" x14ac:dyDescent="0.25">
      <c r="A1850" s="667">
        <v>1842</v>
      </c>
      <c r="B1850" s="668" t="s">
        <v>5302</v>
      </c>
      <c r="C1850" s="885" t="s">
        <v>5303</v>
      </c>
      <c r="D1850" s="669">
        <v>11206.03</v>
      </c>
    </row>
    <row r="1851" spans="1:4" s="23" customFormat="1" ht="38.25" x14ac:dyDescent="0.25">
      <c r="A1851" s="667">
        <v>1843</v>
      </c>
      <c r="B1851" s="668" t="s">
        <v>5304</v>
      </c>
      <c r="C1851" s="885" t="s">
        <v>5305</v>
      </c>
      <c r="D1851" s="669">
        <v>11206.02</v>
      </c>
    </row>
    <row r="1852" spans="1:4" s="23" customFormat="1" ht="25.5" x14ac:dyDescent="0.25">
      <c r="A1852" s="667">
        <v>1844</v>
      </c>
      <c r="B1852" s="668" t="s">
        <v>5306</v>
      </c>
      <c r="C1852" s="885" t="s">
        <v>5307</v>
      </c>
      <c r="D1852" s="669">
        <v>3102.59</v>
      </c>
    </row>
    <row r="1853" spans="1:4" s="23" customFormat="1" ht="25.5" x14ac:dyDescent="0.25">
      <c r="A1853" s="667">
        <v>1845</v>
      </c>
      <c r="B1853" s="668" t="s">
        <v>5308</v>
      </c>
      <c r="C1853" s="885" t="s">
        <v>5309</v>
      </c>
      <c r="D1853" s="669">
        <v>4568.1099999999997</v>
      </c>
    </row>
    <row r="1854" spans="1:4" s="23" customFormat="1" ht="38.25" x14ac:dyDescent="0.25">
      <c r="A1854" s="667">
        <v>1846</v>
      </c>
      <c r="B1854" s="668" t="s">
        <v>5310</v>
      </c>
      <c r="C1854" s="885" t="s">
        <v>5311</v>
      </c>
      <c r="D1854" s="669">
        <v>7757.76</v>
      </c>
    </row>
    <row r="1855" spans="1:4" s="23" customFormat="1" ht="38.25" x14ac:dyDescent="0.25">
      <c r="A1855" s="667">
        <v>1847</v>
      </c>
      <c r="B1855" s="668" t="s">
        <v>5312</v>
      </c>
      <c r="C1855" s="885" t="s">
        <v>5313</v>
      </c>
      <c r="D1855" s="669">
        <v>15506.39</v>
      </c>
    </row>
    <row r="1856" spans="1:4" s="23" customFormat="1" ht="38.25" x14ac:dyDescent="0.25">
      <c r="A1856" s="667">
        <v>1848</v>
      </c>
      <c r="B1856" s="668" t="s">
        <v>5314</v>
      </c>
      <c r="C1856" s="885" t="s">
        <v>5315</v>
      </c>
      <c r="D1856" s="669">
        <v>15506.39</v>
      </c>
    </row>
    <row r="1857" spans="1:4" s="23" customFormat="1" ht="38.25" x14ac:dyDescent="0.25">
      <c r="A1857" s="667">
        <v>1849</v>
      </c>
      <c r="B1857" s="668" t="s">
        <v>5316</v>
      </c>
      <c r="C1857" s="885" t="s">
        <v>5317</v>
      </c>
      <c r="D1857" s="669">
        <v>15506.39</v>
      </c>
    </row>
    <row r="1858" spans="1:4" s="23" customFormat="1" ht="38.25" x14ac:dyDescent="0.25">
      <c r="A1858" s="667">
        <v>1850</v>
      </c>
      <c r="B1858" s="668" t="s">
        <v>5318</v>
      </c>
      <c r="C1858" s="885" t="s">
        <v>5319</v>
      </c>
      <c r="D1858" s="669">
        <v>15506.39</v>
      </c>
    </row>
    <row r="1859" spans="1:4" s="23" customFormat="1" ht="38.25" x14ac:dyDescent="0.25">
      <c r="A1859" s="667">
        <v>1851</v>
      </c>
      <c r="B1859" s="668" t="s">
        <v>5320</v>
      </c>
      <c r="C1859" s="885" t="s">
        <v>5321</v>
      </c>
      <c r="D1859" s="669">
        <v>15506.39</v>
      </c>
    </row>
    <row r="1860" spans="1:4" s="23" customFormat="1" ht="38.25" x14ac:dyDescent="0.25">
      <c r="A1860" s="667">
        <v>1852</v>
      </c>
      <c r="B1860" s="668" t="s">
        <v>5322</v>
      </c>
      <c r="C1860" s="885" t="s">
        <v>5323</v>
      </c>
      <c r="D1860" s="669">
        <v>3400.59</v>
      </c>
    </row>
    <row r="1861" spans="1:4" s="23" customFormat="1" ht="38.25" x14ac:dyDescent="0.25">
      <c r="A1861" s="667">
        <v>1853</v>
      </c>
      <c r="B1861" s="668" t="s">
        <v>5324</v>
      </c>
      <c r="C1861" s="885" t="s">
        <v>5325</v>
      </c>
      <c r="D1861" s="669">
        <v>3400.59</v>
      </c>
    </row>
    <row r="1862" spans="1:4" s="23" customFormat="1" ht="38.25" x14ac:dyDescent="0.25">
      <c r="A1862" s="667">
        <v>1854</v>
      </c>
      <c r="B1862" s="668" t="s">
        <v>5326</v>
      </c>
      <c r="C1862" s="885" t="s">
        <v>5327</v>
      </c>
      <c r="D1862" s="669">
        <v>3400.59</v>
      </c>
    </row>
    <row r="1863" spans="1:4" s="23" customFormat="1" ht="38.25" x14ac:dyDescent="0.25">
      <c r="A1863" s="667">
        <v>1855</v>
      </c>
      <c r="B1863" s="668" t="s">
        <v>5328</v>
      </c>
      <c r="C1863" s="885" t="s">
        <v>5329</v>
      </c>
      <c r="D1863" s="669">
        <v>3400.59</v>
      </c>
    </row>
    <row r="1864" spans="1:4" s="23" customFormat="1" ht="38.25" x14ac:dyDescent="0.25">
      <c r="A1864" s="667">
        <v>1856</v>
      </c>
      <c r="B1864" s="668" t="s">
        <v>5330</v>
      </c>
      <c r="C1864" s="885" t="s">
        <v>5331</v>
      </c>
      <c r="D1864" s="669">
        <v>3400.59</v>
      </c>
    </row>
    <row r="1865" spans="1:4" s="23" customFormat="1" ht="38.25" x14ac:dyDescent="0.25">
      <c r="A1865" s="667">
        <v>1857</v>
      </c>
      <c r="B1865" s="668" t="s">
        <v>5332</v>
      </c>
      <c r="C1865" s="885" t="s">
        <v>5333</v>
      </c>
      <c r="D1865" s="669">
        <v>14477.74</v>
      </c>
    </row>
    <row r="1866" spans="1:4" s="23" customFormat="1" ht="38.25" x14ac:dyDescent="0.25">
      <c r="A1866" s="667">
        <v>1858</v>
      </c>
      <c r="B1866" s="668" t="s">
        <v>5334</v>
      </c>
      <c r="C1866" s="885" t="s">
        <v>5335</v>
      </c>
      <c r="D1866" s="669">
        <v>14477.74</v>
      </c>
    </row>
    <row r="1867" spans="1:4" s="23" customFormat="1" ht="38.25" x14ac:dyDescent="0.25">
      <c r="A1867" s="667">
        <v>1859</v>
      </c>
      <c r="B1867" s="668" t="s">
        <v>5336</v>
      </c>
      <c r="C1867" s="885" t="s">
        <v>5337</v>
      </c>
      <c r="D1867" s="669">
        <v>14477.74</v>
      </c>
    </row>
    <row r="1868" spans="1:4" s="23" customFormat="1" ht="38.25" x14ac:dyDescent="0.25">
      <c r="A1868" s="667">
        <v>1860</v>
      </c>
      <c r="B1868" s="668" t="s">
        <v>5338</v>
      </c>
      <c r="C1868" s="885" t="s">
        <v>5339</v>
      </c>
      <c r="D1868" s="669">
        <v>14477.74</v>
      </c>
    </row>
    <row r="1869" spans="1:4" s="23" customFormat="1" ht="38.25" x14ac:dyDescent="0.25">
      <c r="A1869" s="667">
        <v>1861</v>
      </c>
      <c r="B1869" s="668" t="s">
        <v>5340</v>
      </c>
      <c r="C1869" s="885" t="s">
        <v>5341</v>
      </c>
      <c r="D1869" s="669">
        <v>14477.74</v>
      </c>
    </row>
    <row r="1870" spans="1:4" s="23" customFormat="1" ht="25.5" x14ac:dyDescent="0.25">
      <c r="A1870" s="667">
        <v>1862</v>
      </c>
      <c r="B1870" s="668" t="s">
        <v>5342</v>
      </c>
      <c r="C1870" s="885" t="s">
        <v>5343</v>
      </c>
      <c r="D1870" s="669">
        <v>2807.52</v>
      </c>
    </row>
    <row r="1871" spans="1:4" s="23" customFormat="1" ht="25.5" x14ac:dyDescent="0.25">
      <c r="A1871" s="667">
        <v>1863</v>
      </c>
      <c r="B1871" s="668" t="s">
        <v>5344</v>
      </c>
      <c r="C1871" s="885" t="s">
        <v>5345</v>
      </c>
      <c r="D1871" s="669">
        <v>2807.52</v>
      </c>
    </row>
    <row r="1872" spans="1:4" s="23" customFormat="1" ht="25.5" x14ac:dyDescent="0.25">
      <c r="A1872" s="667">
        <v>1864</v>
      </c>
      <c r="B1872" s="668" t="s">
        <v>5346</v>
      </c>
      <c r="C1872" s="885" t="s">
        <v>5347</v>
      </c>
      <c r="D1872" s="669">
        <v>2807.52</v>
      </c>
    </row>
    <row r="1873" spans="1:4" s="23" customFormat="1" ht="25.5" x14ac:dyDescent="0.25">
      <c r="A1873" s="667">
        <v>1865</v>
      </c>
      <c r="B1873" s="668" t="s">
        <v>5348</v>
      </c>
      <c r="C1873" s="885" t="s">
        <v>5349</v>
      </c>
      <c r="D1873" s="669">
        <v>2807.52</v>
      </c>
    </row>
    <row r="1874" spans="1:4" s="23" customFormat="1" ht="25.5" x14ac:dyDescent="0.25">
      <c r="A1874" s="667">
        <v>1866</v>
      </c>
      <c r="B1874" s="668" t="s">
        <v>5350</v>
      </c>
      <c r="C1874" s="885" t="s">
        <v>5351</v>
      </c>
      <c r="D1874" s="669">
        <v>2807.52</v>
      </c>
    </row>
    <row r="1875" spans="1:4" s="23" customFormat="1" ht="38.25" x14ac:dyDescent="0.25">
      <c r="A1875" s="667">
        <v>1867</v>
      </c>
      <c r="B1875" s="668" t="s">
        <v>5352</v>
      </c>
      <c r="C1875" s="885" t="s">
        <v>5353</v>
      </c>
      <c r="D1875" s="669">
        <v>26340.09</v>
      </c>
    </row>
    <row r="1876" spans="1:4" s="23" customFormat="1" ht="38.25" x14ac:dyDescent="0.25">
      <c r="A1876" s="667">
        <v>1868</v>
      </c>
      <c r="B1876" s="668" t="s">
        <v>5354</v>
      </c>
      <c r="C1876" s="885" t="s">
        <v>5355</v>
      </c>
      <c r="D1876" s="669">
        <v>26340.09</v>
      </c>
    </row>
    <row r="1877" spans="1:4" s="23" customFormat="1" ht="38.25" x14ac:dyDescent="0.25">
      <c r="A1877" s="667">
        <v>1869</v>
      </c>
      <c r="B1877" s="668" t="s">
        <v>5356</v>
      </c>
      <c r="C1877" s="885" t="s">
        <v>5357</v>
      </c>
      <c r="D1877" s="669">
        <v>26340.09</v>
      </c>
    </row>
    <row r="1878" spans="1:4" s="23" customFormat="1" ht="38.25" x14ac:dyDescent="0.25">
      <c r="A1878" s="667">
        <v>1870</v>
      </c>
      <c r="B1878" s="668" t="s">
        <v>5358</v>
      </c>
      <c r="C1878" s="885" t="s">
        <v>5359</v>
      </c>
      <c r="D1878" s="669">
        <v>26340.09</v>
      </c>
    </row>
    <row r="1879" spans="1:4" s="23" customFormat="1" ht="38.25" x14ac:dyDescent="0.25">
      <c r="A1879" s="667">
        <v>1871</v>
      </c>
      <c r="B1879" s="668" t="s">
        <v>5360</v>
      </c>
      <c r="C1879" s="885" t="s">
        <v>5361</v>
      </c>
      <c r="D1879" s="669">
        <v>115205.35</v>
      </c>
    </row>
    <row r="1880" spans="1:4" s="23" customFormat="1" ht="25.5" x14ac:dyDescent="0.25">
      <c r="A1880" s="667">
        <v>1872</v>
      </c>
      <c r="B1880" s="668" t="s">
        <v>5362</v>
      </c>
      <c r="C1880" s="885" t="s">
        <v>5363</v>
      </c>
      <c r="D1880" s="669">
        <v>48194.09</v>
      </c>
    </row>
    <row r="1881" spans="1:4" s="23" customFormat="1" ht="38.25" x14ac:dyDescent="0.25">
      <c r="A1881" s="667">
        <v>1873</v>
      </c>
      <c r="B1881" s="668" t="s">
        <v>5364</v>
      </c>
      <c r="C1881" s="885" t="s">
        <v>5365</v>
      </c>
      <c r="D1881" s="669">
        <v>1293.0999999999999</v>
      </c>
    </row>
    <row r="1882" spans="1:4" s="23" customFormat="1" x14ac:dyDescent="0.25">
      <c r="A1882" s="667">
        <v>1874</v>
      </c>
      <c r="B1882" s="668" t="s">
        <v>5366</v>
      </c>
      <c r="C1882" s="885" t="s">
        <v>5367</v>
      </c>
      <c r="D1882" s="669">
        <v>3801.63</v>
      </c>
    </row>
    <row r="1883" spans="1:4" s="23" customFormat="1" x14ac:dyDescent="0.25">
      <c r="A1883" s="667">
        <v>1875</v>
      </c>
      <c r="B1883" s="668" t="s">
        <v>5368</v>
      </c>
      <c r="C1883" s="885" t="s">
        <v>5369</v>
      </c>
      <c r="D1883" s="669">
        <v>1344.05</v>
      </c>
    </row>
    <row r="1884" spans="1:4" s="23" customFormat="1" ht="38.25" x14ac:dyDescent="0.25">
      <c r="A1884" s="667">
        <v>1876</v>
      </c>
      <c r="B1884" s="668" t="s">
        <v>5370</v>
      </c>
      <c r="C1884" s="885" t="s">
        <v>5371</v>
      </c>
      <c r="D1884" s="669">
        <v>745</v>
      </c>
    </row>
    <row r="1885" spans="1:4" s="23" customFormat="1" ht="25.5" x14ac:dyDescent="0.25">
      <c r="A1885" s="667">
        <v>1877</v>
      </c>
      <c r="B1885" s="668" t="s">
        <v>5372</v>
      </c>
      <c r="C1885" s="885" t="s">
        <v>5373</v>
      </c>
      <c r="D1885" s="669">
        <v>565</v>
      </c>
    </row>
    <row r="1886" spans="1:4" s="23" customFormat="1" ht="25.5" x14ac:dyDescent="0.25">
      <c r="A1886" s="667">
        <v>1878</v>
      </c>
      <c r="B1886" s="668" t="s">
        <v>5374</v>
      </c>
      <c r="C1886" s="885" t="s">
        <v>5373</v>
      </c>
      <c r="D1886" s="669">
        <v>565</v>
      </c>
    </row>
    <row r="1887" spans="1:4" s="23" customFormat="1" ht="25.5" x14ac:dyDescent="0.25">
      <c r="A1887" s="667">
        <v>1879</v>
      </c>
      <c r="B1887" s="668" t="s">
        <v>5375</v>
      </c>
      <c r="C1887" s="885" t="s">
        <v>5376</v>
      </c>
      <c r="D1887" s="669">
        <v>240</v>
      </c>
    </row>
    <row r="1888" spans="1:4" s="23" customFormat="1" ht="25.5" x14ac:dyDescent="0.25">
      <c r="A1888" s="667">
        <v>1880</v>
      </c>
      <c r="B1888" s="668" t="s">
        <v>5377</v>
      </c>
      <c r="C1888" s="885" t="s">
        <v>5378</v>
      </c>
      <c r="D1888" s="669">
        <v>240</v>
      </c>
    </row>
    <row r="1889" spans="1:4" s="23" customFormat="1" ht="25.5" x14ac:dyDescent="0.25">
      <c r="A1889" s="667">
        <v>1881</v>
      </c>
      <c r="B1889" s="668" t="s">
        <v>5379</v>
      </c>
      <c r="C1889" s="885" t="s">
        <v>5380</v>
      </c>
      <c r="D1889" s="669">
        <v>240</v>
      </c>
    </row>
    <row r="1890" spans="1:4" s="23" customFormat="1" x14ac:dyDescent="0.25">
      <c r="A1890" s="667">
        <v>1882</v>
      </c>
      <c r="B1890" s="668" t="s">
        <v>5381</v>
      </c>
      <c r="C1890" s="885" t="s">
        <v>5382</v>
      </c>
      <c r="D1890" s="669">
        <v>1628</v>
      </c>
    </row>
    <row r="1891" spans="1:4" s="23" customFormat="1" x14ac:dyDescent="0.25">
      <c r="A1891" s="667">
        <v>1883</v>
      </c>
      <c r="B1891" s="668" t="s">
        <v>5383</v>
      </c>
      <c r="C1891" s="885" t="s">
        <v>5384</v>
      </c>
      <c r="D1891" s="669">
        <v>1496</v>
      </c>
    </row>
    <row r="1892" spans="1:4" s="23" customFormat="1" x14ac:dyDescent="0.25">
      <c r="A1892" s="667">
        <v>1884</v>
      </c>
      <c r="B1892" s="668" t="s">
        <v>5385</v>
      </c>
      <c r="C1892" s="885" t="s">
        <v>5384</v>
      </c>
      <c r="D1892" s="669">
        <v>1496</v>
      </c>
    </row>
    <row r="1893" spans="1:4" s="23" customFormat="1" x14ac:dyDescent="0.25">
      <c r="A1893" s="667">
        <v>1885</v>
      </c>
      <c r="B1893" s="668" t="s">
        <v>5386</v>
      </c>
      <c r="C1893" s="885" t="s">
        <v>5387</v>
      </c>
      <c r="D1893" s="669">
        <v>2154.75</v>
      </c>
    </row>
    <row r="1894" spans="1:4" s="23" customFormat="1" x14ac:dyDescent="0.25">
      <c r="A1894" s="667">
        <v>1886</v>
      </c>
      <c r="B1894" s="668" t="s">
        <v>5388</v>
      </c>
      <c r="C1894" s="885" t="s">
        <v>5389</v>
      </c>
      <c r="D1894" s="669">
        <v>280</v>
      </c>
    </row>
    <row r="1895" spans="1:4" s="23" customFormat="1" x14ac:dyDescent="0.25">
      <c r="A1895" s="667">
        <v>1887</v>
      </c>
      <c r="B1895" s="668" t="s">
        <v>5390</v>
      </c>
      <c r="C1895" s="885" t="s">
        <v>5389</v>
      </c>
      <c r="D1895" s="669">
        <v>280</v>
      </c>
    </row>
    <row r="1896" spans="1:4" s="23" customFormat="1" x14ac:dyDescent="0.25">
      <c r="A1896" s="667">
        <v>1888</v>
      </c>
      <c r="B1896" s="668" t="s">
        <v>5391</v>
      </c>
      <c r="C1896" s="885" t="s">
        <v>5389</v>
      </c>
      <c r="D1896" s="669">
        <v>280</v>
      </c>
    </row>
    <row r="1897" spans="1:4" s="23" customFormat="1" x14ac:dyDescent="0.25">
      <c r="A1897" s="667">
        <v>1889</v>
      </c>
      <c r="B1897" s="668" t="s">
        <v>5392</v>
      </c>
      <c r="C1897" s="885" t="s">
        <v>5389</v>
      </c>
      <c r="D1897" s="669">
        <v>280</v>
      </c>
    </row>
    <row r="1898" spans="1:4" s="23" customFormat="1" x14ac:dyDescent="0.25">
      <c r="A1898" s="667">
        <v>1890</v>
      </c>
      <c r="B1898" s="668" t="s">
        <v>5393</v>
      </c>
      <c r="C1898" s="885" t="s">
        <v>5394</v>
      </c>
      <c r="D1898" s="669">
        <v>1100</v>
      </c>
    </row>
    <row r="1899" spans="1:4" s="23" customFormat="1" x14ac:dyDescent="0.25">
      <c r="A1899" s="667">
        <v>1891</v>
      </c>
      <c r="B1899" s="668" t="s">
        <v>5395</v>
      </c>
      <c r="C1899" s="885" t="s">
        <v>5394</v>
      </c>
      <c r="D1899" s="669">
        <v>1100</v>
      </c>
    </row>
    <row r="1900" spans="1:4" s="23" customFormat="1" x14ac:dyDescent="0.25">
      <c r="A1900" s="667">
        <v>1892</v>
      </c>
      <c r="B1900" s="668" t="s">
        <v>5396</v>
      </c>
      <c r="C1900" s="885" t="s">
        <v>5397</v>
      </c>
      <c r="D1900" s="669">
        <v>1470</v>
      </c>
    </row>
    <row r="1901" spans="1:4" s="23" customFormat="1" x14ac:dyDescent="0.25">
      <c r="A1901" s="667">
        <v>1893</v>
      </c>
      <c r="B1901" s="668" t="s">
        <v>5398</v>
      </c>
      <c r="C1901" s="885" t="s">
        <v>5399</v>
      </c>
      <c r="D1901" s="669">
        <v>390</v>
      </c>
    </row>
    <row r="1902" spans="1:4" s="23" customFormat="1" x14ac:dyDescent="0.25">
      <c r="A1902" s="667">
        <v>1894</v>
      </c>
      <c r="B1902" s="668" t="s">
        <v>5400</v>
      </c>
      <c r="C1902" s="885" t="s">
        <v>5401</v>
      </c>
      <c r="D1902" s="669">
        <v>1385</v>
      </c>
    </row>
    <row r="1903" spans="1:4" s="23" customFormat="1" ht="25.5" x14ac:dyDescent="0.25">
      <c r="A1903" s="667">
        <v>1895</v>
      </c>
      <c r="B1903" s="668" t="s">
        <v>5402</v>
      </c>
      <c r="C1903" s="885" t="s">
        <v>5403</v>
      </c>
      <c r="D1903" s="669">
        <v>285</v>
      </c>
    </row>
    <row r="1904" spans="1:4" s="23" customFormat="1" x14ac:dyDescent="0.25">
      <c r="A1904" s="667">
        <v>1896</v>
      </c>
      <c r="B1904" s="668" t="s">
        <v>5404</v>
      </c>
      <c r="C1904" s="885" t="s">
        <v>5405</v>
      </c>
      <c r="D1904" s="669">
        <v>189</v>
      </c>
    </row>
    <row r="1905" spans="1:4" s="23" customFormat="1" x14ac:dyDescent="0.25">
      <c r="A1905" s="667">
        <v>1897</v>
      </c>
      <c r="B1905" s="668" t="s">
        <v>5406</v>
      </c>
      <c r="C1905" s="885" t="s">
        <v>5407</v>
      </c>
      <c r="D1905" s="669">
        <v>490</v>
      </c>
    </row>
    <row r="1906" spans="1:4" s="23" customFormat="1" x14ac:dyDescent="0.25">
      <c r="A1906" s="667">
        <v>1898</v>
      </c>
      <c r="B1906" s="668" t="s">
        <v>5408</v>
      </c>
      <c r="C1906" s="885" t="s">
        <v>5407</v>
      </c>
      <c r="D1906" s="669">
        <v>490</v>
      </c>
    </row>
    <row r="1907" spans="1:4" s="23" customFormat="1" ht="25.5" x14ac:dyDescent="0.25">
      <c r="A1907" s="667">
        <v>1899</v>
      </c>
      <c r="B1907" s="668" t="s">
        <v>5409</v>
      </c>
      <c r="C1907" s="885" t="s">
        <v>5410</v>
      </c>
      <c r="D1907" s="669">
        <v>189</v>
      </c>
    </row>
    <row r="1908" spans="1:4" s="23" customFormat="1" x14ac:dyDescent="0.25">
      <c r="A1908" s="667">
        <v>1900</v>
      </c>
      <c r="B1908" s="668" t="s">
        <v>5411</v>
      </c>
      <c r="C1908" s="885" t="s">
        <v>5412</v>
      </c>
      <c r="D1908" s="669">
        <v>712.74</v>
      </c>
    </row>
    <row r="1909" spans="1:4" s="23" customFormat="1" ht="25.5" x14ac:dyDescent="0.25">
      <c r="A1909" s="667">
        <v>1901</v>
      </c>
      <c r="B1909" s="668" t="s">
        <v>5413</v>
      </c>
      <c r="C1909" s="885" t="s">
        <v>5414</v>
      </c>
      <c r="D1909" s="669">
        <v>380</v>
      </c>
    </row>
    <row r="1910" spans="1:4" s="23" customFormat="1" x14ac:dyDescent="0.25">
      <c r="A1910" s="667">
        <v>1902</v>
      </c>
      <c r="B1910" s="668" t="s">
        <v>5415</v>
      </c>
      <c r="C1910" s="885" t="s">
        <v>5416</v>
      </c>
      <c r="D1910" s="669">
        <v>1445</v>
      </c>
    </row>
    <row r="1911" spans="1:4" s="23" customFormat="1" x14ac:dyDescent="0.25">
      <c r="A1911" s="667">
        <v>1903</v>
      </c>
      <c r="B1911" s="668" t="s">
        <v>5417</v>
      </c>
      <c r="C1911" s="885" t="s">
        <v>5418</v>
      </c>
      <c r="D1911" s="669">
        <v>1550</v>
      </c>
    </row>
    <row r="1912" spans="1:4" s="23" customFormat="1" x14ac:dyDescent="0.25">
      <c r="A1912" s="667">
        <v>1904</v>
      </c>
      <c r="B1912" s="668" t="s">
        <v>5419</v>
      </c>
      <c r="C1912" s="885" t="s">
        <v>5420</v>
      </c>
      <c r="D1912" s="669">
        <v>795</v>
      </c>
    </row>
    <row r="1913" spans="1:4" s="23" customFormat="1" x14ac:dyDescent="0.25">
      <c r="A1913" s="667">
        <v>1905</v>
      </c>
      <c r="B1913" s="668" t="s">
        <v>5421</v>
      </c>
      <c r="C1913" s="885" t="s">
        <v>5422</v>
      </c>
      <c r="D1913" s="669">
        <v>692.18</v>
      </c>
    </row>
    <row r="1914" spans="1:4" s="23" customFormat="1" x14ac:dyDescent="0.25">
      <c r="A1914" s="667">
        <v>1906</v>
      </c>
      <c r="B1914" s="668" t="s">
        <v>5423</v>
      </c>
      <c r="C1914" s="885" t="s">
        <v>5422</v>
      </c>
      <c r="D1914" s="669">
        <v>542.61</v>
      </c>
    </row>
    <row r="1915" spans="1:4" s="23" customFormat="1" x14ac:dyDescent="0.25">
      <c r="A1915" s="667">
        <v>1907</v>
      </c>
      <c r="B1915" s="668" t="s">
        <v>5424</v>
      </c>
      <c r="C1915" s="885" t="s">
        <v>2870</v>
      </c>
      <c r="D1915" s="669">
        <v>1626</v>
      </c>
    </row>
    <row r="1916" spans="1:4" s="23" customFormat="1" x14ac:dyDescent="0.25">
      <c r="A1916" s="667">
        <v>1908</v>
      </c>
      <c r="B1916" s="668" t="s">
        <v>5425</v>
      </c>
      <c r="C1916" s="885" t="s">
        <v>5426</v>
      </c>
      <c r="D1916" s="669">
        <v>444.95</v>
      </c>
    </row>
    <row r="1917" spans="1:4" s="23" customFormat="1" ht="25.5" x14ac:dyDescent="0.25">
      <c r="A1917" s="667">
        <v>1909</v>
      </c>
      <c r="B1917" s="668" t="s">
        <v>5427</v>
      </c>
      <c r="C1917" s="885" t="s">
        <v>5428</v>
      </c>
      <c r="D1917" s="669">
        <v>1160.6300000000001</v>
      </c>
    </row>
    <row r="1918" spans="1:4" s="23" customFormat="1" x14ac:dyDescent="0.25">
      <c r="A1918" s="667">
        <v>1910</v>
      </c>
      <c r="B1918" s="668" t="s">
        <v>5429</v>
      </c>
      <c r="C1918" s="885" t="s">
        <v>5430</v>
      </c>
      <c r="D1918" s="669">
        <v>2676</v>
      </c>
    </row>
    <row r="1919" spans="1:4" s="23" customFormat="1" x14ac:dyDescent="0.25">
      <c r="A1919" s="667">
        <v>1911</v>
      </c>
      <c r="B1919" s="668" t="s">
        <v>5431</v>
      </c>
      <c r="C1919" s="885" t="s">
        <v>5432</v>
      </c>
      <c r="D1919" s="669">
        <v>1214.78</v>
      </c>
    </row>
    <row r="1920" spans="1:4" s="23" customFormat="1" x14ac:dyDescent="0.25">
      <c r="A1920" s="667">
        <v>1912</v>
      </c>
      <c r="B1920" s="668" t="s">
        <v>5433</v>
      </c>
      <c r="C1920" s="885" t="s">
        <v>5434</v>
      </c>
      <c r="D1920" s="669">
        <v>1335.75</v>
      </c>
    </row>
    <row r="1921" spans="1:4" s="23" customFormat="1" x14ac:dyDescent="0.25">
      <c r="A1921" s="667">
        <v>1913</v>
      </c>
      <c r="B1921" s="668" t="s">
        <v>5435</v>
      </c>
      <c r="C1921" s="885" t="s">
        <v>5436</v>
      </c>
      <c r="D1921" s="669">
        <v>916.39</v>
      </c>
    </row>
    <row r="1922" spans="1:4" s="23" customFormat="1" ht="25.5" x14ac:dyDescent="0.25">
      <c r="A1922" s="667">
        <v>1914</v>
      </c>
      <c r="B1922" s="668" t="s">
        <v>5437</v>
      </c>
      <c r="C1922" s="885" t="s">
        <v>5438</v>
      </c>
      <c r="D1922" s="669">
        <v>935.6</v>
      </c>
    </row>
    <row r="1923" spans="1:4" s="23" customFormat="1" ht="25.5" x14ac:dyDescent="0.25">
      <c r="A1923" s="667">
        <v>1915</v>
      </c>
      <c r="B1923" s="668" t="s">
        <v>5439</v>
      </c>
      <c r="C1923" s="885" t="s">
        <v>5438</v>
      </c>
      <c r="D1923" s="669">
        <v>935.6</v>
      </c>
    </row>
    <row r="1924" spans="1:4" s="23" customFormat="1" ht="38.25" x14ac:dyDescent="0.25">
      <c r="A1924" s="667">
        <v>1916</v>
      </c>
      <c r="B1924" s="668" t="s">
        <v>5440</v>
      </c>
      <c r="C1924" s="885" t="s">
        <v>5441</v>
      </c>
      <c r="D1924" s="669">
        <v>10000</v>
      </c>
    </row>
    <row r="1925" spans="1:4" s="23" customFormat="1" x14ac:dyDescent="0.25">
      <c r="A1925" s="667">
        <v>1917</v>
      </c>
      <c r="B1925" s="668" t="s">
        <v>5442</v>
      </c>
      <c r="C1925" s="885" t="s">
        <v>5443</v>
      </c>
      <c r="D1925" s="669">
        <v>3774.74</v>
      </c>
    </row>
    <row r="1926" spans="1:4" s="23" customFormat="1" x14ac:dyDescent="0.25">
      <c r="A1926" s="667">
        <v>1918</v>
      </c>
      <c r="B1926" s="668" t="s">
        <v>5444</v>
      </c>
      <c r="C1926" s="885" t="s">
        <v>5445</v>
      </c>
      <c r="D1926" s="669">
        <v>1929.9</v>
      </c>
    </row>
    <row r="1927" spans="1:4" s="23" customFormat="1" ht="38.25" x14ac:dyDescent="0.25">
      <c r="A1927" s="667">
        <v>1919</v>
      </c>
      <c r="B1927" s="668" t="s">
        <v>5446</v>
      </c>
      <c r="C1927" s="885" t="s">
        <v>5447</v>
      </c>
      <c r="D1927" s="669">
        <v>5118.74</v>
      </c>
    </row>
    <row r="1928" spans="1:4" s="23" customFormat="1" ht="25.5" x14ac:dyDescent="0.25">
      <c r="A1928" s="667">
        <v>1920</v>
      </c>
      <c r="B1928" s="668" t="s">
        <v>5448</v>
      </c>
      <c r="C1928" s="885" t="s">
        <v>5449</v>
      </c>
      <c r="D1928" s="669">
        <v>5118.74</v>
      </c>
    </row>
    <row r="1929" spans="1:4" s="23" customFormat="1" ht="25.5" x14ac:dyDescent="0.25">
      <c r="A1929" s="667">
        <v>1921</v>
      </c>
      <c r="B1929" s="668" t="s">
        <v>5450</v>
      </c>
      <c r="C1929" s="885" t="s">
        <v>5449</v>
      </c>
      <c r="D1929" s="669">
        <v>5118.74</v>
      </c>
    </row>
    <row r="1930" spans="1:4" s="23" customFormat="1" ht="25.5" x14ac:dyDescent="0.25">
      <c r="A1930" s="667">
        <v>1922</v>
      </c>
      <c r="B1930" s="668" t="s">
        <v>5451</v>
      </c>
      <c r="C1930" s="885" t="s">
        <v>5449</v>
      </c>
      <c r="D1930" s="669">
        <v>5118.74</v>
      </c>
    </row>
    <row r="1931" spans="1:4" s="23" customFormat="1" ht="25.5" x14ac:dyDescent="0.25">
      <c r="A1931" s="667">
        <v>1923</v>
      </c>
      <c r="B1931" s="668" t="s">
        <v>5452</v>
      </c>
      <c r="C1931" s="885" t="s">
        <v>5449</v>
      </c>
      <c r="D1931" s="669">
        <v>5118.74</v>
      </c>
    </row>
    <row r="1932" spans="1:4" s="23" customFormat="1" ht="25.5" x14ac:dyDescent="0.25">
      <c r="A1932" s="667">
        <v>1924</v>
      </c>
      <c r="B1932" s="668" t="s">
        <v>5453</v>
      </c>
      <c r="C1932" s="885" t="s">
        <v>5449</v>
      </c>
      <c r="D1932" s="669">
        <v>5118.74</v>
      </c>
    </row>
    <row r="1933" spans="1:4" s="23" customFormat="1" ht="25.5" x14ac:dyDescent="0.25">
      <c r="A1933" s="667">
        <v>1925</v>
      </c>
      <c r="B1933" s="668" t="s">
        <v>5454</v>
      </c>
      <c r="C1933" s="885" t="s">
        <v>5449</v>
      </c>
      <c r="D1933" s="669">
        <v>5118.74</v>
      </c>
    </row>
    <row r="1934" spans="1:4" s="23" customFormat="1" x14ac:dyDescent="0.25">
      <c r="A1934" s="667">
        <v>1926</v>
      </c>
      <c r="B1934" s="668" t="s">
        <v>5455</v>
      </c>
      <c r="C1934" s="885" t="s">
        <v>5456</v>
      </c>
      <c r="D1934" s="669">
        <v>1732.5</v>
      </c>
    </row>
    <row r="1935" spans="1:4" s="23" customFormat="1" x14ac:dyDescent="0.25">
      <c r="A1935" s="667">
        <v>1927</v>
      </c>
      <c r="B1935" s="668" t="s">
        <v>5457</v>
      </c>
      <c r="C1935" s="885" t="s">
        <v>5456</v>
      </c>
      <c r="D1935" s="669">
        <v>1732.5</v>
      </c>
    </row>
    <row r="1936" spans="1:4" s="23" customFormat="1" ht="25.5" x14ac:dyDescent="0.25">
      <c r="A1936" s="667">
        <v>1928</v>
      </c>
      <c r="B1936" s="668" t="s">
        <v>5458</v>
      </c>
      <c r="C1936" s="885" t="s">
        <v>5459</v>
      </c>
      <c r="D1936" s="669">
        <v>1417.5</v>
      </c>
    </row>
    <row r="1937" spans="1:4" s="23" customFormat="1" ht="25.5" x14ac:dyDescent="0.25">
      <c r="A1937" s="667">
        <v>1929</v>
      </c>
      <c r="B1937" s="668" t="s">
        <v>5460</v>
      </c>
      <c r="C1937" s="885" t="s">
        <v>5461</v>
      </c>
      <c r="D1937" s="669">
        <v>997.75</v>
      </c>
    </row>
    <row r="1938" spans="1:4" s="23" customFormat="1" ht="25.5" x14ac:dyDescent="0.25">
      <c r="A1938" s="667">
        <v>1930</v>
      </c>
      <c r="B1938" s="668" t="s">
        <v>5462</v>
      </c>
      <c r="C1938" s="885" t="s">
        <v>5463</v>
      </c>
      <c r="D1938" s="669">
        <v>997.75</v>
      </c>
    </row>
    <row r="1939" spans="1:4" s="23" customFormat="1" ht="25.5" x14ac:dyDescent="0.25">
      <c r="A1939" s="667">
        <v>1931</v>
      </c>
      <c r="B1939" s="668" t="s">
        <v>5464</v>
      </c>
      <c r="C1939" s="885" t="s">
        <v>5463</v>
      </c>
      <c r="D1939" s="669">
        <v>997.75</v>
      </c>
    </row>
    <row r="1940" spans="1:4" s="23" customFormat="1" ht="25.5" x14ac:dyDescent="0.25">
      <c r="A1940" s="667">
        <v>1932</v>
      </c>
      <c r="B1940" s="668" t="s">
        <v>5465</v>
      </c>
      <c r="C1940" s="885" t="s">
        <v>5466</v>
      </c>
      <c r="D1940" s="669">
        <v>3774.74</v>
      </c>
    </row>
    <row r="1941" spans="1:4" s="23" customFormat="1" x14ac:dyDescent="0.25">
      <c r="A1941" s="667">
        <v>1933</v>
      </c>
      <c r="B1941" s="668" t="s">
        <v>5467</v>
      </c>
      <c r="C1941" s="885" t="s">
        <v>5443</v>
      </c>
      <c r="D1941" s="669">
        <v>3774.74</v>
      </c>
    </row>
    <row r="1942" spans="1:4" s="23" customFormat="1" ht="25.5" x14ac:dyDescent="0.25">
      <c r="A1942" s="667">
        <v>1934</v>
      </c>
      <c r="B1942" s="668" t="s">
        <v>5468</v>
      </c>
      <c r="C1942" s="885" t="s">
        <v>5466</v>
      </c>
      <c r="D1942" s="669">
        <v>3774.74</v>
      </c>
    </row>
    <row r="1943" spans="1:4" s="23" customFormat="1" ht="25.5" x14ac:dyDescent="0.25">
      <c r="A1943" s="667">
        <v>1935</v>
      </c>
      <c r="B1943" s="668" t="s">
        <v>5469</v>
      </c>
      <c r="C1943" s="885" t="s">
        <v>5470</v>
      </c>
      <c r="D1943" s="669">
        <v>6714.74</v>
      </c>
    </row>
    <row r="1944" spans="1:4" s="23" customFormat="1" ht="25.5" x14ac:dyDescent="0.25">
      <c r="A1944" s="667">
        <v>1936</v>
      </c>
      <c r="B1944" s="668" t="s">
        <v>5471</v>
      </c>
      <c r="C1944" s="885" t="s">
        <v>5472</v>
      </c>
      <c r="D1944" s="669">
        <v>4698.74</v>
      </c>
    </row>
    <row r="1945" spans="1:4" s="23" customFormat="1" ht="25.5" x14ac:dyDescent="0.25">
      <c r="A1945" s="667">
        <v>1937</v>
      </c>
      <c r="B1945" s="668" t="s">
        <v>5473</v>
      </c>
      <c r="C1945" s="885" t="s">
        <v>5474</v>
      </c>
      <c r="D1945" s="669">
        <v>12232.49</v>
      </c>
    </row>
    <row r="1946" spans="1:4" s="23" customFormat="1" x14ac:dyDescent="0.25">
      <c r="A1946" s="667">
        <v>1938</v>
      </c>
      <c r="B1946" s="668" t="s">
        <v>5475</v>
      </c>
      <c r="C1946" s="885" t="s">
        <v>5476</v>
      </c>
      <c r="D1946" s="669">
        <v>3060.74</v>
      </c>
    </row>
    <row r="1947" spans="1:4" s="23" customFormat="1" x14ac:dyDescent="0.25">
      <c r="A1947" s="667">
        <v>1939</v>
      </c>
      <c r="B1947" s="668" t="s">
        <v>5477</v>
      </c>
      <c r="C1947" s="885" t="s">
        <v>5478</v>
      </c>
      <c r="D1947" s="669">
        <v>4294.49</v>
      </c>
    </row>
    <row r="1948" spans="1:4" s="23" customFormat="1" x14ac:dyDescent="0.25">
      <c r="A1948" s="667">
        <v>1940</v>
      </c>
      <c r="B1948" s="668" t="s">
        <v>5479</v>
      </c>
      <c r="C1948" s="885" t="s">
        <v>5480</v>
      </c>
      <c r="D1948" s="669">
        <v>4294.49</v>
      </c>
    </row>
    <row r="1949" spans="1:4" s="23" customFormat="1" x14ac:dyDescent="0.25">
      <c r="A1949" s="667">
        <v>1941</v>
      </c>
      <c r="B1949" s="668" t="s">
        <v>5481</v>
      </c>
      <c r="C1949" s="885" t="s">
        <v>5482</v>
      </c>
      <c r="D1949" s="669">
        <v>691.44</v>
      </c>
    </row>
    <row r="1950" spans="1:4" s="23" customFormat="1" x14ac:dyDescent="0.25">
      <c r="A1950" s="667">
        <v>1942</v>
      </c>
      <c r="B1950" s="668" t="s">
        <v>5483</v>
      </c>
      <c r="C1950" s="885" t="s">
        <v>5482</v>
      </c>
      <c r="D1950" s="669">
        <v>691.44</v>
      </c>
    </row>
    <row r="1951" spans="1:4" s="23" customFormat="1" x14ac:dyDescent="0.25">
      <c r="A1951" s="667">
        <v>1943</v>
      </c>
      <c r="B1951" s="668" t="s">
        <v>5484</v>
      </c>
      <c r="C1951" s="885" t="s">
        <v>5482</v>
      </c>
      <c r="D1951" s="669">
        <v>691.44</v>
      </c>
    </row>
    <row r="1952" spans="1:4" s="23" customFormat="1" ht="25.5" x14ac:dyDescent="0.25">
      <c r="A1952" s="667">
        <v>1944</v>
      </c>
      <c r="B1952" s="668" t="s">
        <v>5485</v>
      </c>
      <c r="C1952" s="885" t="s">
        <v>5463</v>
      </c>
      <c r="D1952" s="669">
        <v>997.5</v>
      </c>
    </row>
    <row r="1953" spans="1:4" s="23" customFormat="1" ht="25.5" x14ac:dyDescent="0.25">
      <c r="A1953" s="667">
        <v>1945</v>
      </c>
      <c r="B1953" s="668" t="s">
        <v>5486</v>
      </c>
      <c r="C1953" s="885" t="s">
        <v>5463</v>
      </c>
      <c r="D1953" s="669">
        <v>997.5</v>
      </c>
    </row>
    <row r="1954" spans="1:4" s="23" customFormat="1" ht="25.5" x14ac:dyDescent="0.25">
      <c r="A1954" s="667">
        <v>1946</v>
      </c>
      <c r="B1954" s="668" t="s">
        <v>5487</v>
      </c>
      <c r="C1954" s="885" t="s">
        <v>5463</v>
      </c>
      <c r="D1954" s="669">
        <v>997.5</v>
      </c>
    </row>
    <row r="1955" spans="1:4" s="23" customFormat="1" ht="25.5" x14ac:dyDescent="0.25">
      <c r="A1955" s="667">
        <v>1947</v>
      </c>
      <c r="B1955" s="668" t="s">
        <v>5488</v>
      </c>
      <c r="C1955" s="885" t="s">
        <v>5463</v>
      </c>
      <c r="D1955" s="669">
        <v>997.5</v>
      </c>
    </row>
    <row r="1956" spans="1:4" s="23" customFormat="1" ht="25.5" x14ac:dyDescent="0.25">
      <c r="A1956" s="667">
        <v>1948</v>
      </c>
      <c r="B1956" s="668" t="s">
        <v>5489</v>
      </c>
      <c r="C1956" s="885" t="s">
        <v>5463</v>
      </c>
      <c r="D1956" s="669">
        <v>997.5</v>
      </c>
    </row>
    <row r="1957" spans="1:4" s="23" customFormat="1" ht="38.25" x14ac:dyDescent="0.25">
      <c r="A1957" s="667">
        <v>1949</v>
      </c>
      <c r="B1957" s="668" t="s">
        <v>5490</v>
      </c>
      <c r="C1957" s="885" t="s">
        <v>5491</v>
      </c>
      <c r="D1957" s="669">
        <v>4809.6000000000004</v>
      </c>
    </row>
    <row r="1958" spans="1:4" s="23" customFormat="1" ht="38.25" x14ac:dyDescent="0.25">
      <c r="A1958" s="667">
        <v>1950</v>
      </c>
      <c r="B1958" s="668" t="s">
        <v>5492</v>
      </c>
      <c r="C1958" s="885" t="s">
        <v>5493</v>
      </c>
      <c r="D1958" s="669">
        <v>4809.6000000000004</v>
      </c>
    </row>
    <row r="1959" spans="1:4" s="23" customFormat="1" ht="38.25" x14ac:dyDescent="0.25">
      <c r="A1959" s="667">
        <v>1951</v>
      </c>
      <c r="B1959" s="668" t="s">
        <v>5494</v>
      </c>
      <c r="C1959" s="885" t="s">
        <v>5495</v>
      </c>
      <c r="D1959" s="669">
        <v>6465.52</v>
      </c>
    </row>
    <row r="1960" spans="1:4" s="23" customFormat="1" ht="38.25" x14ac:dyDescent="0.25">
      <c r="A1960" s="667">
        <v>1952</v>
      </c>
      <c r="B1960" s="668" t="s">
        <v>5496</v>
      </c>
      <c r="C1960" s="885" t="s">
        <v>5497</v>
      </c>
      <c r="D1960" s="669">
        <v>4431.03</v>
      </c>
    </row>
    <row r="1961" spans="1:4" s="23" customFormat="1" ht="51" x14ac:dyDescent="0.25">
      <c r="A1961" s="667">
        <v>1953</v>
      </c>
      <c r="B1961" s="668" t="s">
        <v>5498</v>
      </c>
      <c r="C1961" s="885" t="s">
        <v>5499</v>
      </c>
      <c r="D1961" s="669">
        <v>6120.69</v>
      </c>
    </row>
    <row r="1962" spans="1:4" s="23" customFormat="1" ht="25.5" x14ac:dyDescent="0.25">
      <c r="A1962" s="667">
        <v>1954</v>
      </c>
      <c r="B1962" s="668" t="s">
        <v>5500</v>
      </c>
      <c r="C1962" s="885" t="s">
        <v>5501</v>
      </c>
      <c r="D1962" s="669">
        <v>5232.76</v>
      </c>
    </row>
    <row r="1963" spans="1:4" s="23" customFormat="1" ht="38.25" x14ac:dyDescent="0.25">
      <c r="A1963" s="667">
        <v>1955</v>
      </c>
      <c r="B1963" s="668" t="s">
        <v>5502</v>
      </c>
      <c r="C1963" s="885" t="s">
        <v>5503</v>
      </c>
      <c r="D1963" s="669">
        <v>5400</v>
      </c>
    </row>
    <row r="1964" spans="1:4" s="23" customFormat="1" ht="38.25" x14ac:dyDescent="0.25">
      <c r="A1964" s="667">
        <v>1956</v>
      </c>
      <c r="B1964" s="668" t="s">
        <v>5504</v>
      </c>
      <c r="C1964" s="885" t="s">
        <v>5505</v>
      </c>
      <c r="D1964" s="669">
        <v>7758.63</v>
      </c>
    </row>
    <row r="1965" spans="1:4" s="23" customFormat="1" ht="38.25" x14ac:dyDescent="0.25">
      <c r="A1965" s="667">
        <v>1957</v>
      </c>
      <c r="B1965" s="668" t="s">
        <v>5506</v>
      </c>
      <c r="C1965" s="885" t="s">
        <v>5507</v>
      </c>
      <c r="D1965" s="669">
        <v>6120.69</v>
      </c>
    </row>
    <row r="1966" spans="1:4" s="23" customFormat="1" ht="38.25" x14ac:dyDescent="0.25">
      <c r="A1966" s="667">
        <v>1958</v>
      </c>
      <c r="B1966" s="668" t="s">
        <v>5508</v>
      </c>
      <c r="C1966" s="885" t="s">
        <v>5509</v>
      </c>
      <c r="D1966" s="669">
        <v>2995</v>
      </c>
    </row>
    <row r="1967" spans="1:4" s="23" customFormat="1" ht="38.25" x14ac:dyDescent="0.25">
      <c r="A1967" s="667">
        <v>1959</v>
      </c>
      <c r="B1967" s="668" t="s">
        <v>5510</v>
      </c>
      <c r="C1967" s="885" t="s">
        <v>5509</v>
      </c>
      <c r="D1967" s="669">
        <v>2995</v>
      </c>
    </row>
    <row r="1968" spans="1:4" s="23" customFormat="1" ht="25.5" x14ac:dyDescent="0.25">
      <c r="A1968" s="667">
        <v>1960</v>
      </c>
      <c r="B1968" s="668" t="s">
        <v>5511</v>
      </c>
      <c r="C1968" s="885" t="s">
        <v>5512</v>
      </c>
      <c r="D1968" s="669">
        <v>6465.52</v>
      </c>
    </row>
    <row r="1969" spans="1:4" s="23" customFormat="1" ht="25.5" x14ac:dyDescent="0.25">
      <c r="A1969" s="667">
        <v>1961</v>
      </c>
      <c r="B1969" s="668" t="s">
        <v>5513</v>
      </c>
      <c r="C1969" s="885" t="s">
        <v>5514</v>
      </c>
      <c r="D1969" s="669">
        <v>9200</v>
      </c>
    </row>
    <row r="1970" spans="1:4" s="23" customFormat="1" ht="38.25" x14ac:dyDescent="0.25">
      <c r="A1970" s="667">
        <v>1962</v>
      </c>
      <c r="B1970" s="668" t="s">
        <v>5515</v>
      </c>
      <c r="C1970" s="885" t="s">
        <v>5516</v>
      </c>
      <c r="D1970" s="669">
        <v>1450</v>
      </c>
    </row>
    <row r="1971" spans="1:4" s="23" customFormat="1" ht="38.25" x14ac:dyDescent="0.25">
      <c r="A1971" s="667">
        <v>1963</v>
      </c>
      <c r="B1971" s="668" t="s">
        <v>5517</v>
      </c>
      <c r="C1971" s="885" t="s">
        <v>5516</v>
      </c>
      <c r="D1971" s="669">
        <v>1450</v>
      </c>
    </row>
    <row r="1972" spans="1:4" s="23" customFormat="1" ht="38.25" x14ac:dyDescent="0.25">
      <c r="A1972" s="667">
        <v>1964</v>
      </c>
      <c r="B1972" s="668" t="s">
        <v>5518</v>
      </c>
      <c r="C1972" s="885" t="s">
        <v>5516</v>
      </c>
      <c r="D1972" s="669">
        <v>1450</v>
      </c>
    </row>
    <row r="1973" spans="1:4" s="23" customFormat="1" x14ac:dyDescent="0.25">
      <c r="A1973" s="667">
        <v>1965</v>
      </c>
      <c r="B1973" s="668" t="s">
        <v>5519</v>
      </c>
      <c r="C1973" s="885" t="s">
        <v>5520</v>
      </c>
      <c r="D1973" s="669">
        <v>2655</v>
      </c>
    </row>
    <row r="1974" spans="1:4" s="23" customFormat="1" ht="25.5" x14ac:dyDescent="0.25">
      <c r="A1974" s="667">
        <v>1966</v>
      </c>
      <c r="B1974" s="668" t="s">
        <v>5521</v>
      </c>
      <c r="C1974" s="885" t="s">
        <v>5522</v>
      </c>
      <c r="D1974" s="669">
        <v>1320</v>
      </c>
    </row>
    <row r="1975" spans="1:4" s="23" customFormat="1" ht="25.5" x14ac:dyDescent="0.25">
      <c r="A1975" s="667">
        <v>1967</v>
      </c>
      <c r="B1975" s="668" t="s">
        <v>5523</v>
      </c>
      <c r="C1975" s="885" t="s">
        <v>5524</v>
      </c>
      <c r="D1975" s="669">
        <v>1300</v>
      </c>
    </row>
    <row r="1976" spans="1:4" s="23" customFormat="1" ht="51" x14ac:dyDescent="0.25">
      <c r="A1976" s="667">
        <v>1968</v>
      </c>
      <c r="B1976" s="668" t="s">
        <v>5525</v>
      </c>
      <c r="C1976" s="885" t="s">
        <v>5526</v>
      </c>
      <c r="D1976" s="669">
        <v>6195</v>
      </c>
    </row>
    <row r="1977" spans="1:4" s="23" customFormat="1" ht="25.5" x14ac:dyDescent="0.25">
      <c r="A1977" s="667">
        <v>1969</v>
      </c>
      <c r="B1977" s="668" t="s">
        <v>5527</v>
      </c>
      <c r="C1977" s="885" t="s">
        <v>5528</v>
      </c>
      <c r="D1977" s="669">
        <v>4620</v>
      </c>
    </row>
    <row r="1978" spans="1:4" s="23" customFormat="1" ht="38.25" x14ac:dyDescent="0.25">
      <c r="A1978" s="667">
        <v>1970</v>
      </c>
      <c r="B1978" s="668" t="s">
        <v>5529</v>
      </c>
      <c r="C1978" s="885" t="s">
        <v>5530</v>
      </c>
      <c r="D1978" s="669">
        <v>1450</v>
      </c>
    </row>
    <row r="1979" spans="1:4" s="23" customFormat="1" ht="38.25" x14ac:dyDescent="0.25">
      <c r="A1979" s="667">
        <v>1971</v>
      </c>
      <c r="B1979" s="668" t="s">
        <v>5531</v>
      </c>
      <c r="C1979" s="885" t="s">
        <v>5532</v>
      </c>
      <c r="D1979" s="669">
        <v>6195</v>
      </c>
    </row>
    <row r="1980" spans="1:4" s="23" customFormat="1" ht="38.25" x14ac:dyDescent="0.25">
      <c r="A1980" s="667">
        <v>1972</v>
      </c>
      <c r="B1980" s="668" t="s">
        <v>5533</v>
      </c>
      <c r="C1980" s="885" t="s">
        <v>5534</v>
      </c>
      <c r="D1980" s="669">
        <v>5815</v>
      </c>
    </row>
    <row r="1981" spans="1:4" s="23" customFormat="1" ht="25.5" x14ac:dyDescent="0.25">
      <c r="A1981" s="667">
        <v>1973</v>
      </c>
      <c r="B1981" s="668" t="s">
        <v>5535</v>
      </c>
      <c r="C1981" s="885" t="s">
        <v>5536</v>
      </c>
      <c r="D1981" s="669">
        <v>615.70000000000005</v>
      </c>
    </row>
    <row r="1982" spans="1:4" s="23" customFormat="1" ht="63.75" x14ac:dyDescent="0.25">
      <c r="A1982" s="667">
        <v>1974</v>
      </c>
      <c r="B1982" s="668" t="s">
        <v>5537</v>
      </c>
      <c r="C1982" s="885" t="s">
        <v>5538</v>
      </c>
      <c r="D1982" s="669">
        <v>1045</v>
      </c>
    </row>
    <row r="1983" spans="1:4" s="23" customFormat="1" ht="38.25" x14ac:dyDescent="0.25">
      <c r="A1983" s="667">
        <v>1975</v>
      </c>
      <c r="B1983" s="668" t="s">
        <v>5539</v>
      </c>
      <c r="C1983" s="885" t="s">
        <v>5540</v>
      </c>
      <c r="D1983" s="669">
        <v>1450</v>
      </c>
    </row>
    <row r="1984" spans="1:4" s="23" customFormat="1" ht="25.5" x14ac:dyDescent="0.25">
      <c r="A1984" s="667">
        <v>1976</v>
      </c>
      <c r="B1984" s="668" t="s">
        <v>5541</v>
      </c>
      <c r="C1984" s="885" t="s">
        <v>5542</v>
      </c>
      <c r="D1984" s="669">
        <v>1100</v>
      </c>
    </row>
    <row r="1985" spans="1:4" s="23" customFormat="1" ht="38.25" x14ac:dyDescent="0.25">
      <c r="A1985" s="667">
        <v>1977</v>
      </c>
      <c r="B1985" s="668" t="s">
        <v>5543</v>
      </c>
      <c r="C1985" s="885" t="s">
        <v>5544</v>
      </c>
      <c r="D1985" s="669">
        <v>1322</v>
      </c>
    </row>
    <row r="1986" spans="1:4" s="23" customFormat="1" ht="38.25" x14ac:dyDescent="0.25">
      <c r="A1986" s="667">
        <v>1978</v>
      </c>
      <c r="B1986" s="668" t="s">
        <v>5545</v>
      </c>
      <c r="C1986" s="885" t="s">
        <v>5546</v>
      </c>
      <c r="D1986" s="669">
        <v>1485</v>
      </c>
    </row>
    <row r="1987" spans="1:4" s="23" customFormat="1" ht="38.25" x14ac:dyDescent="0.25">
      <c r="A1987" s="667">
        <v>1979</v>
      </c>
      <c r="B1987" s="668" t="s">
        <v>5547</v>
      </c>
      <c r="C1987" s="885" t="s">
        <v>5548</v>
      </c>
      <c r="D1987" s="669">
        <v>1322</v>
      </c>
    </row>
    <row r="1988" spans="1:4" s="23" customFormat="1" ht="38.25" x14ac:dyDescent="0.25">
      <c r="A1988" s="667">
        <v>1980</v>
      </c>
      <c r="B1988" s="668" t="s">
        <v>5549</v>
      </c>
      <c r="C1988" s="885" t="s">
        <v>5544</v>
      </c>
      <c r="D1988" s="669">
        <v>1322</v>
      </c>
    </row>
    <row r="1989" spans="1:4" s="23" customFormat="1" ht="38.25" x14ac:dyDescent="0.25">
      <c r="A1989" s="667">
        <v>1981</v>
      </c>
      <c r="B1989" s="668" t="s">
        <v>5550</v>
      </c>
      <c r="C1989" s="885" t="s">
        <v>5551</v>
      </c>
      <c r="D1989" s="669">
        <v>1450</v>
      </c>
    </row>
    <row r="1990" spans="1:4" s="23" customFormat="1" ht="38.25" x14ac:dyDescent="0.25">
      <c r="A1990" s="667">
        <v>1982</v>
      </c>
      <c r="B1990" s="668" t="s">
        <v>5552</v>
      </c>
      <c r="C1990" s="885" t="s">
        <v>5551</v>
      </c>
      <c r="D1990" s="669">
        <v>1450</v>
      </c>
    </row>
    <row r="1991" spans="1:4" s="23" customFormat="1" ht="25.5" x14ac:dyDescent="0.25">
      <c r="A1991" s="667">
        <v>1983</v>
      </c>
      <c r="B1991" s="668" t="s">
        <v>5553</v>
      </c>
      <c r="C1991" s="885" t="s">
        <v>5554</v>
      </c>
      <c r="D1991" s="669">
        <v>1322</v>
      </c>
    </row>
    <row r="1992" spans="1:4" s="23" customFormat="1" x14ac:dyDescent="0.25">
      <c r="A1992" s="667">
        <v>1984</v>
      </c>
      <c r="B1992" s="668" t="s">
        <v>5555</v>
      </c>
      <c r="C1992" s="885" t="s">
        <v>5556</v>
      </c>
      <c r="D1992" s="669">
        <v>1972.5</v>
      </c>
    </row>
    <row r="1993" spans="1:4" s="23" customFormat="1" x14ac:dyDescent="0.25">
      <c r="A1993" s="667">
        <v>1985</v>
      </c>
      <c r="B1993" s="668" t="s">
        <v>5557</v>
      </c>
      <c r="C1993" s="885" t="s">
        <v>5558</v>
      </c>
      <c r="D1993" s="669">
        <v>5960</v>
      </c>
    </row>
    <row r="1994" spans="1:4" s="23" customFormat="1" ht="38.25" x14ac:dyDescent="0.25">
      <c r="A1994" s="667">
        <v>1986</v>
      </c>
      <c r="B1994" s="668" t="s">
        <v>5559</v>
      </c>
      <c r="C1994" s="885" t="s">
        <v>5560</v>
      </c>
      <c r="D1994" s="669">
        <v>10086.209999999999</v>
      </c>
    </row>
    <row r="1995" spans="1:4" s="23" customFormat="1" ht="25.5" x14ac:dyDescent="0.25">
      <c r="A1995" s="667">
        <v>1987</v>
      </c>
      <c r="B1995" s="668" t="s">
        <v>5561</v>
      </c>
      <c r="C1995" s="885" t="s">
        <v>5562</v>
      </c>
      <c r="D1995" s="669">
        <v>18695.66</v>
      </c>
    </row>
    <row r="1996" spans="1:4" s="23" customFormat="1" ht="51" x14ac:dyDescent="0.25">
      <c r="A1996" s="667">
        <v>1988</v>
      </c>
      <c r="B1996" s="668" t="s">
        <v>5563</v>
      </c>
      <c r="C1996" s="885" t="s">
        <v>5564</v>
      </c>
      <c r="D1996" s="669">
        <v>22223</v>
      </c>
    </row>
    <row r="1997" spans="1:4" s="23" customFormat="1" x14ac:dyDescent="0.25">
      <c r="A1997" s="667">
        <v>1989</v>
      </c>
      <c r="B1997" s="668" t="s">
        <v>5565</v>
      </c>
      <c r="C1997" s="885" t="s">
        <v>5566</v>
      </c>
      <c r="D1997" s="669">
        <v>13933.45</v>
      </c>
    </row>
    <row r="1998" spans="1:4" s="23" customFormat="1" x14ac:dyDescent="0.25">
      <c r="A1998" s="667">
        <v>1990</v>
      </c>
      <c r="B1998" s="668" t="s">
        <v>5567</v>
      </c>
      <c r="C1998" s="885" t="s">
        <v>5568</v>
      </c>
      <c r="D1998" s="669">
        <v>3500</v>
      </c>
    </row>
    <row r="1999" spans="1:4" s="23" customFormat="1" x14ac:dyDescent="0.25">
      <c r="A1999" s="667">
        <v>1991</v>
      </c>
      <c r="B1999" s="668" t="s">
        <v>5569</v>
      </c>
      <c r="C1999" s="885" t="s">
        <v>5570</v>
      </c>
      <c r="D1999" s="669">
        <v>3500</v>
      </c>
    </row>
    <row r="2000" spans="1:4" s="23" customFormat="1" x14ac:dyDescent="0.25">
      <c r="A2000" s="667">
        <v>1992</v>
      </c>
      <c r="B2000" s="668" t="s">
        <v>5571</v>
      </c>
      <c r="C2000" s="885" t="s">
        <v>5572</v>
      </c>
      <c r="D2000" s="669">
        <v>12134</v>
      </c>
    </row>
    <row r="2001" spans="1:4" s="23" customFormat="1" ht="38.25" x14ac:dyDescent="0.25">
      <c r="A2001" s="667">
        <v>1993</v>
      </c>
      <c r="B2001" s="668" t="s">
        <v>5573</v>
      </c>
      <c r="C2001" s="885" t="s">
        <v>5574</v>
      </c>
      <c r="D2001" s="669">
        <v>51272</v>
      </c>
    </row>
    <row r="2002" spans="1:4" s="23" customFormat="1" x14ac:dyDescent="0.25">
      <c r="A2002" s="667">
        <v>1994</v>
      </c>
      <c r="B2002" s="668" t="s">
        <v>5575</v>
      </c>
      <c r="C2002" s="885" t="s">
        <v>4626</v>
      </c>
      <c r="D2002" s="669">
        <v>6600</v>
      </c>
    </row>
    <row r="2003" spans="1:4" s="23" customFormat="1" ht="38.25" x14ac:dyDescent="0.25">
      <c r="A2003" s="667">
        <v>1995</v>
      </c>
      <c r="B2003" s="668" t="s">
        <v>5576</v>
      </c>
      <c r="C2003" s="885" t="s">
        <v>5577</v>
      </c>
      <c r="D2003" s="669">
        <v>13420</v>
      </c>
    </row>
    <row r="2004" spans="1:4" s="23" customFormat="1" ht="38.25" x14ac:dyDescent="0.25">
      <c r="A2004" s="667">
        <v>1996</v>
      </c>
      <c r="B2004" s="668" t="s">
        <v>5578</v>
      </c>
      <c r="C2004" s="885" t="s">
        <v>5579</v>
      </c>
      <c r="D2004" s="669">
        <v>86090.91</v>
      </c>
    </row>
    <row r="2005" spans="1:4" s="23" customFormat="1" ht="38.25" x14ac:dyDescent="0.25">
      <c r="A2005" s="667">
        <v>1997</v>
      </c>
      <c r="B2005" s="668" t="s">
        <v>5580</v>
      </c>
      <c r="C2005" s="885" t="s">
        <v>5581</v>
      </c>
      <c r="D2005" s="669">
        <v>22200</v>
      </c>
    </row>
    <row r="2006" spans="1:4" s="23" customFormat="1" ht="38.25" x14ac:dyDescent="0.25">
      <c r="A2006" s="667">
        <v>1998</v>
      </c>
      <c r="B2006" s="668" t="s">
        <v>5582</v>
      </c>
      <c r="C2006" s="885" t="s">
        <v>5583</v>
      </c>
      <c r="D2006" s="669">
        <v>18102.580000000002</v>
      </c>
    </row>
    <row r="2007" spans="1:4" s="23" customFormat="1" ht="51" x14ac:dyDescent="0.25">
      <c r="A2007" s="667">
        <v>1999</v>
      </c>
      <c r="B2007" s="668" t="s">
        <v>5584</v>
      </c>
      <c r="C2007" s="885" t="s">
        <v>5585</v>
      </c>
      <c r="D2007" s="669">
        <v>146500</v>
      </c>
    </row>
    <row r="2008" spans="1:4" s="23" customFormat="1" ht="51" x14ac:dyDescent="0.25">
      <c r="A2008" s="667">
        <v>2000</v>
      </c>
      <c r="B2008" s="668" t="s">
        <v>5586</v>
      </c>
      <c r="C2008" s="885" t="s">
        <v>5587</v>
      </c>
      <c r="D2008" s="669">
        <v>140869.57</v>
      </c>
    </row>
    <row r="2009" spans="1:4" s="23" customFormat="1" ht="25.5" x14ac:dyDescent="0.25">
      <c r="A2009" s="667">
        <v>2001</v>
      </c>
      <c r="B2009" s="668" t="s">
        <v>5588</v>
      </c>
      <c r="C2009" s="885" t="s">
        <v>5589</v>
      </c>
      <c r="D2009" s="669">
        <v>3173655</v>
      </c>
    </row>
    <row r="2010" spans="1:4" s="23" customFormat="1" x14ac:dyDescent="0.25">
      <c r="A2010" s="667">
        <v>2002</v>
      </c>
      <c r="B2010" s="668" t="s">
        <v>5590</v>
      </c>
      <c r="C2010" s="885" t="s">
        <v>5591</v>
      </c>
      <c r="D2010" s="669">
        <v>22522.5</v>
      </c>
    </row>
    <row r="2011" spans="1:4" s="23" customFormat="1" x14ac:dyDescent="0.25">
      <c r="A2011" s="667">
        <v>2003</v>
      </c>
      <c r="B2011" s="668" t="s">
        <v>5592</v>
      </c>
      <c r="C2011" s="885" t="s">
        <v>5593</v>
      </c>
      <c r="D2011" s="669">
        <v>34000</v>
      </c>
    </row>
    <row r="2012" spans="1:4" s="23" customFormat="1" ht="25.5" x14ac:dyDescent="0.25">
      <c r="A2012" s="667">
        <v>2004</v>
      </c>
      <c r="B2012" s="668" t="s">
        <v>5594</v>
      </c>
      <c r="C2012" s="885" t="s">
        <v>5595</v>
      </c>
      <c r="D2012" s="669">
        <v>96050</v>
      </c>
    </row>
    <row r="2013" spans="1:4" s="23" customFormat="1" x14ac:dyDescent="0.25">
      <c r="A2013" s="667">
        <v>2005</v>
      </c>
      <c r="B2013" s="668" t="s">
        <v>5596</v>
      </c>
      <c r="C2013" s="885" t="s">
        <v>5597</v>
      </c>
      <c r="D2013" s="669">
        <v>20400</v>
      </c>
    </row>
    <row r="2014" spans="1:4" s="23" customFormat="1" x14ac:dyDescent="0.25">
      <c r="A2014" s="667">
        <v>2006</v>
      </c>
      <c r="B2014" s="668" t="s">
        <v>5598</v>
      </c>
      <c r="C2014" s="885" t="s">
        <v>5599</v>
      </c>
      <c r="D2014" s="669">
        <v>797.45</v>
      </c>
    </row>
    <row r="2015" spans="1:4" s="23" customFormat="1" x14ac:dyDescent="0.25">
      <c r="A2015" s="667">
        <v>2007</v>
      </c>
      <c r="B2015" s="668" t="s">
        <v>5600</v>
      </c>
      <c r="C2015" s="885" t="s">
        <v>5601</v>
      </c>
      <c r="D2015" s="669">
        <v>1370</v>
      </c>
    </row>
    <row r="2016" spans="1:4" s="23" customFormat="1" x14ac:dyDescent="0.25">
      <c r="A2016" s="667">
        <v>2008</v>
      </c>
      <c r="B2016" s="668" t="s">
        <v>5602</v>
      </c>
      <c r="C2016" s="885" t="s">
        <v>5603</v>
      </c>
      <c r="D2016" s="669">
        <v>2256.8000000000002</v>
      </c>
    </row>
    <row r="2017" spans="1:4" s="23" customFormat="1" ht="25.5" x14ac:dyDescent="0.25">
      <c r="A2017" s="667">
        <v>2009</v>
      </c>
      <c r="B2017" s="668" t="s">
        <v>5604</v>
      </c>
      <c r="C2017" s="885" t="s">
        <v>5605</v>
      </c>
      <c r="D2017" s="669">
        <v>16237.44</v>
      </c>
    </row>
    <row r="2018" spans="1:4" s="23" customFormat="1" ht="25.5" x14ac:dyDescent="0.25">
      <c r="A2018" s="667">
        <v>2010</v>
      </c>
      <c r="B2018" s="668" t="s">
        <v>5606</v>
      </c>
      <c r="C2018" s="885" t="s">
        <v>5605</v>
      </c>
      <c r="D2018" s="669">
        <v>621.84</v>
      </c>
    </row>
    <row r="2019" spans="1:4" s="23" customFormat="1" x14ac:dyDescent="0.25">
      <c r="A2019" s="667">
        <v>2011</v>
      </c>
      <c r="B2019" s="668" t="s">
        <v>5606</v>
      </c>
      <c r="C2019" s="885" t="s">
        <v>5607</v>
      </c>
      <c r="D2019" s="669">
        <v>41794.76</v>
      </c>
    </row>
    <row r="2020" spans="1:4" s="23" customFormat="1" ht="25.5" x14ac:dyDescent="0.25">
      <c r="A2020" s="667">
        <v>2012</v>
      </c>
      <c r="B2020" s="668" t="s">
        <v>5608</v>
      </c>
      <c r="C2020" s="885" t="s">
        <v>5609</v>
      </c>
      <c r="D2020" s="669">
        <v>6084.9</v>
      </c>
    </row>
    <row r="2021" spans="1:4" s="23" customFormat="1" ht="25.5" x14ac:dyDescent="0.25">
      <c r="A2021" s="667">
        <v>2013</v>
      </c>
      <c r="B2021" s="668" t="s">
        <v>5610</v>
      </c>
      <c r="C2021" s="885" t="s">
        <v>5611</v>
      </c>
      <c r="D2021" s="669">
        <v>16089.93</v>
      </c>
    </row>
    <row r="2022" spans="1:4" s="23" customFormat="1" x14ac:dyDescent="0.25">
      <c r="A2022" s="667">
        <v>2014</v>
      </c>
      <c r="B2022" s="668" t="s">
        <v>5612</v>
      </c>
      <c r="C2022" s="885" t="s">
        <v>5613</v>
      </c>
      <c r="D2022" s="669">
        <v>6989.55</v>
      </c>
    </row>
    <row r="2023" spans="1:4" s="23" customFormat="1" ht="25.5" x14ac:dyDescent="0.25">
      <c r="A2023" s="667">
        <v>2015</v>
      </c>
      <c r="B2023" s="668" t="s">
        <v>5614</v>
      </c>
      <c r="C2023" s="885" t="s">
        <v>5615</v>
      </c>
      <c r="D2023" s="669">
        <v>81959.600000000006</v>
      </c>
    </row>
    <row r="2024" spans="1:4" s="23" customFormat="1" x14ac:dyDescent="0.25">
      <c r="A2024" s="667">
        <v>2016</v>
      </c>
      <c r="B2024" s="668" t="s">
        <v>5616</v>
      </c>
      <c r="C2024" s="885" t="s">
        <v>5617</v>
      </c>
      <c r="D2024" s="669">
        <v>65365</v>
      </c>
    </row>
    <row r="2025" spans="1:4" s="23" customFormat="1" ht="25.5" x14ac:dyDescent="0.25">
      <c r="A2025" s="667">
        <v>2017</v>
      </c>
      <c r="B2025" s="668" t="s">
        <v>5618</v>
      </c>
      <c r="C2025" s="885" t="s">
        <v>5619</v>
      </c>
      <c r="D2025" s="669">
        <v>4500</v>
      </c>
    </row>
    <row r="2026" spans="1:4" s="23" customFormat="1" ht="25.5" x14ac:dyDescent="0.25">
      <c r="A2026" s="667">
        <v>2018</v>
      </c>
      <c r="B2026" s="668" t="s">
        <v>5620</v>
      </c>
      <c r="C2026" s="885" t="s">
        <v>5621</v>
      </c>
      <c r="D2026" s="669">
        <v>4500</v>
      </c>
    </row>
    <row r="2027" spans="1:4" s="23" customFormat="1" ht="25.5" x14ac:dyDescent="0.25">
      <c r="A2027" s="667">
        <v>2019</v>
      </c>
      <c r="B2027" s="668" t="s">
        <v>5622</v>
      </c>
      <c r="C2027" s="885" t="s">
        <v>5623</v>
      </c>
      <c r="D2027" s="669">
        <v>4500</v>
      </c>
    </row>
    <row r="2028" spans="1:4" s="23" customFormat="1" ht="25.5" x14ac:dyDescent="0.25">
      <c r="A2028" s="667">
        <v>2020</v>
      </c>
      <c r="B2028" s="668" t="s">
        <v>5624</v>
      </c>
      <c r="C2028" s="885" t="s">
        <v>5625</v>
      </c>
      <c r="D2028" s="669">
        <v>4500</v>
      </c>
    </row>
    <row r="2029" spans="1:4" s="23" customFormat="1" ht="25.5" x14ac:dyDescent="0.25">
      <c r="A2029" s="667">
        <v>2021</v>
      </c>
      <c r="B2029" s="668" t="s">
        <v>5626</v>
      </c>
      <c r="C2029" s="885" t="s">
        <v>5627</v>
      </c>
      <c r="D2029" s="669">
        <v>11620.7</v>
      </c>
    </row>
    <row r="2030" spans="1:4" s="23" customFormat="1" ht="38.25" x14ac:dyDescent="0.25">
      <c r="A2030" s="667">
        <v>2022</v>
      </c>
      <c r="B2030" s="668" t="s">
        <v>5628</v>
      </c>
      <c r="C2030" s="885" t="s">
        <v>5629</v>
      </c>
      <c r="D2030" s="669">
        <v>28350</v>
      </c>
    </row>
    <row r="2031" spans="1:4" s="23" customFormat="1" ht="25.5" x14ac:dyDescent="0.25">
      <c r="A2031" s="667">
        <v>2023</v>
      </c>
      <c r="B2031" s="668" t="s">
        <v>5630</v>
      </c>
      <c r="C2031" s="885" t="s">
        <v>5631</v>
      </c>
      <c r="D2031" s="669">
        <v>23826.82</v>
      </c>
    </row>
    <row r="2032" spans="1:4" s="23" customFormat="1" ht="25.5" x14ac:dyDescent="0.25">
      <c r="A2032" s="667">
        <v>2024</v>
      </c>
      <c r="B2032" s="668" t="s">
        <v>5632</v>
      </c>
      <c r="C2032" s="885" t="s">
        <v>5633</v>
      </c>
      <c r="D2032" s="669">
        <v>8307.75</v>
      </c>
    </row>
    <row r="2033" spans="1:4" s="23" customFormat="1" ht="25.5" x14ac:dyDescent="0.25">
      <c r="A2033" s="667">
        <v>2025</v>
      </c>
      <c r="B2033" s="668" t="s">
        <v>5634</v>
      </c>
      <c r="C2033" s="885" t="s">
        <v>5635</v>
      </c>
      <c r="D2033" s="669">
        <v>9168</v>
      </c>
    </row>
    <row r="2034" spans="1:4" s="23" customFormat="1" ht="25.5" x14ac:dyDescent="0.25">
      <c r="A2034" s="667">
        <v>2026</v>
      </c>
      <c r="B2034" s="668" t="s">
        <v>5636</v>
      </c>
      <c r="C2034" s="885" t="s">
        <v>5637</v>
      </c>
      <c r="D2034" s="669">
        <v>38800</v>
      </c>
    </row>
    <row r="2035" spans="1:4" s="23" customFormat="1" x14ac:dyDescent="0.25">
      <c r="A2035" s="667">
        <v>2027</v>
      </c>
      <c r="B2035" s="668" t="s">
        <v>5638</v>
      </c>
      <c r="C2035" s="885" t="s">
        <v>5639</v>
      </c>
      <c r="D2035" s="669">
        <v>9500</v>
      </c>
    </row>
    <row r="2036" spans="1:4" s="23" customFormat="1" ht="25.5" x14ac:dyDescent="0.25">
      <c r="A2036" s="667">
        <v>2028</v>
      </c>
      <c r="B2036" s="668" t="s">
        <v>5640</v>
      </c>
      <c r="C2036" s="885" t="s">
        <v>5641</v>
      </c>
      <c r="D2036" s="669">
        <v>103868.8</v>
      </c>
    </row>
    <row r="2037" spans="1:4" s="23" customFormat="1" ht="38.25" x14ac:dyDescent="0.25">
      <c r="A2037" s="667">
        <v>2029</v>
      </c>
      <c r="B2037" s="668" t="s">
        <v>5642</v>
      </c>
      <c r="C2037" s="885" t="s">
        <v>5643</v>
      </c>
      <c r="D2037" s="669">
        <v>98072.55</v>
      </c>
    </row>
    <row r="2038" spans="1:4" s="23" customFormat="1" x14ac:dyDescent="0.25">
      <c r="A2038" s="667">
        <v>2030</v>
      </c>
      <c r="B2038" s="668" t="s">
        <v>5644</v>
      </c>
      <c r="C2038" s="885" t="s">
        <v>5645</v>
      </c>
      <c r="D2038" s="669">
        <v>157846.39999999999</v>
      </c>
    </row>
    <row r="2039" spans="1:4" s="23" customFormat="1" x14ac:dyDescent="0.25">
      <c r="A2039" s="667">
        <v>2031</v>
      </c>
      <c r="B2039" s="668" t="s">
        <v>5573</v>
      </c>
      <c r="C2039" s="885" t="s">
        <v>5646</v>
      </c>
      <c r="D2039" s="669">
        <v>27418</v>
      </c>
    </row>
    <row r="2040" spans="1:4" s="23" customFormat="1" ht="25.5" x14ac:dyDescent="0.25">
      <c r="A2040" s="667">
        <v>2032</v>
      </c>
      <c r="B2040" s="668" t="s">
        <v>5575</v>
      </c>
      <c r="C2040" s="885" t="s">
        <v>5647</v>
      </c>
      <c r="D2040" s="669">
        <v>55000</v>
      </c>
    </row>
    <row r="2041" spans="1:4" s="23" customFormat="1" x14ac:dyDescent="0.25">
      <c r="A2041" s="667">
        <v>2033</v>
      </c>
      <c r="B2041" s="668" t="s">
        <v>5576</v>
      </c>
      <c r="C2041" s="885" t="s">
        <v>5648</v>
      </c>
      <c r="D2041" s="669">
        <v>49800</v>
      </c>
    </row>
    <row r="2042" spans="1:4" s="23" customFormat="1" ht="25.5" x14ac:dyDescent="0.25">
      <c r="A2042" s="667">
        <v>2034</v>
      </c>
      <c r="B2042" s="668" t="s">
        <v>5649</v>
      </c>
      <c r="C2042" s="885" t="s">
        <v>5650</v>
      </c>
      <c r="D2042" s="669">
        <v>92000</v>
      </c>
    </row>
    <row r="2043" spans="1:4" s="23" customFormat="1" ht="25.5" x14ac:dyDescent="0.25">
      <c r="A2043" s="667">
        <v>2035</v>
      </c>
      <c r="B2043" s="668" t="s">
        <v>5651</v>
      </c>
      <c r="C2043" s="885" t="s">
        <v>5650</v>
      </c>
      <c r="D2043" s="669">
        <v>52060</v>
      </c>
    </row>
    <row r="2044" spans="1:4" s="23" customFormat="1" ht="25.5" x14ac:dyDescent="0.25">
      <c r="A2044" s="667">
        <v>2036</v>
      </c>
      <c r="B2044" s="668" t="s">
        <v>5652</v>
      </c>
      <c r="C2044" s="885" t="s">
        <v>5653</v>
      </c>
      <c r="D2044" s="669">
        <v>185729.57</v>
      </c>
    </row>
    <row r="2045" spans="1:4" s="23" customFormat="1" ht="76.5" x14ac:dyDescent="0.25">
      <c r="A2045" s="667">
        <v>2037</v>
      </c>
      <c r="B2045" s="668" t="s">
        <v>5654</v>
      </c>
      <c r="C2045" s="885" t="s">
        <v>5655</v>
      </c>
      <c r="D2045" s="669">
        <v>129843.89</v>
      </c>
    </row>
    <row r="2046" spans="1:4" s="23" customFormat="1" ht="25.5" x14ac:dyDescent="0.25">
      <c r="A2046" s="667">
        <v>2038</v>
      </c>
      <c r="B2046" s="668" t="s">
        <v>5656</v>
      </c>
      <c r="C2046" s="885" t="s">
        <v>5657</v>
      </c>
      <c r="D2046" s="669">
        <v>195853.47</v>
      </c>
    </row>
    <row r="2047" spans="1:4" s="23" customFormat="1" x14ac:dyDescent="0.25">
      <c r="A2047" s="667">
        <v>2039</v>
      </c>
      <c r="B2047" s="668" t="s">
        <v>5658</v>
      </c>
      <c r="C2047" s="885" t="s">
        <v>5659</v>
      </c>
      <c r="D2047" s="669">
        <v>26526.880000000001</v>
      </c>
    </row>
    <row r="2048" spans="1:4" s="23" customFormat="1" ht="25.5" x14ac:dyDescent="0.25">
      <c r="A2048" s="667">
        <v>2040</v>
      </c>
      <c r="B2048" s="668" t="s">
        <v>5660</v>
      </c>
      <c r="C2048" s="885" t="s">
        <v>5661</v>
      </c>
      <c r="D2048" s="669">
        <v>60110.64</v>
      </c>
    </row>
    <row r="2049" spans="1:4" s="23" customFormat="1" ht="25.5" x14ac:dyDescent="0.25">
      <c r="A2049" s="667">
        <v>2041</v>
      </c>
      <c r="B2049" s="668" t="s">
        <v>5662</v>
      </c>
      <c r="C2049" s="885" t="s">
        <v>5663</v>
      </c>
      <c r="D2049" s="669">
        <v>77713.600000000006</v>
      </c>
    </row>
    <row r="2050" spans="1:4" s="23" customFormat="1" ht="25.5" x14ac:dyDescent="0.25">
      <c r="A2050" s="667">
        <v>2042</v>
      </c>
      <c r="B2050" s="668" t="s">
        <v>5664</v>
      </c>
      <c r="C2050" s="885" t="s">
        <v>5665</v>
      </c>
      <c r="D2050" s="669">
        <v>98478</v>
      </c>
    </row>
    <row r="2051" spans="1:4" s="23" customFormat="1" ht="25.5" x14ac:dyDescent="0.25">
      <c r="A2051" s="667">
        <v>2043</v>
      </c>
      <c r="B2051" s="668" t="s">
        <v>5666</v>
      </c>
      <c r="C2051" s="885" t="s">
        <v>5667</v>
      </c>
      <c r="D2051" s="669">
        <v>59086.8</v>
      </c>
    </row>
    <row r="2052" spans="1:4" s="23" customFormat="1" ht="25.5" x14ac:dyDescent="0.25">
      <c r="A2052" s="667">
        <v>2044</v>
      </c>
      <c r="B2052" s="668" t="s">
        <v>5668</v>
      </c>
      <c r="C2052" s="885" t="s">
        <v>5669</v>
      </c>
      <c r="D2052" s="669">
        <v>95276</v>
      </c>
    </row>
    <row r="2053" spans="1:4" s="23" customFormat="1" ht="25.5" x14ac:dyDescent="0.25">
      <c r="A2053" s="667">
        <v>2045</v>
      </c>
      <c r="B2053" s="668" t="s">
        <v>5670</v>
      </c>
      <c r="C2053" s="885" t="s">
        <v>5671</v>
      </c>
      <c r="D2053" s="669">
        <v>19350</v>
      </c>
    </row>
    <row r="2054" spans="1:4" s="23" customFormat="1" ht="25.5" x14ac:dyDescent="0.25">
      <c r="A2054" s="667">
        <v>2046</v>
      </c>
      <c r="B2054" s="668" t="s">
        <v>5672</v>
      </c>
      <c r="C2054" s="885" t="s">
        <v>5673</v>
      </c>
      <c r="D2054" s="669">
        <v>156398.39999999999</v>
      </c>
    </row>
    <row r="2055" spans="1:4" s="23" customFormat="1" ht="25.5" x14ac:dyDescent="0.25">
      <c r="A2055" s="667">
        <v>2047</v>
      </c>
      <c r="B2055" s="668" t="s">
        <v>5674</v>
      </c>
      <c r="C2055" s="885" t="s">
        <v>5675</v>
      </c>
      <c r="D2055" s="669">
        <v>39827.199999999997</v>
      </c>
    </row>
    <row r="2056" spans="1:4" s="23" customFormat="1" ht="63.75" x14ac:dyDescent="0.25">
      <c r="A2056" s="667">
        <v>2048</v>
      </c>
      <c r="B2056" s="668" t="s">
        <v>5676</v>
      </c>
      <c r="C2056" s="885" t="s">
        <v>5677</v>
      </c>
      <c r="D2056" s="669">
        <v>78238.23</v>
      </c>
    </row>
    <row r="2057" spans="1:4" s="23" customFormat="1" ht="25.5" x14ac:dyDescent="0.25">
      <c r="A2057" s="667">
        <v>2049</v>
      </c>
      <c r="B2057" s="668" t="s">
        <v>5678</v>
      </c>
      <c r="C2057" s="885" t="s">
        <v>5679</v>
      </c>
      <c r="D2057" s="669">
        <v>109277.4</v>
      </c>
    </row>
    <row r="2058" spans="1:4" s="23" customFormat="1" ht="25.5" x14ac:dyDescent="0.25">
      <c r="A2058" s="667">
        <v>2050</v>
      </c>
      <c r="B2058" s="668" t="s">
        <v>5680</v>
      </c>
      <c r="C2058" s="885" t="s">
        <v>5681</v>
      </c>
      <c r="D2058" s="669">
        <v>182129</v>
      </c>
    </row>
    <row r="2059" spans="1:4" s="23" customFormat="1" ht="25.5" x14ac:dyDescent="0.25">
      <c r="A2059" s="667">
        <v>2051</v>
      </c>
      <c r="B2059" s="668" t="s">
        <v>5682</v>
      </c>
      <c r="C2059" s="885" t="s">
        <v>5683</v>
      </c>
      <c r="D2059" s="669">
        <v>66713.149999999994</v>
      </c>
    </row>
    <row r="2060" spans="1:4" s="23" customFormat="1" ht="51" x14ac:dyDescent="0.25">
      <c r="A2060" s="667">
        <v>2052</v>
      </c>
      <c r="B2060" s="668" t="s">
        <v>5684</v>
      </c>
      <c r="C2060" s="885" t="s">
        <v>5685</v>
      </c>
      <c r="D2060" s="669">
        <v>71874.039999999994</v>
      </c>
    </row>
    <row r="2061" spans="1:4" s="23" customFormat="1" ht="38.25" x14ac:dyDescent="0.25">
      <c r="A2061" s="667">
        <v>2053</v>
      </c>
      <c r="B2061" s="668" t="s">
        <v>5686</v>
      </c>
      <c r="C2061" s="885" t="s">
        <v>5687</v>
      </c>
      <c r="D2061" s="669">
        <v>52000</v>
      </c>
    </row>
    <row r="2062" spans="1:4" s="23" customFormat="1" ht="25.5" x14ac:dyDescent="0.25">
      <c r="A2062" s="667">
        <v>2054</v>
      </c>
      <c r="B2062" s="668" t="s">
        <v>5688</v>
      </c>
      <c r="C2062" s="885" t="s">
        <v>5689</v>
      </c>
      <c r="D2062" s="669">
        <v>33000</v>
      </c>
    </row>
    <row r="2063" spans="1:4" s="23" customFormat="1" ht="25.5" x14ac:dyDescent="0.25">
      <c r="A2063" s="667">
        <v>2055</v>
      </c>
      <c r="B2063" s="668" t="s">
        <v>5690</v>
      </c>
      <c r="C2063" s="885" t="s">
        <v>5691</v>
      </c>
      <c r="D2063" s="669">
        <v>80876</v>
      </c>
    </row>
    <row r="2064" spans="1:4" s="23" customFormat="1" ht="25.5" x14ac:dyDescent="0.25">
      <c r="A2064" s="667">
        <v>2056</v>
      </c>
      <c r="B2064" s="668" t="s">
        <v>5692</v>
      </c>
      <c r="C2064" s="885" t="s">
        <v>5693</v>
      </c>
      <c r="D2064" s="669">
        <v>216404.76</v>
      </c>
    </row>
    <row r="2065" spans="1:4" s="23" customFormat="1" ht="25.5" x14ac:dyDescent="0.25">
      <c r="A2065" s="667">
        <v>2057</v>
      </c>
      <c r="B2065" s="668" t="s">
        <v>5694</v>
      </c>
      <c r="C2065" s="885" t="s">
        <v>5695</v>
      </c>
      <c r="D2065" s="669">
        <v>95949.71</v>
      </c>
    </row>
    <row r="2066" spans="1:4" s="23" customFormat="1" x14ac:dyDescent="0.25">
      <c r="A2066" s="667">
        <v>2058</v>
      </c>
      <c r="B2066" s="668" t="s">
        <v>5696</v>
      </c>
      <c r="C2066" s="885" t="s">
        <v>5697</v>
      </c>
      <c r="D2066" s="669">
        <v>2970</v>
      </c>
    </row>
    <row r="2067" spans="1:4" s="23" customFormat="1" ht="51" x14ac:dyDescent="0.25">
      <c r="A2067" s="667">
        <v>2059</v>
      </c>
      <c r="B2067" s="668" t="s">
        <v>5698</v>
      </c>
      <c r="C2067" s="885" t="s">
        <v>5699</v>
      </c>
      <c r="D2067" s="669">
        <v>14709.34</v>
      </c>
    </row>
    <row r="2068" spans="1:4" s="23" customFormat="1" ht="25.5" x14ac:dyDescent="0.25">
      <c r="A2068" s="667">
        <v>2060</v>
      </c>
      <c r="B2068" s="668" t="s">
        <v>5700</v>
      </c>
      <c r="C2068" s="885" t="s">
        <v>5701</v>
      </c>
      <c r="D2068" s="669">
        <v>182655.33</v>
      </c>
    </row>
    <row r="2069" spans="1:4" s="23" customFormat="1" x14ac:dyDescent="0.25">
      <c r="A2069" s="667">
        <v>2061</v>
      </c>
      <c r="B2069" s="668" t="s">
        <v>5702</v>
      </c>
      <c r="C2069" s="885" t="s">
        <v>5703</v>
      </c>
      <c r="D2069" s="669">
        <v>6389.9</v>
      </c>
    </row>
    <row r="2070" spans="1:4" s="23" customFormat="1" ht="63.75" x14ac:dyDescent="0.25">
      <c r="A2070" s="667">
        <v>2062</v>
      </c>
      <c r="B2070" s="668" t="s">
        <v>5704</v>
      </c>
      <c r="C2070" s="885" t="s">
        <v>5705</v>
      </c>
      <c r="D2070" s="669">
        <v>15895</v>
      </c>
    </row>
    <row r="2071" spans="1:4" s="23" customFormat="1" ht="25.5" x14ac:dyDescent="0.25">
      <c r="A2071" s="667">
        <v>2063</v>
      </c>
      <c r="B2071" s="668" t="s">
        <v>5706</v>
      </c>
      <c r="C2071" s="885" t="s">
        <v>5707</v>
      </c>
      <c r="D2071" s="669">
        <v>39256.230000000003</v>
      </c>
    </row>
    <row r="2072" spans="1:4" s="23" customFormat="1" ht="25.5" x14ac:dyDescent="0.25">
      <c r="A2072" s="667">
        <v>2064</v>
      </c>
      <c r="B2072" s="668" t="s">
        <v>5708</v>
      </c>
      <c r="C2072" s="885" t="s">
        <v>5709</v>
      </c>
      <c r="D2072" s="669">
        <v>45983.839999999997</v>
      </c>
    </row>
    <row r="2073" spans="1:4" s="23" customFormat="1" ht="25.5" x14ac:dyDescent="0.25">
      <c r="A2073" s="667">
        <v>2065</v>
      </c>
      <c r="B2073" s="668" t="s">
        <v>5710</v>
      </c>
      <c r="C2073" s="885" t="s">
        <v>5711</v>
      </c>
      <c r="D2073" s="669">
        <v>51517.5</v>
      </c>
    </row>
    <row r="2074" spans="1:4" s="23" customFormat="1" ht="25.5" x14ac:dyDescent="0.25">
      <c r="A2074" s="667">
        <v>2066</v>
      </c>
      <c r="B2074" s="668" t="s">
        <v>5712</v>
      </c>
      <c r="C2074" s="885" t="s">
        <v>5713</v>
      </c>
      <c r="D2074" s="669">
        <v>48385.919999999998</v>
      </c>
    </row>
    <row r="2075" spans="1:4" s="23" customFormat="1" ht="25.5" x14ac:dyDescent="0.25">
      <c r="A2075" s="667">
        <v>2067</v>
      </c>
      <c r="B2075" s="668" t="s">
        <v>5714</v>
      </c>
      <c r="C2075" s="885" t="s">
        <v>5715</v>
      </c>
      <c r="D2075" s="669">
        <v>54557.4</v>
      </c>
    </row>
    <row r="2076" spans="1:4" s="23" customFormat="1" ht="25.5" x14ac:dyDescent="0.25">
      <c r="A2076" s="667">
        <v>2068</v>
      </c>
      <c r="B2076" s="668" t="s">
        <v>5716</v>
      </c>
      <c r="C2076" s="885" t="s">
        <v>5717</v>
      </c>
      <c r="D2076" s="669">
        <v>114335.91</v>
      </c>
    </row>
    <row r="2077" spans="1:4" s="23" customFormat="1" ht="25.5" x14ac:dyDescent="0.25">
      <c r="A2077" s="667">
        <v>2069</v>
      </c>
      <c r="B2077" s="668" t="s">
        <v>5718</v>
      </c>
      <c r="C2077" s="885" t="s">
        <v>5719</v>
      </c>
      <c r="D2077" s="669">
        <v>9228.7800000000007</v>
      </c>
    </row>
    <row r="2078" spans="1:4" s="23" customFormat="1" x14ac:dyDescent="0.25">
      <c r="A2078" s="667">
        <v>2070</v>
      </c>
      <c r="B2078" s="668" t="s">
        <v>5720</v>
      </c>
      <c r="C2078" s="885" t="s">
        <v>5721</v>
      </c>
      <c r="D2078" s="669">
        <v>12115.44</v>
      </c>
    </row>
    <row r="2079" spans="1:4" s="23" customFormat="1" ht="25.5" x14ac:dyDescent="0.25">
      <c r="A2079" s="667">
        <v>2071</v>
      </c>
      <c r="B2079" s="668" t="s">
        <v>5722</v>
      </c>
      <c r="C2079" s="885" t="s">
        <v>5713</v>
      </c>
      <c r="D2079" s="669">
        <v>48385.919999999998</v>
      </c>
    </row>
    <row r="2080" spans="1:4" s="23" customFormat="1" ht="25.5" x14ac:dyDescent="0.25">
      <c r="A2080" s="667">
        <v>2072</v>
      </c>
      <c r="B2080" s="668" t="s">
        <v>5723</v>
      </c>
      <c r="C2080" s="885" t="s">
        <v>5724</v>
      </c>
      <c r="D2080" s="669">
        <v>39768.6</v>
      </c>
    </row>
    <row r="2081" spans="1:4" s="23" customFormat="1" ht="25.5" x14ac:dyDescent="0.25">
      <c r="A2081" s="667">
        <v>2073</v>
      </c>
      <c r="B2081" s="668" t="s">
        <v>5725</v>
      </c>
      <c r="C2081" s="885" t="s">
        <v>5726</v>
      </c>
      <c r="D2081" s="669">
        <v>35592.660000000003</v>
      </c>
    </row>
    <row r="2082" spans="1:4" s="23" customFormat="1" ht="25.5" x14ac:dyDescent="0.25">
      <c r="A2082" s="667">
        <v>2074</v>
      </c>
      <c r="B2082" s="668" t="s">
        <v>5727</v>
      </c>
      <c r="C2082" s="885" t="s">
        <v>5728</v>
      </c>
      <c r="D2082" s="669">
        <v>51311.43</v>
      </c>
    </row>
    <row r="2083" spans="1:4" s="23" customFormat="1" ht="25.5" x14ac:dyDescent="0.25">
      <c r="A2083" s="667">
        <v>2075</v>
      </c>
      <c r="B2083" s="668" t="s">
        <v>5729</v>
      </c>
      <c r="C2083" s="885" t="s">
        <v>5730</v>
      </c>
      <c r="D2083" s="669">
        <v>35216.9</v>
      </c>
    </row>
    <row r="2084" spans="1:4" s="23" customFormat="1" ht="25.5" x14ac:dyDescent="0.25">
      <c r="A2084" s="667">
        <v>2076</v>
      </c>
      <c r="B2084" s="668" t="s">
        <v>5731</v>
      </c>
      <c r="C2084" s="885" t="s">
        <v>5732</v>
      </c>
      <c r="D2084" s="669">
        <v>126276.05</v>
      </c>
    </row>
    <row r="2085" spans="1:4" s="23" customFormat="1" x14ac:dyDescent="0.25">
      <c r="A2085" s="667">
        <v>2077</v>
      </c>
      <c r="B2085" s="668" t="s">
        <v>5733</v>
      </c>
      <c r="C2085" s="885" t="s">
        <v>5734</v>
      </c>
      <c r="D2085" s="669">
        <v>75361.259999999995</v>
      </c>
    </row>
    <row r="2086" spans="1:4" s="23" customFormat="1" x14ac:dyDescent="0.25">
      <c r="A2086" s="667">
        <v>2078</v>
      </c>
      <c r="B2086" s="668" t="s">
        <v>5735</v>
      </c>
      <c r="C2086" s="885" t="s">
        <v>5736</v>
      </c>
      <c r="D2086" s="669">
        <v>10530</v>
      </c>
    </row>
    <row r="2087" spans="1:4" s="23" customFormat="1" ht="25.5" x14ac:dyDescent="0.25">
      <c r="A2087" s="667">
        <v>2079</v>
      </c>
      <c r="B2087" s="668" t="s">
        <v>5737</v>
      </c>
      <c r="C2087" s="885" t="s">
        <v>5738</v>
      </c>
      <c r="D2087" s="669">
        <v>3467.12</v>
      </c>
    </row>
    <row r="2088" spans="1:4" s="23" customFormat="1" x14ac:dyDescent="0.25">
      <c r="A2088" s="667">
        <v>2080</v>
      </c>
      <c r="B2088" s="668" t="s">
        <v>5739</v>
      </c>
      <c r="C2088" s="885" t="s">
        <v>5740</v>
      </c>
      <c r="D2088" s="669">
        <v>5719.5</v>
      </c>
    </row>
    <row r="2089" spans="1:4" s="23" customFormat="1" ht="38.25" x14ac:dyDescent="0.25">
      <c r="A2089" s="667">
        <v>2081</v>
      </c>
      <c r="B2089" s="668" t="s">
        <v>5741</v>
      </c>
      <c r="C2089" s="885" t="s">
        <v>5742</v>
      </c>
      <c r="D2089" s="669">
        <v>68965.52</v>
      </c>
    </row>
    <row r="2090" spans="1:4" s="23" customFormat="1" ht="38.25" x14ac:dyDescent="0.25">
      <c r="A2090" s="667">
        <v>2082</v>
      </c>
      <c r="B2090" s="668" t="s">
        <v>5743</v>
      </c>
      <c r="C2090" s="885" t="s">
        <v>5744</v>
      </c>
      <c r="D2090" s="669">
        <v>10344.83</v>
      </c>
    </row>
    <row r="2091" spans="1:4" s="23" customFormat="1" ht="38.25" x14ac:dyDescent="0.25">
      <c r="A2091" s="667">
        <v>2083</v>
      </c>
      <c r="B2091" s="668" t="s">
        <v>5745</v>
      </c>
      <c r="C2091" s="885" t="s">
        <v>5746</v>
      </c>
      <c r="D2091" s="669">
        <v>90517</v>
      </c>
    </row>
    <row r="2092" spans="1:4" s="23" customFormat="1" ht="38.25" x14ac:dyDescent="0.25">
      <c r="A2092" s="667">
        <v>2084</v>
      </c>
      <c r="B2092" s="668" t="s">
        <v>5747</v>
      </c>
      <c r="C2092" s="885" t="s">
        <v>5748</v>
      </c>
      <c r="D2092" s="669">
        <v>68968.52</v>
      </c>
    </row>
    <row r="2093" spans="1:4" s="23" customFormat="1" ht="38.25" x14ac:dyDescent="0.25">
      <c r="A2093" s="667">
        <v>2085</v>
      </c>
      <c r="B2093" s="668" t="s">
        <v>5749</v>
      </c>
      <c r="C2093" s="885" t="s">
        <v>5750</v>
      </c>
      <c r="D2093" s="669">
        <v>90517</v>
      </c>
    </row>
    <row r="2094" spans="1:4" s="23" customFormat="1" ht="38.25" x14ac:dyDescent="0.25">
      <c r="A2094" s="667">
        <v>2086</v>
      </c>
      <c r="B2094" s="668" t="s">
        <v>5751</v>
      </c>
      <c r="C2094" s="885" t="s">
        <v>5752</v>
      </c>
      <c r="D2094" s="669">
        <v>10344.83</v>
      </c>
    </row>
    <row r="2095" spans="1:4" s="23" customFormat="1" ht="38.25" x14ac:dyDescent="0.25">
      <c r="A2095" s="667">
        <v>2087</v>
      </c>
      <c r="B2095" s="668" t="s">
        <v>5753</v>
      </c>
      <c r="C2095" s="885" t="s">
        <v>5754</v>
      </c>
      <c r="D2095" s="669">
        <v>105000</v>
      </c>
    </row>
    <row r="2096" spans="1:4" s="23" customFormat="1" ht="38.25" x14ac:dyDescent="0.25">
      <c r="A2096" s="667">
        <v>2088</v>
      </c>
      <c r="B2096" s="668" t="s">
        <v>5755</v>
      </c>
      <c r="C2096" s="885" t="s">
        <v>5756</v>
      </c>
      <c r="D2096" s="669">
        <v>44700</v>
      </c>
    </row>
    <row r="2097" spans="1:4" s="23" customFormat="1" ht="38.25" x14ac:dyDescent="0.25">
      <c r="A2097" s="667">
        <v>2089</v>
      </c>
      <c r="B2097" s="668" t="s">
        <v>5757</v>
      </c>
      <c r="C2097" s="885" t="s">
        <v>5758</v>
      </c>
      <c r="D2097" s="669">
        <v>69657.38</v>
      </c>
    </row>
    <row r="2098" spans="1:4" s="23" customFormat="1" ht="25.5" x14ac:dyDescent="0.25">
      <c r="A2098" s="667">
        <v>2090</v>
      </c>
      <c r="B2098" s="668" t="s">
        <v>5759</v>
      </c>
      <c r="C2098" s="885" t="s">
        <v>5760</v>
      </c>
      <c r="D2098" s="669">
        <v>45750</v>
      </c>
    </row>
    <row r="2099" spans="1:4" s="23" customFormat="1" ht="38.25" x14ac:dyDescent="0.25">
      <c r="A2099" s="667">
        <v>2091</v>
      </c>
      <c r="B2099" s="668" t="s">
        <v>5761</v>
      </c>
      <c r="C2099" s="885" t="s">
        <v>5762</v>
      </c>
      <c r="D2099" s="669">
        <v>56119.55</v>
      </c>
    </row>
    <row r="2100" spans="1:4" s="23" customFormat="1" ht="38.25" x14ac:dyDescent="0.25">
      <c r="A2100" s="667">
        <v>2092</v>
      </c>
      <c r="B2100" s="668" t="s">
        <v>5763</v>
      </c>
      <c r="C2100" s="885" t="s">
        <v>5764</v>
      </c>
      <c r="D2100" s="669">
        <v>25272.74</v>
      </c>
    </row>
    <row r="2101" spans="1:4" s="23" customFormat="1" ht="63.75" x14ac:dyDescent="0.25">
      <c r="A2101" s="667">
        <v>2093</v>
      </c>
      <c r="B2101" s="668" t="s">
        <v>5765</v>
      </c>
      <c r="C2101" s="885" t="s">
        <v>5766</v>
      </c>
      <c r="D2101" s="669">
        <v>42788.2</v>
      </c>
    </row>
    <row r="2102" spans="1:4" s="23" customFormat="1" ht="51" x14ac:dyDescent="0.25">
      <c r="A2102" s="667">
        <v>2094</v>
      </c>
      <c r="B2102" s="668" t="s">
        <v>5767</v>
      </c>
      <c r="C2102" s="885" t="s">
        <v>5768</v>
      </c>
      <c r="D2102" s="669">
        <v>48021.48</v>
      </c>
    </row>
    <row r="2103" spans="1:4" s="23" customFormat="1" ht="51" x14ac:dyDescent="0.25">
      <c r="A2103" s="667">
        <v>2095</v>
      </c>
      <c r="B2103" s="668" t="s">
        <v>5769</v>
      </c>
      <c r="C2103" s="885" t="s">
        <v>5770</v>
      </c>
      <c r="D2103" s="669">
        <v>23049.08</v>
      </c>
    </row>
    <row r="2104" spans="1:4" s="23" customFormat="1" ht="25.5" x14ac:dyDescent="0.25">
      <c r="A2104" s="667">
        <v>2096</v>
      </c>
      <c r="B2104" s="668" t="s">
        <v>5771</v>
      </c>
      <c r="C2104" s="885" t="s">
        <v>5772</v>
      </c>
      <c r="D2104" s="669">
        <v>120058</v>
      </c>
    </row>
    <row r="2105" spans="1:4" s="23" customFormat="1" ht="63.75" x14ac:dyDescent="0.25">
      <c r="A2105" s="667">
        <v>2097</v>
      </c>
      <c r="B2105" s="668" t="s">
        <v>5773</v>
      </c>
      <c r="C2105" s="885" t="s">
        <v>5774</v>
      </c>
      <c r="D2105" s="669">
        <v>18207</v>
      </c>
    </row>
    <row r="2106" spans="1:4" s="23" customFormat="1" ht="25.5" x14ac:dyDescent="0.25">
      <c r="A2106" s="667">
        <v>2098</v>
      </c>
      <c r="B2106" s="668" t="s">
        <v>5775</v>
      </c>
      <c r="C2106" s="885" t="s">
        <v>5776</v>
      </c>
      <c r="D2106" s="669">
        <v>75000</v>
      </c>
    </row>
    <row r="2107" spans="1:4" s="23" customFormat="1" ht="51" x14ac:dyDescent="0.25">
      <c r="A2107" s="667">
        <v>2099</v>
      </c>
      <c r="B2107" s="668" t="s">
        <v>5777</v>
      </c>
      <c r="C2107" s="885" t="s">
        <v>5778</v>
      </c>
      <c r="D2107" s="669">
        <v>22815</v>
      </c>
    </row>
    <row r="2108" spans="1:4" s="23" customFormat="1" ht="38.25" x14ac:dyDescent="0.25">
      <c r="A2108" s="667">
        <v>2100</v>
      </c>
      <c r="B2108" s="668" t="s">
        <v>5779</v>
      </c>
      <c r="C2108" s="885" t="s">
        <v>5780</v>
      </c>
      <c r="D2108" s="669">
        <v>85310</v>
      </c>
    </row>
    <row r="2109" spans="1:4" s="23" customFormat="1" ht="38.25" x14ac:dyDescent="0.25">
      <c r="A2109" s="667">
        <v>2101</v>
      </c>
      <c r="B2109" s="668" t="s">
        <v>5781</v>
      </c>
      <c r="C2109" s="885" t="s">
        <v>5782</v>
      </c>
      <c r="D2109" s="669">
        <v>29115</v>
      </c>
    </row>
    <row r="2110" spans="1:4" s="23" customFormat="1" ht="38.25" x14ac:dyDescent="0.25">
      <c r="A2110" s="667">
        <v>2102</v>
      </c>
      <c r="B2110" s="668" t="s">
        <v>5783</v>
      </c>
      <c r="C2110" s="885" t="s">
        <v>5782</v>
      </c>
      <c r="D2110" s="669">
        <v>29115</v>
      </c>
    </row>
    <row r="2111" spans="1:4" s="23" customFormat="1" ht="38.25" x14ac:dyDescent="0.25">
      <c r="A2111" s="667">
        <v>2103</v>
      </c>
      <c r="B2111" s="668" t="s">
        <v>5784</v>
      </c>
      <c r="C2111" s="885" t="s">
        <v>5785</v>
      </c>
      <c r="D2111" s="669">
        <v>28140</v>
      </c>
    </row>
    <row r="2112" spans="1:4" s="23" customFormat="1" ht="38.25" x14ac:dyDescent="0.25">
      <c r="A2112" s="667">
        <v>2104</v>
      </c>
      <c r="B2112" s="668" t="s">
        <v>5786</v>
      </c>
      <c r="C2112" s="885" t="s">
        <v>5787</v>
      </c>
      <c r="D2112" s="669">
        <v>28140</v>
      </c>
    </row>
    <row r="2113" spans="1:5" s="23" customFormat="1" ht="25.5" x14ac:dyDescent="0.25">
      <c r="A2113" s="667">
        <v>2105</v>
      </c>
      <c r="B2113" s="668" t="s">
        <v>5788</v>
      </c>
      <c r="C2113" s="885" t="s">
        <v>5789</v>
      </c>
      <c r="D2113" s="669">
        <v>11935</v>
      </c>
    </row>
    <row r="2114" spans="1:5" s="23" customFormat="1" ht="25.5" x14ac:dyDescent="0.25">
      <c r="A2114" s="667">
        <v>2106</v>
      </c>
      <c r="B2114" s="668" t="s">
        <v>5790</v>
      </c>
      <c r="C2114" s="885" t="s">
        <v>5789</v>
      </c>
      <c r="D2114" s="669">
        <v>11935</v>
      </c>
    </row>
    <row r="2115" spans="1:5" s="23" customFormat="1" ht="25.5" x14ac:dyDescent="0.25">
      <c r="A2115" s="667">
        <v>2107</v>
      </c>
      <c r="B2115" s="668" t="s">
        <v>5791</v>
      </c>
      <c r="C2115" s="885" t="s">
        <v>5789</v>
      </c>
      <c r="D2115" s="669">
        <v>11935</v>
      </c>
    </row>
    <row r="2116" spans="1:5" x14ac:dyDescent="0.3">
      <c r="C2116" s="668" t="s">
        <v>5792</v>
      </c>
      <c r="D2116" s="887">
        <f>SUM(D9:D2115)</f>
        <v>140428218.63999981</v>
      </c>
    </row>
    <row r="2117" spans="1:5" x14ac:dyDescent="0.3">
      <c r="A2117" s="667"/>
      <c r="B2117" s="668" t="s">
        <v>844</v>
      </c>
      <c r="C2117" s="667"/>
      <c r="D2117" s="669"/>
    </row>
    <row r="2118" spans="1:5" x14ac:dyDescent="0.3">
      <c r="A2118" s="667"/>
      <c r="B2118" s="667" t="s">
        <v>845</v>
      </c>
      <c r="C2118" s="667"/>
      <c r="D2118" s="669"/>
    </row>
    <row r="2119" spans="1:5" s="23" customFormat="1" x14ac:dyDescent="0.25">
      <c r="A2119" s="667">
        <v>2108</v>
      </c>
      <c r="B2119" s="668" t="s">
        <v>5793</v>
      </c>
      <c r="C2119" s="885" t="s">
        <v>5794</v>
      </c>
      <c r="D2119" s="669">
        <v>15439200</v>
      </c>
      <c r="E2119" s="888">
        <f>SUM(D2119:D2125)</f>
        <v>18153816.68</v>
      </c>
    </row>
    <row r="2120" spans="1:5" s="23" customFormat="1" x14ac:dyDescent="0.25">
      <c r="A2120" s="667">
        <v>2109</v>
      </c>
      <c r="B2120" s="668" t="s">
        <v>5795</v>
      </c>
      <c r="C2120" s="885" t="s">
        <v>5796</v>
      </c>
      <c r="D2120" s="669">
        <v>82923.8</v>
      </c>
    </row>
    <row r="2121" spans="1:5" s="23" customFormat="1" x14ac:dyDescent="0.25">
      <c r="A2121" s="667">
        <v>2110</v>
      </c>
      <c r="B2121" s="668" t="s">
        <v>5797</v>
      </c>
      <c r="C2121" s="885" t="s">
        <v>5798</v>
      </c>
      <c r="D2121" s="669">
        <v>913160.65</v>
      </c>
    </row>
    <row r="2122" spans="1:5" s="23" customFormat="1" x14ac:dyDescent="0.25">
      <c r="A2122" s="667">
        <v>2111</v>
      </c>
      <c r="B2122" s="886" t="s">
        <v>5799</v>
      </c>
      <c r="C2122" s="885" t="s">
        <v>5794</v>
      </c>
      <c r="D2122" s="669">
        <v>22012.23</v>
      </c>
    </row>
    <row r="2123" spans="1:5" s="23" customFormat="1" x14ac:dyDescent="0.25">
      <c r="A2123" s="667">
        <v>2112</v>
      </c>
      <c r="B2123" s="886" t="s">
        <v>5800</v>
      </c>
      <c r="C2123" s="885" t="s">
        <v>5794</v>
      </c>
      <c r="D2123" s="669">
        <v>1321520</v>
      </c>
    </row>
    <row r="2124" spans="1:5" s="23" customFormat="1" ht="25.5" x14ac:dyDescent="0.25">
      <c r="A2124" s="667">
        <v>2113</v>
      </c>
      <c r="B2124" s="886" t="s">
        <v>5801</v>
      </c>
      <c r="C2124" s="885" t="s">
        <v>5802</v>
      </c>
      <c r="D2124" s="669">
        <v>175000</v>
      </c>
    </row>
    <row r="2125" spans="1:5" s="23" customFormat="1" ht="25.5" x14ac:dyDescent="0.25">
      <c r="A2125" s="667">
        <v>2114</v>
      </c>
      <c r="B2125" s="886" t="s">
        <v>5803</v>
      </c>
      <c r="C2125" s="885" t="s">
        <v>5804</v>
      </c>
      <c r="D2125" s="669">
        <v>200000</v>
      </c>
    </row>
    <row r="2127" spans="1:5" x14ac:dyDescent="0.3">
      <c r="A2127" s="667"/>
      <c r="B2127" s="667" t="s">
        <v>846</v>
      </c>
      <c r="C2127" s="667"/>
      <c r="D2127" s="669"/>
    </row>
    <row r="2128" spans="1:5" s="23" customFormat="1" x14ac:dyDescent="0.25">
      <c r="A2128" s="667">
        <v>2115</v>
      </c>
      <c r="B2128" s="886" t="s">
        <v>5799</v>
      </c>
      <c r="C2128" s="885" t="s">
        <v>846</v>
      </c>
      <c r="D2128" s="669">
        <v>475648.17</v>
      </c>
    </row>
    <row r="2129" spans="1:4" s="23" customFormat="1" x14ac:dyDescent="0.25">
      <c r="A2129" s="667">
        <v>2116</v>
      </c>
      <c r="B2129" s="886" t="s">
        <v>5800</v>
      </c>
      <c r="C2129" s="885" t="s">
        <v>5796</v>
      </c>
      <c r="D2129" s="669">
        <v>64852.73</v>
      </c>
    </row>
    <row r="2130" spans="1:4" s="23" customFormat="1" x14ac:dyDescent="0.25">
      <c r="A2130" s="667">
        <v>2117</v>
      </c>
      <c r="B2130" s="886" t="s">
        <v>5800</v>
      </c>
      <c r="C2130" s="885" t="s">
        <v>5805</v>
      </c>
      <c r="D2130" s="669">
        <v>65217.4</v>
      </c>
    </row>
    <row r="2131" spans="1:4" s="23" customFormat="1" x14ac:dyDescent="0.25">
      <c r="A2131" s="667">
        <v>2118</v>
      </c>
      <c r="B2131" s="886" t="s">
        <v>5806</v>
      </c>
      <c r="C2131" s="885" t="s">
        <v>846</v>
      </c>
      <c r="D2131" s="669">
        <v>26242.5</v>
      </c>
    </row>
    <row r="2133" spans="1:4" x14ac:dyDescent="0.3">
      <c r="A2133" s="667"/>
      <c r="B2133" s="667" t="s">
        <v>847</v>
      </c>
      <c r="C2133" s="667"/>
      <c r="D2133" s="669"/>
    </row>
    <row r="2134" spans="1:4" s="23" customFormat="1" x14ac:dyDescent="0.25">
      <c r="A2134" s="667">
        <v>2119</v>
      </c>
      <c r="B2134" s="886" t="s">
        <v>5807</v>
      </c>
      <c r="C2134" s="885" t="s">
        <v>5808</v>
      </c>
      <c r="D2134" s="669"/>
    </row>
    <row r="2135" spans="1:4" s="23" customFormat="1" x14ac:dyDescent="0.25">
      <c r="A2135" s="667">
        <v>2120</v>
      </c>
      <c r="B2135" s="886" t="s">
        <v>5807</v>
      </c>
      <c r="C2135" s="885" t="s">
        <v>5809</v>
      </c>
      <c r="D2135" s="669">
        <v>3752565.33</v>
      </c>
    </row>
    <row r="2136" spans="1:4" s="23" customFormat="1" x14ac:dyDescent="0.25">
      <c r="A2136" s="667">
        <v>2121</v>
      </c>
      <c r="B2136" s="886" t="s">
        <v>5807</v>
      </c>
      <c r="C2136" s="885" t="s">
        <v>5810</v>
      </c>
      <c r="D2136" s="669">
        <v>1724022.87</v>
      </c>
    </row>
    <row r="2137" spans="1:4" s="23" customFormat="1" x14ac:dyDescent="0.25">
      <c r="A2137" s="667">
        <v>2122</v>
      </c>
      <c r="B2137" s="886" t="s">
        <v>5807</v>
      </c>
      <c r="C2137" s="885" t="s">
        <v>5811</v>
      </c>
      <c r="D2137" s="669">
        <v>2130000</v>
      </c>
    </row>
    <row r="2138" spans="1:4" s="23" customFormat="1" x14ac:dyDescent="0.25">
      <c r="A2138" s="667">
        <v>2123</v>
      </c>
      <c r="B2138" s="886" t="s">
        <v>5807</v>
      </c>
      <c r="C2138" s="885" t="s">
        <v>5812</v>
      </c>
      <c r="D2138" s="669">
        <v>1479249.72</v>
      </c>
    </row>
    <row r="2139" spans="1:4" s="23" customFormat="1" x14ac:dyDescent="0.25">
      <c r="A2139" s="667">
        <v>2124</v>
      </c>
      <c r="B2139" s="886" t="s">
        <v>5807</v>
      </c>
      <c r="C2139" s="885" t="s">
        <v>5813</v>
      </c>
      <c r="D2139" s="669">
        <v>276300</v>
      </c>
    </row>
    <row r="2140" spans="1:4" s="23" customFormat="1" x14ac:dyDescent="0.25">
      <c r="A2140" s="667">
        <v>2125</v>
      </c>
      <c r="B2140" s="886" t="s">
        <v>5807</v>
      </c>
      <c r="C2140" s="885" t="s">
        <v>5814</v>
      </c>
      <c r="D2140" s="669">
        <v>224601.32</v>
      </c>
    </row>
    <row r="2141" spans="1:4" s="23" customFormat="1" ht="25.5" x14ac:dyDescent="0.25">
      <c r="A2141" s="667">
        <v>2126</v>
      </c>
      <c r="B2141" s="886" t="s">
        <v>5807</v>
      </c>
      <c r="C2141" s="885" t="s">
        <v>5815</v>
      </c>
      <c r="D2141" s="669">
        <v>2451240</v>
      </c>
    </row>
    <row r="2142" spans="1:4" s="23" customFormat="1" x14ac:dyDescent="0.25">
      <c r="A2142" s="667">
        <v>2127</v>
      </c>
      <c r="B2142" s="886" t="s">
        <v>5807</v>
      </c>
      <c r="C2142" s="885" t="s">
        <v>5816</v>
      </c>
      <c r="D2142" s="669">
        <v>6490330.8799999999</v>
      </c>
    </row>
    <row r="2143" spans="1:4" s="23" customFormat="1" x14ac:dyDescent="0.25">
      <c r="A2143" s="667">
        <v>2128</v>
      </c>
      <c r="B2143" s="886" t="s">
        <v>5807</v>
      </c>
      <c r="C2143" s="885" t="s">
        <v>5817</v>
      </c>
      <c r="D2143" s="669">
        <v>28529146.969999999</v>
      </c>
    </row>
    <row r="2144" spans="1:4" s="23" customFormat="1" x14ac:dyDescent="0.25">
      <c r="A2144" s="667">
        <v>2129</v>
      </c>
      <c r="B2144" s="886" t="s">
        <v>5807</v>
      </c>
      <c r="C2144" s="885" t="s">
        <v>5818</v>
      </c>
      <c r="D2144" s="669">
        <v>2080574.96</v>
      </c>
    </row>
    <row r="2145" spans="1:4" s="23" customFormat="1" x14ac:dyDescent="0.25">
      <c r="A2145" s="667">
        <v>2130</v>
      </c>
      <c r="B2145" s="886" t="s">
        <v>5807</v>
      </c>
      <c r="C2145" s="885" t="s">
        <v>5819</v>
      </c>
      <c r="D2145" s="669">
        <v>14939929.77</v>
      </c>
    </row>
    <row r="2146" spans="1:4" s="23" customFormat="1" x14ac:dyDescent="0.25">
      <c r="A2146" s="667">
        <v>2131</v>
      </c>
      <c r="B2146" s="886" t="s">
        <v>5807</v>
      </c>
      <c r="C2146" s="885" t="s">
        <v>5820</v>
      </c>
      <c r="D2146" s="669">
        <v>4851318.04</v>
      </c>
    </row>
    <row r="2147" spans="1:4" s="23" customFormat="1" x14ac:dyDescent="0.25">
      <c r="A2147" s="667">
        <v>2132</v>
      </c>
      <c r="B2147" s="886" t="s">
        <v>5807</v>
      </c>
      <c r="C2147" s="885" t="s">
        <v>5821</v>
      </c>
      <c r="D2147" s="669">
        <v>2112376.42</v>
      </c>
    </row>
    <row r="2148" spans="1:4" s="23" customFormat="1" x14ac:dyDescent="0.25">
      <c r="A2148" s="667">
        <v>2133</v>
      </c>
      <c r="B2148" s="886" t="s">
        <v>5807</v>
      </c>
      <c r="C2148" s="885" t="s">
        <v>5822</v>
      </c>
      <c r="D2148" s="669">
        <v>1219598.8400000001</v>
      </c>
    </row>
    <row r="2149" spans="1:4" s="23" customFormat="1" x14ac:dyDescent="0.25">
      <c r="A2149" s="667">
        <v>2134</v>
      </c>
      <c r="B2149" s="886" t="s">
        <v>5807</v>
      </c>
      <c r="C2149" s="885" t="s">
        <v>5823</v>
      </c>
      <c r="D2149" s="669">
        <v>1014713.67</v>
      </c>
    </row>
    <row r="2150" spans="1:4" s="23" customFormat="1" x14ac:dyDescent="0.25">
      <c r="A2150" s="667">
        <v>2135</v>
      </c>
      <c r="B2150" s="886" t="s">
        <v>5807</v>
      </c>
      <c r="C2150" s="885" t="s">
        <v>5824</v>
      </c>
      <c r="D2150" s="669">
        <v>11324443.970000001</v>
      </c>
    </row>
    <row r="2151" spans="1:4" s="23" customFormat="1" x14ac:dyDescent="0.25">
      <c r="A2151" s="667">
        <v>2136</v>
      </c>
      <c r="B2151" s="886" t="s">
        <v>5807</v>
      </c>
      <c r="C2151" s="885" t="s">
        <v>5825</v>
      </c>
      <c r="D2151" s="669">
        <v>2132077.31</v>
      </c>
    </row>
    <row r="2152" spans="1:4" s="23" customFormat="1" x14ac:dyDescent="0.25">
      <c r="A2152" s="667">
        <v>2137</v>
      </c>
      <c r="B2152" s="886" t="s">
        <v>5807</v>
      </c>
      <c r="C2152" s="885" t="s">
        <v>5826</v>
      </c>
      <c r="D2152" s="669">
        <v>678480.12</v>
      </c>
    </row>
    <row r="2153" spans="1:4" s="23" customFormat="1" x14ac:dyDescent="0.25">
      <c r="A2153" s="667">
        <v>2138</v>
      </c>
      <c r="B2153" s="886" t="s">
        <v>5807</v>
      </c>
      <c r="C2153" s="885" t="s">
        <v>5827</v>
      </c>
      <c r="D2153" s="669">
        <v>4174326.2</v>
      </c>
    </row>
    <row r="2154" spans="1:4" s="23" customFormat="1" x14ac:dyDescent="0.25">
      <c r="A2154" s="667">
        <v>2139</v>
      </c>
      <c r="B2154" s="886" t="s">
        <v>5807</v>
      </c>
      <c r="C2154" s="885" t="s">
        <v>5828</v>
      </c>
      <c r="D2154" s="669">
        <v>6290387.2800000003</v>
      </c>
    </row>
    <row r="2155" spans="1:4" s="23" customFormat="1" x14ac:dyDescent="0.25">
      <c r="A2155" s="667">
        <v>2140</v>
      </c>
      <c r="B2155" s="886" t="s">
        <v>5807</v>
      </c>
      <c r="C2155" s="885" t="s">
        <v>5829</v>
      </c>
      <c r="D2155" s="669">
        <v>655260.84</v>
      </c>
    </row>
    <row r="2156" spans="1:4" s="23" customFormat="1" x14ac:dyDescent="0.25">
      <c r="A2156" s="667">
        <v>2141</v>
      </c>
      <c r="B2156" s="886" t="s">
        <v>5807</v>
      </c>
      <c r="C2156" s="885" t="s">
        <v>5830</v>
      </c>
      <c r="D2156" s="669">
        <v>3034755.7</v>
      </c>
    </row>
    <row r="2157" spans="1:4" s="23" customFormat="1" x14ac:dyDescent="0.25">
      <c r="A2157" s="667">
        <v>2142</v>
      </c>
      <c r="B2157" s="886" t="s">
        <v>5807</v>
      </c>
      <c r="C2157" s="885" t="s">
        <v>5831</v>
      </c>
      <c r="D2157" s="669">
        <v>818838.13</v>
      </c>
    </row>
    <row r="2158" spans="1:4" s="23" customFormat="1" x14ac:dyDescent="0.25">
      <c r="A2158" s="667">
        <v>2143</v>
      </c>
      <c r="B2158" s="886" t="s">
        <v>5807</v>
      </c>
      <c r="C2158" s="885" t="s">
        <v>5832</v>
      </c>
      <c r="D2158" s="669">
        <v>2889588.04</v>
      </c>
    </row>
    <row r="2159" spans="1:4" s="23" customFormat="1" x14ac:dyDescent="0.25">
      <c r="A2159" s="667">
        <v>2144</v>
      </c>
      <c r="B2159" s="886" t="s">
        <v>5807</v>
      </c>
      <c r="C2159" s="885" t="s">
        <v>5833</v>
      </c>
      <c r="D2159" s="669">
        <v>792092.03</v>
      </c>
    </row>
    <row r="2160" spans="1:4" s="23" customFormat="1" x14ac:dyDescent="0.25">
      <c r="A2160" s="667">
        <v>2145</v>
      </c>
      <c r="B2160" s="886" t="s">
        <v>5807</v>
      </c>
      <c r="C2160" s="885" t="s">
        <v>5834</v>
      </c>
      <c r="D2160" s="669">
        <v>3933443.62</v>
      </c>
    </row>
    <row r="2161" spans="1:4" s="23" customFormat="1" x14ac:dyDescent="0.25">
      <c r="A2161" s="667">
        <v>2146</v>
      </c>
      <c r="B2161" s="886" t="s">
        <v>5807</v>
      </c>
      <c r="C2161" s="885" t="s">
        <v>5835</v>
      </c>
      <c r="D2161" s="669">
        <v>15674948.98</v>
      </c>
    </row>
    <row r="2162" spans="1:4" s="23" customFormat="1" x14ac:dyDescent="0.25">
      <c r="A2162" s="667">
        <v>2147</v>
      </c>
      <c r="B2162" s="886" t="s">
        <v>5807</v>
      </c>
      <c r="C2162" s="885" t="s">
        <v>5836</v>
      </c>
      <c r="D2162" s="669">
        <v>3925806.18</v>
      </c>
    </row>
    <row r="2163" spans="1:4" s="23" customFormat="1" x14ac:dyDescent="0.25">
      <c r="A2163" s="667">
        <v>2148</v>
      </c>
      <c r="B2163" s="886" t="s">
        <v>5807</v>
      </c>
      <c r="C2163" s="885" t="s">
        <v>5837</v>
      </c>
      <c r="D2163" s="669">
        <v>9181055.3699999992</v>
      </c>
    </row>
    <row r="2164" spans="1:4" s="23" customFormat="1" x14ac:dyDescent="0.25">
      <c r="A2164" s="667">
        <v>2149</v>
      </c>
      <c r="B2164" s="886" t="s">
        <v>5807</v>
      </c>
      <c r="C2164" s="885" t="s">
        <v>5838</v>
      </c>
      <c r="D2164" s="669">
        <v>1710587.94</v>
      </c>
    </row>
    <row r="2165" spans="1:4" s="23" customFormat="1" x14ac:dyDescent="0.25">
      <c r="A2165" s="667">
        <v>2150</v>
      </c>
      <c r="B2165" s="886" t="s">
        <v>5807</v>
      </c>
      <c r="C2165" s="885" t="s">
        <v>5839</v>
      </c>
      <c r="D2165" s="669">
        <v>1847868.72</v>
      </c>
    </row>
    <row r="2166" spans="1:4" s="23" customFormat="1" x14ac:dyDescent="0.25">
      <c r="A2166" s="667">
        <v>2151</v>
      </c>
      <c r="B2166" s="886" t="s">
        <v>5807</v>
      </c>
      <c r="C2166" s="885" t="s">
        <v>5840</v>
      </c>
      <c r="D2166" s="669">
        <v>2916286.22</v>
      </c>
    </row>
    <row r="2167" spans="1:4" s="23" customFormat="1" x14ac:dyDescent="0.25">
      <c r="A2167" s="667">
        <v>2152</v>
      </c>
      <c r="B2167" s="886" t="s">
        <v>5807</v>
      </c>
      <c r="C2167" s="885" t="s">
        <v>5841</v>
      </c>
      <c r="D2167" s="669">
        <v>117322141.75</v>
      </c>
    </row>
    <row r="2168" spans="1:4" s="23" customFormat="1" x14ac:dyDescent="0.25">
      <c r="A2168" s="667">
        <v>2153</v>
      </c>
      <c r="B2168" s="886" t="s">
        <v>5807</v>
      </c>
      <c r="C2168" s="885" t="s">
        <v>5842</v>
      </c>
      <c r="D2168" s="669">
        <v>4105953.93</v>
      </c>
    </row>
    <row r="2169" spans="1:4" s="23" customFormat="1" x14ac:dyDescent="0.25">
      <c r="A2169" s="667">
        <v>2154</v>
      </c>
      <c r="B2169" s="886" t="s">
        <v>5807</v>
      </c>
      <c r="C2169" s="885" t="s">
        <v>5843</v>
      </c>
      <c r="D2169" s="669">
        <v>325050090.51999998</v>
      </c>
    </row>
    <row r="2170" spans="1:4" s="23" customFormat="1" x14ac:dyDescent="0.25">
      <c r="A2170" s="667">
        <v>2155</v>
      </c>
      <c r="B2170" s="886" t="s">
        <v>5807</v>
      </c>
      <c r="C2170" s="885" t="s">
        <v>5844</v>
      </c>
      <c r="D2170" s="669">
        <v>9849479.9199999999</v>
      </c>
    </row>
    <row r="2171" spans="1:4" s="23" customFormat="1" x14ac:dyDescent="0.25">
      <c r="A2171" s="667">
        <v>2156</v>
      </c>
      <c r="B2171" s="886" t="s">
        <v>5807</v>
      </c>
      <c r="C2171" s="885" t="s">
        <v>5845</v>
      </c>
      <c r="D2171" s="669">
        <v>1500000</v>
      </c>
    </row>
    <row r="2172" spans="1:4" s="23" customFormat="1" x14ac:dyDescent="0.25">
      <c r="A2172" s="667">
        <v>2157</v>
      </c>
      <c r="B2172" s="886" t="s">
        <v>5807</v>
      </c>
      <c r="C2172" s="885" t="s">
        <v>5846</v>
      </c>
      <c r="D2172" s="669">
        <v>12067799.07</v>
      </c>
    </row>
    <row r="2173" spans="1:4" s="23" customFormat="1" x14ac:dyDescent="0.25">
      <c r="A2173" s="667">
        <v>2158</v>
      </c>
      <c r="B2173" s="886" t="s">
        <v>5807</v>
      </c>
      <c r="C2173" s="885" t="s">
        <v>5847</v>
      </c>
      <c r="D2173" s="669">
        <v>113966761.33</v>
      </c>
    </row>
    <row r="2174" spans="1:4" s="23" customFormat="1" x14ac:dyDescent="0.25">
      <c r="A2174" s="667">
        <v>2159</v>
      </c>
      <c r="B2174" s="886" t="s">
        <v>5807</v>
      </c>
      <c r="C2174" s="885" t="s">
        <v>5848</v>
      </c>
      <c r="D2174" s="669">
        <v>90916508.870000005</v>
      </c>
    </row>
    <row r="2175" spans="1:4" s="23" customFormat="1" x14ac:dyDescent="0.25">
      <c r="A2175" s="667">
        <v>2160</v>
      </c>
      <c r="B2175" s="886" t="s">
        <v>5807</v>
      </c>
      <c r="C2175" s="885" t="s">
        <v>5849</v>
      </c>
      <c r="D2175" s="669">
        <v>100124910.56999999</v>
      </c>
    </row>
    <row r="2176" spans="1:4" s="23" customFormat="1" x14ac:dyDescent="0.25">
      <c r="A2176" s="667">
        <v>2161</v>
      </c>
      <c r="B2176" s="886" t="s">
        <v>5807</v>
      </c>
      <c r="C2176" s="885" t="s">
        <v>5850</v>
      </c>
      <c r="D2176" s="669">
        <v>18059770.890000001</v>
      </c>
    </row>
    <row r="2177" spans="1:4" s="23" customFormat="1" x14ac:dyDescent="0.25">
      <c r="A2177" s="667">
        <v>2162</v>
      </c>
      <c r="B2177" s="886" t="s">
        <v>5807</v>
      </c>
      <c r="C2177" s="885" t="s">
        <v>5851</v>
      </c>
      <c r="D2177" s="669">
        <v>23543855.879999999</v>
      </c>
    </row>
    <row r="2178" spans="1:4" s="23" customFormat="1" x14ac:dyDescent="0.25">
      <c r="A2178" s="667">
        <v>2163</v>
      </c>
      <c r="B2178" s="886" t="s">
        <v>5807</v>
      </c>
      <c r="C2178" s="885" t="s">
        <v>5852</v>
      </c>
      <c r="D2178" s="669">
        <v>78929027.760000005</v>
      </c>
    </row>
    <row r="2179" spans="1:4" s="23" customFormat="1" x14ac:dyDescent="0.25">
      <c r="A2179" s="667">
        <v>2164</v>
      </c>
      <c r="B2179" s="886" t="s">
        <v>5807</v>
      </c>
      <c r="C2179" s="885" t="s">
        <v>5853</v>
      </c>
      <c r="D2179" s="669">
        <v>22022546</v>
      </c>
    </row>
    <row r="2180" spans="1:4" s="23" customFormat="1" x14ac:dyDescent="0.25">
      <c r="A2180" s="667">
        <v>2165</v>
      </c>
      <c r="B2180" s="886" t="s">
        <v>5807</v>
      </c>
      <c r="C2180" s="885" t="s">
        <v>5854</v>
      </c>
      <c r="D2180" s="669">
        <v>5318777.53</v>
      </c>
    </row>
    <row r="2181" spans="1:4" s="23" customFormat="1" x14ac:dyDescent="0.25">
      <c r="A2181" s="667">
        <v>2166</v>
      </c>
      <c r="B2181" s="886" t="s">
        <v>5807</v>
      </c>
      <c r="C2181" s="885" t="s">
        <v>5855</v>
      </c>
      <c r="D2181" s="669">
        <v>6776642.6900000004</v>
      </c>
    </row>
    <row r="2182" spans="1:4" s="23" customFormat="1" x14ac:dyDescent="0.25">
      <c r="A2182" s="667">
        <v>2167</v>
      </c>
      <c r="B2182" s="886" t="s">
        <v>5807</v>
      </c>
      <c r="C2182" s="885" t="s">
        <v>5856</v>
      </c>
      <c r="D2182" s="669">
        <v>2061747.83</v>
      </c>
    </row>
    <row r="2183" spans="1:4" s="23" customFormat="1" x14ac:dyDescent="0.25">
      <c r="A2183" s="667">
        <v>2168</v>
      </c>
      <c r="B2183" s="886" t="s">
        <v>5807</v>
      </c>
      <c r="C2183" s="885" t="s">
        <v>5857</v>
      </c>
      <c r="D2183" s="669">
        <v>82228100.099999994</v>
      </c>
    </row>
    <row r="2184" spans="1:4" s="23" customFormat="1" x14ac:dyDescent="0.25">
      <c r="A2184" s="667">
        <v>2169</v>
      </c>
      <c r="B2184" s="886" t="s">
        <v>5807</v>
      </c>
      <c r="C2184" s="885" t="s">
        <v>5858</v>
      </c>
      <c r="D2184" s="669">
        <v>79297607.739999995</v>
      </c>
    </row>
    <row r="2185" spans="1:4" s="23" customFormat="1" x14ac:dyDescent="0.25">
      <c r="A2185" s="667">
        <v>2170</v>
      </c>
      <c r="B2185" s="886" t="s">
        <v>5807</v>
      </c>
      <c r="C2185" s="885" t="s">
        <v>5859</v>
      </c>
      <c r="D2185" s="669">
        <v>58126686.469999999</v>
      </c>
    </row>
    <row r="2186" spans="1:4" s="23" customFormat="1" x14ac:dyDescent="0.25">
      <c r="A2186" s="667">
        <v>2171</v>
      </c>
      <c r="B2186" s="886" t="s">
        <v>5807</v>
      </c>
      <c r="C2186" s="885" t="s">
        <v>5860</v>
      </c>
      <c r="D2186" s="669">
        <v>12327559.279999999</v>
      </c>
    </row>
    <row r="2187" spans="1:4" s="23" customFormat="1" x14ac:dyDescent="0.25">
      <c r="A2187" s="667">
        <v>2172</v>
      </c>
      <c r="B2187" s="886" t="s">
        <v>5807</v>
      </c>
      <c r="C2187" s="885" t="s">
        <v>5861</v>
      </c>
      <c r="D2187" s="669">
        <v>5509299.6200000001</v>
      </c>
    </row>
    <row r="2188" spans="1:4" s="23" customFormat="1" x14ac:dyDescent="0.25">
      <c r="A2188" s="667">
        <v>2173</v>
      </c>
      <c r="B2188" s="886" t="s">
        <v>5807</v>
      </c>
      <c r="C2188" s="885" t="s">
        <v>5862</v>
      </c>
      <c r="D2188" s="669">
        <v>446898.83</v>
      </c>
    </row>
    <row r="2189" spans="1:4" s="23" customFormat="1" x14ac:dyDescent="0.25">
      <c r="A2189" s="667">
        <v>2174</v>
      </c>
      <c r="B2189" s="886" t="s">
        <v>5807</v>
      </c>
      <c r="C2189" s="885" t="s">
        <v>5863</v>
      </c>
      <c r="D2189" s="669">
        <v>64575236.850000001</v>
      </c>
    </row>
    <row r="2190" spans="1:4" s="23" customFormat="1" x14ac:dyDescent="0.25">
      <c r="A2190" s="667">
        <v>2175</v>
      </c>
      <c r="B2190" s="886" t="s">
        <v>5807</v>
      </c>
      <c r="C2190" s="885" t="s">
        <v>5864</v>
      </c>
      <c r="D2190" s="669">
        <v>71721927.060000002</v>
      </c>
    </row>
    <row r="2191" spans="1:4" s="23" customFormat="1" x14ac:dyDescent="0.25">
      <c r="A2191" s="667">
        <v>2176</v>
      </c>
      <c r="B2191" s="886" t="s">
        <v>5807</v>
      </c>
      <c r="C2191" s="885" t="s">
        <v>5865</v>
      </c>
      <c r="D2191" s="669">
        <v>14310243.710000001</v>
      </c>
    </row>
    <row r="2192" spans="1:4" s="23" customFormat="1" x14ac:dyDescent="0.25">
      <c r="A2192" s="667">
        <v>2177</v>
      </c>
      <c r="B2192" s="886" t="s">
        <v>5807</v>
      </c>
      <c r="C2192" s="885" t="s">
        <v>5866</v>
      </c>
      <c r="D2192" s="669">
        <v>9385151.7200000007</v>
      </c>
    </row>
    <row r="2193" spans="1:4" s="23" customFormat="1" x14ac:dyDescent="0.25">
      <c r="A2193" s="667">
        <v>2178</v>
      </c>
      <c r="B2193" s="886" t="s">
        <v>5807</v>
      </c>
      <c r="C2193" s="885" t="s">
        <v>5867</v>
      </c>
      <c r="D2193" s="669">
        <v>35015998.670000002</v>
      </c>
    </row>
    <row r="2194" spans="1:4" s="23" customFormat="1" x14ac:dyDescent="0.25">
      <c r="A2194" s="667">
        <v>2179</v>
      </c>
      <c r="B2194" s="886" t="s">
        <v>5807</v>
      </c>
      <c r="C2194" s="885" t="s">
        <v>5868</v>
      </c>
      <c r="D2194" s="669">
        <v>76931519.75</v>
      </c>
    </row>
    <row r="2195" spans="1:4" s="23" customFormat="1" x14ac:dyDescent="0.25">
      <c r="A2195" s="667">
        <v>2180</v>
      </c>
      <c r="B2195" s="886" t="s">
        <v>5807</v>
      </c>
      <c r="C2195" s="885" t="s">
        <v>5869</v>
      </c>
      <c r="D2195" s="669">
        <v>3018547.62</v>
      </c>
    </row>
    <row r="2196" spans="1:4" s="23" customFormat="1" x14ac:dyDescent="0.25">
      <c r="A2196" s="667">
        <v>2181</v>
      </c>
      <c r="B2196" s="886" t="s">
        <v>5807</v>
      </c>
      <c r="C2196" s="885" t="s">
        <v>5870</v>
      </c>
      <c r="D2196" s="669">
        <v>32111590.890000001</v>
      </c>
    </row>
    <row r="2197" spans="1:4" s="23" customFormat="1" x14ac:dyDescent="0.25">
      <c r="A2197" s="667">
        <v>2182</v>
      </c>
      <c r="B2197" s="886" t="s">
        <v>5807</v>
      </c>
      <c r="C2197" s="885" t="s">
        <v>5862</v>
      </c>
      <c r="D2197" s="669">
        <v>1371543.8</v>
      </c>
    </row>
    <row r="2198" spans="1:4" s="23" customFormat="1" x14ac:dyDescent="0.25">
      <c r="A2198" s="667">
        <v>2183</v>
      </c>
      <c r="B2198" s="886" t="s">
        <v>5807</v>
      </c>
      <c r="C2198" s="885" t="s">
        <v>5871</v>
      </c>
      <c r="D2198" s="669">
        <v>2914455.72</v>
      </c>
    </row>
    <row r="2199" spans="1:4" s="23" customFormat="1" x14ac:dyDescent="0.25">
      <c r="A2199" s="667">
        <v>2184</v>
      </c>
      <c r="B2199" s="886" t="s">
        <v>5807</v>
      </c>
      <c r="C2199" s="885" t="s">
        <v>5872</v>
      </c>
      <c r="D2199" s="669">
        <v>14903837.9</v>
      </c>
    </row>
    <row r="2200" spans="1:4" s="23" customFormat="1" x14ac:dyDescent="0.25">
      <c r="A2200" s="667">
        <v>2185</v>
      </c>
      <c r="B2200" s="886" t="s">
        <v>5807</v>
      </c>
      <c r="C2200" s="885" t="s">
        <v>5873</v>
      </c>
      <c r="D2200" s="669">
        <v>1684066.86</v>
      </c>
    </row>
    <row r="2201" spans="1:4" s="23" customFormat="1" x14ac:dyDescent="0.25">
      <c r="A2201" s="667">
        <v>2186</v>
      </c>
      <c r="B2201" s="886" t="s">
        <v>5807</v>
      </c>
      <c r="C2201" s="885" t="s">
        <v>5874</v>
      </c>
      <c r="D2201" s="669">
        <v>1393460.68</v>
      </c>
    </row>
    <row r="2202" spans="1:4" s="23" customFormat="1" x14ac:dyDescent="0.25">
      <c r="A2202" s="667">
        <v>2187</v>
      </c>
      <c r="B2202" s="886" t="s">
        <v>5807</v>
      </c>
      <c r="C2202" s="885" t="s">
        <v>5875</v>
      </c>
      <c r="D2202" s="669">
        <v>4743600</v>
      </c>
    </row>
    <row r="2203" spans="1:4" s="23" customFormat="1" x14ac:dyDescent="0.25">
      <c r="A2203" s="667">
        <v>2188</v>
      </c>
      <c r="B2203" s="886" t="s">
        <v>5807</v>
      </c>
      <c r="C2203" s="885" t="s">
        <v>5876</v>
      </c>
      <c r="D2203" s="669">
        <v>11143000</v>
      </c>
    </row>
    <row r="2204" spans="1:4" s="23" customFormat="1" x14ac:dyDescent="0.25">
      <c r="A2204" s="667">
        <v>2189</v>
      </c>
      <c r="B2204" s="886" t="s">
        <v>5807</v>
      </c>
      <c r="C2204" s="885" t="s">
        <v>5877</v>
      </c>
      <c r="D2204" s="669">
        <v>286628.40000000002</v>
      </c>
    </row>
    <row r="2205" spans="1:4" s="23" customFormat="1" x14ac:dyDescent="0.25">
      <c r="A2205" s="667">
        <v>2190</v>
      </c>
      <c r="B2205" s="886" t="s">
        <v>5807</v>
      </c>
      <c r="C2205" s="885" t="s">
        <v>5878</v>
      </c>
      <c r="D2205" s="669">
        <v>79034563.379999995</v>
      </c>
    </row>
    <row r="2206" spans="1:4" s="23" customFormat="1" x14ac:dyDescent="0.25">
      <c r="A2206" s="667">
        <v>2191</v>
      </c>
      <c r="B2206" s="886" t="s">
        <v>5879</v>
      </c>
      <c r="C2206" s="885" t="s">
        <v>5880</v>
      </c>
      <c r="D2206" s="1443">
        <v>300000</v>
      </c>
    </row>
    <row r="2207" spans="1:4" s="23" customFormat="1" x14ac:dyDescent="0.25">
      <c r="A2207" s="667">
        <v>2192</v>
      </c>
      <c r="B2207" s="886" t="s">
        <v>5879</v>
      </c>
      <c r="C2207" s="885" t="s">
        <v>5880</v>
      </c>
      <c r="D2207" s="1444"/>
    </row>
    <row r="2208" spans="1:4" s="23" customFormat="1" x14ac:dyDescent="0.25">
      <c r="A2208" s="667">
        <v>2193</v>
      </c>
      <c r="B2208" s="886" t="s">
        <v>5879</v>
      </c>
      <c r="C2208" s="885" t="s">
        <v>5880</v>
      </c>
      <c r="D2208" s="1444"/>
    </row>
    <row r="2209" spans="1:4" s="23" customFormat="1" x14ac:dyDescent="0.25">
      <c r="A2209" s="667">
        <v>2194</v>
      </c>
      <c r="B2209" s="886" t="s">
        <v>5879</v>
      </c>
      <c r="C2209" s="885" t="s">
        <v>5880</v>
      </c>
      <c r="D2209" s="1444"/>
    </row>
    <row r="2210" spans="1:4" s="23" customFormat="1" x14ac:dyDescent="0.25">
      <c r="A2210" s="667">
        <v>2195</v>
      </c>
      <c r="B2210" s="886" t="s">
        <v>5879</v>
      </c>
      <c r="C2210" s="885" t="s">
        <v>5881</v>
      </c>
      <c r="D2210" s="1444"/>
    </row>
    <row r="2211" spans="1:4" s="23" customFormat="1" x14ac:dyDescent="0.25">
      <c r="A2211" s="667">
        <v>2196</v>
      </c>
      <c r="B2211" s="886" t="s">
        <v>5879</v>
      </c>
      <c r="C2211" s="885" t="s">
        <v>5881</v>
      </c>
      <c r="D2211" s="1444"/>
    </row>
    <row r="2212" spans="1:4" s="23" customFormat="1" x14ac:dyDescent="0.25">
      <c r="A2212" s="667">
        <v>2197</v>
      </c>
      <c r="B2212" s="886" t="s">
        <v>5879</v>
      </c>
      <c r="C2212" s="885" t="s">
        <v>5881</v>
      </c>
      <c r="D2212" s="1444"/>
    </row>
    <row r="2213" spans="1:4" s="23" customFormat="1" x14ac:dyDescent="0.25">
      <c r="A2213" s="667">
        <v>2198</v>
      </c>
      <c r="B2213" s="886" t="s">
        <v>5879</v>
      </c>
      <c r="C2213" s="885" t="s">
        <v>5881</v>
      </c>
      <c r="D2213" s="1445"/>
    </row>
    <row r="2214" spans="1:4" s="23" customFormat="1" x14ac:dyDescent="0.25">
      <c r="A2214" s="667">
        <v>2199</v>
      </c>
      <c r="B2214" s="886" t="s">
        <v>5882</v>
      </c>
      <c r="C2214" s="885" t="s">
        <v>5883</v>
      </c>
      <c r="D2214" s="669">
        <v>16329.5</v>
      </c>
    </row>
    <row r="2215" spans="1:4" s="23" customFormat="1" x14ac:dyDescent="0.25">
      <c r="A2215" s="667">
        <v>2200</v>
      </c>
      <c r="B2215" s="886" t="s">
        <v>5884</v>
      </c>
      <c r="C2215" s="885" t="s">
        <v>5883</v>
      </c>
      <c r="D2215" s="669">
        <v>16329.5</v>
      </c>
    </row>
    <row r="2216" spans="1:4" s="23" customFormat="1" x14ac:dyDescent="0.25">
      <c r="A2216" s="667">
        <v>2201</v>
      </c>
      <c r="B2216" s="886" t="s">
        <v>5885</v>
      </c>
      <c r="C2216" s="885" t="s">
        <v>5886</v>
      </c>
      <c r="D2216" s="669">
        <v>36690.85</v>
      </c>
    </row>
    <row r="2217" spans="1:4" s="23" customFormat="1" x14ac:dyDescent="0.25">
      <c r="A2217" s="667">
        <v>2202</v>
      </c>
      <c r="B2217" s="886" t="s">
        <v>5887</v>
      </c>
      <c r="C2217" s="885" t="s">
        <v>5886</v>
      </c>
      <c r="D2217" s="669">
        <v>36690.85</v>
      </c>
    </row>
    <row r="2218" spans="1:4" s="23" customFormat="1" ht="38.25" x14ac:dyDescent="0.25">
      <c r="A2218" s="667">
        <v>2203</v>
      </c>
      <c r="B2218" s="886" t="s">
        <v>5888</v>
      </c>
      <c r="C2218" s="885" t="s">
        <v>5889</v>
      </c>
      <c r="D2218" s="669">
        <v>1426853.34</v>
      </c>
    </row>
    <row r="2219" spans="1:4" s="23" customFormat="1" ht="25.5" x14ac:dyDescent="0.25">
      <c r="A2219" s="667">
        <v>2204</v>
      </c>
      <c r="B2219" s="886" t="s">
        <v>5890</v>
      </c>
      <c r="C2219" s="885" t="s">
        <v>5891</v>
      </c>
      <c r="D2219" s="669">
        <v>487197.48</v>
      </c>
    </row>
    <row r="2220" spans="1:4" s="23" customFormat="1" ht="38.25" x14ac:dyDescent="0.25">
      <c r="A2220" s="667">
        <v>2205</v>
      </c>
      <c r="B2220" s="886" t="s">
        <v>5892</v>
      </c>
      <c r="C2220" s="885" t="s">
        <v>5893</v>
      </c>
      <c r="D2220" s="669">
        <v>863478.26</v>
      </c>
    </row>
    <row r="2221" spans="1:4" s="23" customFormat="1" ht="102" x14ac:dyDescent="0.25">
      <c r="A2221" s="667">
        <v>2206</v>
      </c>
      <c r="B2221" s="886" t="s">
        <v>5894</v>
      </c>
      <c r="C2221" s="885" t="s">
        <v>5895</v>
      </c>
      <c r="D2221" s="669">
        <v>4468585.79</v>
      </c>
    </row>
    <row r="2222" spans="1:4" s="23" customFormat="1" ht="127.5" x14ac:dyDescent="0.25">
      <c r="A2222" s="667">
        <v>2207</v>
      </c>
      <c r="B2222" s="886" t="s">
        <v>5896</v>
      </c>
      <c r="C2222" s="885" t="s">
        <v>5897</v>
      </c>
      <c r="D2222" s="669">
        <v>2806615.24</v>
      </c>
    </row>
    <row r="2223" spans="1:4" s="23" customFormat="1" ht="102" x14ac:dyDescent="0.25">
      <c r="A2223" s="667">
        <v>2208</v>
      </c>
      <c r="B2223" s="886" t="s">
        <v>5898</v>
      </c>
      <c r="C2223" s="885" t="s">
        <v>5899</v>
      </c>
      <c r="D2223" s="669">
        <v>3013136.83</v>
      </c>
    </row>
    <row r="2224" spans="1:4" s="23" customFormat="1" ht="114.75" x14ac:dyDescent="0.25">
      <c r="A2224" s="667">
        <v>2209</v>
      </c>
      <c r="B2224" s="886" t="s">
        <v>5900</v>
      </c>
      <c r="C2224" s="885" t="s">
        <v>5901</v>
      </c>
      <c r="D2224" s="669">
        <v>457321.61</v>
      </c>
    </row>
    <row r="2225" spans="1:4" s="23" customFormat="1" ht="51" x14ac:dyDescent="0.25">
      <c r="A2225" s="667">
        <v>2210</v>
      </c>
      <c r="B2225" s="886" t="s">
        <v>5902</v>
      </c>
      <c r="C2225" s="885" t="s">
        <v>5903</v>
      </c>
      <c r="D2225" s="669">
        <v>632197.66</v>
      </c>
    </row>
    <row r="2226" spans="1:4" s="23" customFormat="1" ht="38.25" x14ac:dyDescent="0.25">
      <c r="A2226" s="667">
        <v>2211</v>
      </c>
      <c r="B2226" s="886" t="s">
        <v>5904</v>
      </c>
      <c r="C2226" s="885" t="s">
        <v>5905</v>
      </c>
      <c r="D2226" s="1443">
        <v>139443.64000000001</v>
      </c>
    </row>
    <row r="2227" spans="1:4" s="23" customFormat="1" ht="38.25" x14ac:dyDescent="0.25">
      <c r="A2227" s="667">
        <v>2212</v>
      </c>
      <c r="B2227" s="886" t="s">
        <v>5904</v>
      </c>
      <c r="C2227" s="885" t="s">
        <v>5906</v>
      </c>
      <c r="D2227" s="1444"/>
    </row>
    <row r="2228" spans="1:4" s="23" customFormat="1" x14ac:dyDescent="0.25">
      <c r="A2228" s="667">
        <v>2213</v>
      </c>
      <c r="B2228" s="886" t="s">
        <v>5904</v>
      </c>
      <c r="C2228" s="885" t="s">
        <v>5907</v>
      </c>
      <c r="D2228" s="1444"/>
    </row>
    <row r="2229" spans="1:4" s="23" customFormat="1" x14ac:dyDescent="0.25">
      <c r="A2229" s="667">
        <v>2214</v>
      </c>
      <c r="B2229" s="886" t="s">
        <v>5904</v>
      </c>
      <c r="C2229" s="885" t="s">
        <v>5908</v>
      </c>
      <c r="D2229" s="1444"/>
    </row>
    <row r="2230" spans="1:4" s="23" customFormat="1" x14ac:dyDescent="0.25">
      <c r="A2230" s="667">
        <v>2215</v>
      </c>
      <c r="B2230" s="886" t="s">
        <v>5904</v>
      </c>
      <c r="C2230" s="885" t="s">
        <v>5909</v>
      </c>
      <c r="D2230" s="1444"/>
    </row>
    <row r="2231" spans="1:4" s="23" customFormat="1" ht="25.5" x14ac:dyDescent="0.25">
      <c r="A2231" s="667">
        <v>2216</v>
      </c>
      <c r="B2231" s="886" t="s">
        <v>5904</v>
      </c>
      <c r="C2231" s="885" t="s">
        <v>5910</v>
      </c>
      <c r="D2231" s="1444"/>
    </row>
    <row r="2232" spans="1:4" s="23" customFormat="1" x14ac:dyDescent="0.25">
      <c r="A2232" s="667">
        <v>2217</v>
      </c>
      <c r="B2232" s="886" t="s">
        <v>5904</v>
      </c>
      <c r="C2232" s="885" t="s">
        <v>5911</v>
      </c>
      <c r="D2232" s="1444"/>
    </row>
    <row r="2233" spans="1:4" s="23" customFormat="1" x14ac:dyDescent="0.25">
      <c r="A2233" s="667">
        <v>2218</v>
      </c>
      <c r="B2233" s="886" t="s">
        <v>5904</v>
      </c>
      <c r="C2233" s="885" t="s">
        <v>5912</v>
      </c>
      <c r="D2233" s="1444"/>
    </row>
    <row r="2234" spans="1:4" s="23" customFormat="1" ht="25.5" x14ac:dyDescent="0.25">
      <c r="A2234" s="667">
        <v>2219</v>
      </c>
      <c r="B2234" s="886" t="s">
        <v>5904</v>
      </c>
      <c r="C2234" s="885" t="s">
        <v>5913</v>
      </c>
      <c r="D2234" s="1444"/>
    </row>
    <row r="2235" spans="1:4" s="23" customFormat="1" x14ac:dyDescent="0.25">
      <c r="A2235" s="667">
        <v>2220</v>
      </c>
      <c r="B2235" s="886" t="s">
        <v>5904</v>
      </c>
      <c r="C2235" s="885" t="s">
        <v>5914</v>
      </c>
      <c r="D2235" s="1444"/>
    </row>
    <row r="2236" spans="1:4" s="23" customFormat="1" x14ac:dyDescent="0.25">
      <c r="A2236" s="667">
        <v>2221</v>
      </c>
      <c r="B2236" s="886" t="s">
        <v>5904</v>
      </c>
      <c r="C2236" s="885" t="s">
        <v>5915</v>
      </c>
      <c r="D2236" s="1445"/>
    </row>
    <row r="2237" spans="1:4" s="23" customFormat="1" ht="25.5" x14ac:dyDescent="0.25">
      <c r="A2237" s="667">
        <v>2222</v>
      </c>
      <c r="B2237" s="886" t="s">
        <v>5916</v>
      </c>
      <c r="C2237" s="885" t="s">
        <v>5917</v>
      </c>
      <c r="D2237" s="669">
        <v>1457649.49</v>
      </c>
    </row>
    <row r="2238" spans="1:4" s="23" customFormat="1" ht="38.25" x14ac:dyDescent="0.25">
      <c r="A2238" s="667">
        <v>2223</v>
      </c>
      <c r="B2238" s="886" t="s">
        <v>5918</v>
      </c>
      <c r="C2238" s="885" t="s">
        <v>5919</v>
      </c>
      <c r="D2238" s="669">
        <v>2954733.04</v>
      </c>
    </row>
    <row r="2239" spans="1:4" s="23" customFormat="1" ht="25.5" x14ac:dyDescent="0.25">
      <c r="A2239" s="667">
        <v>2224</v>
      </c>
      <c r="B2239" s="886" t="s">
        <v>5920</v>
      </c>
      <c r="C2239" s="885" t="s">
        <v>5921</v>
      </c>
      <c r="D2239" s="669">
        <v>2362174.9700000002</v>
      </c>
    </row>
    <row r="2240" spans="1:4" s="23" customFormat="1" ht="38.25" x14ac:dyDescent="0.25">
      <c r="A2240" s="667">
        <v>2225</v>
      </c>
      <c r="B2240" s="886" t="s">
        <v>5922</v>
      </c>
      <c r="C2240" s="885" t="s">
        <v>5923</v>
      </c>
      <c r="D2240" s="669">
        <v>1117773.7</v>
      </c>
    </row>
    <row r="2241" spans="1:4" s="23" customFormat="1" ht="38.25" x14ac:dyDescent="0.25">
      <c r="A2241" s="667">
        <v>2226</v>
      </c>
      <c r="B2241" s="886" t="s">
        <v>5924</v>
      </c>
      <c r="C2241" s="885" t="s">
        <v>5925</v>
      </c>
      <c r="D2241" s="669">
        <v>1011843.77</v>
      </c>
    </row>
    <row r="2242" spans="1:4" s="23" customFormat="1" ht="38.25" x14ac:dyDescent="0.25">
      <c r="A2242" s="667">
        <v>2227</v>
      </c>
      <c r="B2242" s="886" t="s">
        <v>5926</v>
      </c>
      <c r="C2242" s="885" t="s">
        <v>5927</v>
      </c>
      <c r="D2242" s="669">
        <v>1105761.32</v>
      </c>
    </row>
    <row r="2243" spans="1:4" s="23" customFormat="1" ht="51" x14ac:dyDescent="0.25">
      <c r="A2243" s="667">
        <v>2228</v>
      </c>
      <c r="B2243" s="886" t="s">
        <v>5928</v>
      </c>
      <c r="C2243" s="885" t="s">
        <v>5929</v>
      </c>
      <c r="D2243" s="669">
        <v>911406.97</v>
      </c>
    </row>
    <row r="2244" spans="1:4" s="23" customFormat="1" ht="51" x14ac:dyDescent="0.25">
      <c r="A2244" s="667">
        <v>2229</v>
      </c>
      <c r="B2244" s="886" t="s">
        <v>5930</v>
      </c>
      <c r="C2244" s="885" t="s">
        <v>5931</v>
      </c>
      <c r="D2244" s="669">
        <v>1073352.48</v>
      </c>
    </row>
    <row r="2245" spans="1:4" s="23" customFormat="1" ht="38.25" x14ac:dyDescent="0.25">
      <c r="A2245" s="667">
        <v>2230</v>
      </c>
      <c r="B2245" s="886" t="s">
        <v>5932</v>
      </c>
      <c r="C2245" s="885" t="s">
        <v>5933</v>
      </c>
      <c r="D2245" s="669">
        <v>248721.35</v>
      </c>
    </row>
    <row r="2246" spans="1:4" s="23" customFormat="1" ht="51" x14ac:dyDescent="0.25">
      <c r="A2246" s="667">
        <v>2231</v>
      </c>
      <c r="B2246" s="886" t="s">
        <v>5934</v>
      </c>
      <c r="C2246" s="885" t="s">
        <v>5935</v>
      </c>
      <c r="D2246" s="669">
        <v>437585.27</v>
      </c>
    </row>
    <row r="2247" spans="1:4" s="23" customFormat="1" ht="38.25" x14ac:dyDescent="0.25">
      <c r="A2247" s="667">
        <v>2232</v>
      </c>
      <c r="B2247" s="886" t="s">
        <v>5936</v>
      </c>
      <c r="C2247" s="885" t="s">
        <v>5937</v>
      </c>
      <c r="D2247" s="669">
        <v>569550.98</v>
      </c>
    </row>
    <row r="2248" spans="1:4" s="23" customFormat="1" ht="38.25" x14ac:dyDescent="0.25">
      <c r="A2248" s="667">
        <v>2233</v>
      </c>
      <c r="B2248" s="886" t="s">
        <v>5938</v>
      </c>
      <c r="C2248" s="885" t="s">
        <v>5939</v>
      </c>
      <c r="D2248" s="669">
        <v>355803.32</v>
      </c>
    </row>
    <row r="2249" spans="1:4" s="23" customFormat="1" ht="38.25" x14ac:dyDescent="0.25">
      <c r="A2249" s="667">
        <v>2234</v>
      </c>
      <c r="B2249" s="886" t="s">
        <v>5940</v>
      </c>
      <c r="C2249" s="885" t="s">
        <v>5941</v>
      </c>
      <c r="D2249" s="669">
        <v>523981.9</v>
      </c>
    </row>
    <row r="2250" spans="1:4" s="23" customFormat="1" ht="38.25" x14ac:dyDescent="0.25">
      <c r="A2250" s="667">
        <v>2235</v>
      </c>
      <c r="B2250" s="886" t="s">
        <v>5942</v>
      </c>
      <c r="C2250" s="885" t="s">
        <v>5943</v>
      </c>
      <c r="D2250" s="669">
        <v>308998.31</v>
      </c>
    </row>
    <row r="2251" spans="1:4" s="23" customFormat="1" ht="38.25" x14ac:dyDescent="0.25">
      <c r="A2251" s="667">
        <v>2236</v>
      </c>
      <c r="B2251" s="886" t="s">
        <v>5944</v>
      </c>
      <c r="C2251" s="885" t="s">
        <v>5945</v>
      </c>
      <c r="D2251" s="669">
        <v>1218880.43</v>
      </c>
    </row>
    <row r="2252" spans="1:4" s="23" customFormat="1" ht="25.5" x14ac:dyDescent="0.25">
      <c r="A2252" s="667">
        <v>2237</v>
      </c>
      <c r="B2252" s="886" t="s">
        <v>5946</v>
      </c>
      <c r="C2252" s="885" t="s">
        <v>5947</v>
      </c>
      <c r="D2252" s="669">
        <v>392224.72</v>
      </c>
    </row>
    <row r="2253" spans="1:4" s="23" customFormat="1" ht="51" x14ac:dyDescent="0.25">
      <c r="A2253" s="667">
        <v>2238</v>
      </c>
      <c r="B2253" s="886" t="s">
        <v>5948</v>
      </c>
      <c r="C2253" s="885" t="s">
        <v>5949</v>
      </c>
      <c r="D2253" s="669">
        <v>1098318.47</v>
      </c>
    </row>
    <row r="2254" spans="1:4" s="23" customFormat="1" x14ac:dyDescent="0.25">
      <c r="A2254" s="667">
        <v>2239</v>
      </c>
      <c r="B2254" s="886" t="s">
        <v>5950</v>
      </c>
      <c r="C2254" s="885" t="s">
        <v>5951</v>
      </c>
      <c r="D2254" s="669">
        <v>21739.13</v>
      </c>
    </row>
    <row r="2255" spans="1:4" s="23" customFormat="1" x14ac:dyDescent="0.25">
      <c r="A2255" s="667">
        <v>2240</v>
      </c>
      <c r="B2255" s="886" t="s">
        <v>5952</v>
      </c>
      <c r="C2255" s="885" t="s">
        <v>5953</v>
      </c>
      <c r="D2255" s="669">
        <v>21739.13</v>
      </c>
    </row>
    <row r="2256" spans="1:4" s="23" customFormat="1" x14ac:dyDescent="0.25">
      <c r="A2256" s="667">
        <v>2241</v>
      </c>
      <c r="B2256" s="886" t="s">
        <v>5954</v>
      </c>
      <c r="C2256" s="885" t="s">
        <v>5955</v>
      </c>
      <c r="D2256" s="669">
        <v>200449.05</v>
      </c>
    </row>
    <row r="2257" spans="1:4" s="23" customFormat="1" ht="51" x14ac:dyDescent="0.25">
      <c r="A2257" s="667">
        <v>2242</v>
      </c>
      <c r="B2257" s="886" t="s">
        <v>5956</v>
      </c>
      <c r="C2257" s="885" t="s">
        <v>5957</v>
      </c>
      <c r="D2257" s="669">
        <v>1005233.63</v>
      </c>
    </row>
    <row r="2258" spans="1:4" s="23" customFormat="1" x14ac:dyDescent="0.25">
      <c r="A2258" s="667">
        <v>2243</v>
      </c>
      <c r="B2258" s="886" t="s">
        <v>5958</v>
      </c>
      <c r="C2258" s="885" t="s">
        <v>5959</v>
      </c>
      <c r="D2258" s="669">
        <v>9500</v>
      </c>
    </row>
    <row r="2259" spans="1:4" s="23" customFormat="1" x14ac:dyDescent="0.25">
      <c r="A2259" s="667">
        <v>2244</v>
      </c>
      <c r="B2259" s="886" t="s">
        <v>5960</v>
      </c>
      <c r="C2259" s="885" t="s">
        <v>5961</v>
      </c>
      <c r="D2259" s="669">
        <v>5400</v>
      </c>
    </row>
    <row r="2260" spans="1:4" s="23" customFormat="1" x14ac:dyDescent="0.25">
      <c r="A2260" s="667">
        <v>2245</v>
      </c>
      <c r="B2260" s="886" t="s">
        <v>5962</v>
      </c>
      <c r="C2260" s="885" t="s">
        <v>5961</v>
      </c>
      <c r="D2260" s="669">
        <v>3000</v>
      </c>
    </row>
    <row r="2261" spans="1:4" s="23" customFormat="1" x14ac:dyDescent="0.25">
      <c r="A2261" s="667">
        <v>2246</v>
      </c>
      <c r="B2261" s="886" t="s">
        <v>5963</v>
      </c>
      <c r="C2261" s="885" t="s">
        <v>5964</v>
      </c>
      <c r="D2261" s="669">
        <v>3000</v>
      </c>
    </row>
    <row r="2262" spans="1:4" s="23" customFormat="1" x14ac:dyDescent="0.25">
      <c r="A2262" s="667">
        <v>2247</v>
      </c>
      <c r="B2262" s="886" t="s">
        <v>5965</v>
      </c>
      <c r="C2262" s="885" t="s">
        <v>5966</v>
      </c>
      <c r="D2262" s="669">
        <v>1300</v>
      </c>
    </row>
    <row r="2263" spans="1:4" s="23" customFormat="1" x14ac:dyDescent="0.25">
      <c r="A2263" s="667">
        <v>2248</v>
      </c>
      <c r="B2263" s="886" t="s">
        <v>5967</v>
      </c>
      <c r="C2263" s="885" t="s">
        <v>5968</v>
      </c>
      <c r="D2263" s="669">
        <v>3400</v>
      </c>
    </row>
    <row r="2264" spans="1:4" s="23" customFormat="1" x14ac:dyDescent="0.25">
      <c r="A2264" s="667">
        <v>2249</v>
      </c>
      <c r="B2264" s="886" t="s">
        <v>5969</v>
      </c>
      <c r="C2264" s="885" t="s">
        <v>5970</v>
      </c>
      <c r="D2264" s="669">
        <v>800</v>
      </c>
    </row>
    <row r="2265" spans="1:4" s="23" customFormat="1" x14ac:dyDescent="0.25">
      <c r="A2265" s="667">
        <v>2250</v>
      </c>
      <c r="B2265" s="886" t="s">
        <v>5971</v>
      </c>
      <c r="C2265" s="885" t="s">
        <v>5972</v>
      </c>
      <c r="D2265" s="669">
        <v>640</v>
      </c>
    </row>
    <row r="2266" spans="1:4" s="23" customFormat="1" x14ac:dyDescent="0.25">
      <c r="A2266" s="667">
        <v>2251</v>
      </c>
      <c r="B2266" s="886" t="s">
        <v>5973</v>
      </c>
      <c r="C2266" s="885" t="s">
        <v>5961</v>
      </c>
      <c r="D2266" s="669">
        <v>3150</v>
      </c>
    </row>
    <row r="2267" spans="1:4" s="23" customFormat="1" x14ac:dyDescent="0.25">
      <c r="A2267" s="667">
        <v>2252</v>
      </c>
      <c r="B2267" s="886" t="s">
        <v>5974</v>
      </c>
      <c r="C2267" s="885" t="s">
        <v>5975</v>
      </c>
      <c r="D2267" s="669">
        <v>3150</v>
      </c>
    </row>
    <row r="2268" spans="1:4" s="23" customFormat="1" x14ac:dyDescent="0.25">
      <c r="A2268" s="667">
        <v>2253</v>
      </c>
      <c r="B2268" s="886" t="s">
        <v>5976</v>
      </c>
      <c r="C2268" s="885" t="s">
        <v>5961</v>
      </c>
      <c r="D2268" s="669">
        <v>3150</v>
      </c>
    </row>
    <row r="2269" spans="1:4" s="23" customFormat="1" x14ac:dyDescent="0.25">
      <c r="A2269" s="667">
        <v>2254</v>
      </c>
      <c r="B2269" s="886" t="s">
        <v>5977</v>
      </c>
      <c r="C2269" s="885" t="s">
        <v>5961</v>
      </c>
      <c r="D2269" s="669">
        <v>3150</v>
      </c>
    </row>
    <row r="2270" spans="1:4" s="23" customFormat="1" x14ac:dyDescent="0.25">
      <c r="A2270" s="667">
        <v>2255</v>
      </c>
      <c r="B2270" s="886" t="s">
        <v>5978</v>
      </c>
      <c r="C2270" s="885" t="s">
        <v>5979</v>
      </c>
      <c r="D2270" s="669">
        <v>3400</v>
      </c>
    </row>
    <row r="2271" spans="1:4" s="23" customFormat="1" x14ac:dyDescent="0.25">
      <c r="A2271" s="667">
        <v>2256</v>
      </c>
      <c r="B2271" s="886" t="s">
        <v>5980</v>
      </c>
      <c r="C2271" s="885" t="s">
        <v>5981</v>
      </c>
      <c r="D2271" s="669">
        <v>89987.5</v>
      </c>
    </row>
    <row r="2272" spans="1:4" s="23" customFormat="1" x14ac:dyDescent="0.25">
      <c r="A2272" s="667">
        <v>2257</v>
      </c>
      <c r="B2272" s="886" t="s">
        <v>5982</v>
      </c>
      <c r="C2272" s="885" t="s">
        <v>5983</v>
      </c>
      <c r="D2272" s="669"/>
    </row>
    <row r="2273" spans="1:4" s="23" customFormat="1" ht="25.5" x14ac:dyDescent="0.25">
      <c r="A2273" s="667">
        <v>2258</v>
      </c>
      <c r="B2273" s="886" t="s">
        <v>5984</v>
      </c>
      <c r="C2273" s="885" t="s">
        <v>5985</v>
      </c>
      <c r="D2273" s="669"/>
    </row>
    <row r="2274" spans="1:4" s="23" customFormat="1" ht="25.5" x14ac:dyDescent="0.25">
      <c r="A2274" s="667">
        <v>2259</v>
      </c>
      <c r="B2274" s="886" t="s">
        <v>5986</v>
      </c>
      <c r="C2274" s="885" t="s">
        <v>5987</v>
      </c>
      <c r="D2274" s="669"/>
    </row>
    <row r="2275" spans="1:4" s="23" customFormat="1" ht="25.5" x14ac:dyDescent="0.25">
      <c r="A2275" s="667">
        <v>2260</v>
      </c>
      <c r="B2275" s="886" t="s">
        <v>5988</v>
      </c>
      <c r="C2275" s="885" t="s">
        <v>5989</v>
      </c>
      <c r="D2275" s="669"/>
    </row>
    <row r="2276" spans="1:4" s="23" customFormat="1" ht="25.5" x14ac:dyDescent="0.25">
      <c r="A2276" s="667">
        <v>2261</v>
      </c>
      <c r="B2276" s="886" t="s">
        <v>5990</v>
      </c>
      <c r="C2276" s="885" t="s">
        <v>5991</v>
      </c>
      <c r="D2276" s="669"/>
    </row>
    <row r="2277" spans="1:4" s="23" customFormat="1" ht="25.5" x14ac:dyDescent="0.25">
      <c r="A2277" s="667">
        <v>2262</v>
      </c>
      <c r="B2277" s="886" t="s">
        <v>5992</v>
      </c>
      <c r="C2277" s="885" t="s">
        <v>5993</v>
      </c>
      <c r="D2277" s="669"/>
    </row>
    <row r="2278" spans="1:4" s="23" customFormat="1" ht="25.5" x14ac:dyDescent="0.25">
      <c r="A2278" s="667">
        <v>2263</v>
      </c>
      <c r="B2278" s="886" t="s">
        <v>5994</v>
      </c>
      <c r="C2278" s="885" t="s">
        <v>5995</v>
      </c>
      <c r="D2278" s="669"/>
    </row>
    <row r="2279" spans="1:4" s="23" customFormat="1" x14ac:dyDescent="0.25">
      <c r="A2279" s="667">
        <v>2264</v>
      </c>
      <c r="B2279" s="886" t="s">
        <v>5996</v>
      </c>
      <c r="C2279" s="885" t="s">
        <v>5997</v>
      </c>
      <c r="D2279" s="669">
        <v>3600</v>
      </c>
    </row>
    <row r="2280" spans="1:4" s="23" customFormat="1" x14ac:dyDescent="0.25">
      <c r="A2280" s="667">
        <v>2265</v>
      </c>
      <c r="B2280" s="886" t="s">
        <v>5998</v>
      </c>
      <c r="C2280" s="885" t="s">
        <v>5999</v>
      </c>
      <c r="D2280" s="669">
        <v>7220</v>
      </c>
    </row>
    <row r="2281" spans="1:4" s="23" customFormat="1" x14ac:dyDescent="0.25">
      <c r="A2281" s="667">
        <v>2266</v>
      </c>
      <c r="B2281" s="886" t="s">
        <v>6000</v>
      </c>
      <c r="C2281" s="885" t="s">
        <v>6001</v>
      </c>
      <c r="D2281" s="669"/>
    </row>
    <row r="2282" spans="1:4" s="23" customFormat="1" x14ac:dyDescent="0.25">
      <c r="A2282" s="667">
        <v>2267</v>
      </c>
      <c r="B2282" s="886" t="s">
        <v>6002</v>
      </c>
      <c r="C2282" s="885" t="s">
        <v>5961</v>
      </c>
      <c r="D2282" s="669">
        <v>3150</v>
      </c>
    </row>
    <row r="2283" spans="1:4" s="23" customFormat="1" x14ac:dyDescent="0.25">
      <c r="A2283" s="667">
        <v>2268</v>
      </c>
      <c r="B2283" s="886" t="s">
        <v>6003</v>
      </c>
      <c r="C2283" s="885" t="s">
        <v>5975</v>
      </c>
      <c r="D2283" s="669">
        <v>3150</v>
      </c>
    </row>
    <row r="2284" spans="1:4" s="23" customFormat="1" x14ac:dyDescent="0.25">
      <c r="A2284" s="667">
        <v>2269</v>
      </c>
      <c r="B2284" s="886" t="s">
        <v>6004</v>
      </c>
      <c r="C2284" s="885" t="s">
        <v>5975</v>
      </c>
      <c r="D2284" s="669">
        <v>3150</v>
      </c>
    </row>
    <row r="2285" spans="1:4" s="23" customFormat="1" x14ac:dyDescent="0.25">
      <c r="A2285" s="667">
        <v>2270</v>
      </c>
      <c r="B2285" s="886" t="s">
        <v>6005</v>
      </c>
      <c r="C2285" s="885" t="s">
        <v>5961</v>
      </c>
      <c r="D2285" s="669">
        <v>5900</v>
      </c>
    </row>
    <row r="2286" spans="1:4" s="23" customFormat="1" x14ac:dyDescent="0.25">
      <c r="A2286" s="667">
        <v>2271</v>
      </c>
      <c r="B2286" s="886" t="s">
        <v>6006</v>
      </c>
      <c r="C2286" s="885" t="s">
        <v>3107</v>
      </c>
      <c r="D2286" s="669">
        <v>4990</v>
      </c>
    </row>
    <row r="2287" spans="1:4" s="23" customFormat="1" ht="63.75" x14ac:dyDescent="0.25">
      <c r="A2287" s="667">
        <v>2272</v>
      </c>
      <c r="B2287" s="886" t="s">
        <v>6007</v>
      </c>
      <c r="C2287" s="885" t="s">
        <v>6008</v>
      </c>
      <c r="D2287" s="669">
        <v>228620</v>
      </c>
    </row>
    <row r="2288" spans="1:4" s="23" customFormat="1" ht="51" x14ac:dyDescent="0.25">
      <c r="A2288" s="667">
        <v>2273</v>
      </c>
      <c r="B2288" s="886" t="s">
        <v>6009</v>
      </c>
      <c r="C2288" s="885" t="s">
        <v>6010</v>
      </c>
      <c r="D2288" s="669">
        <v>220526</v>
      </c>
    </row>
    <row r="2289" spans="1:4" s="23" customFormat="1" ht="76.5" x14ac:dyDescent="0.25">
      <c r="A2289" s="667">
        <v>2274</v>
      </c>
      <c r="B2289" s="886" t="s">
        <v>6011</v>
      </c>
      <c r="C2289" s="885" t="s">
        <v>6012</v>
      </c>
      <c r="D2289" s="669">
        <v>1567021.98</v>
      </c>
    </row>
    <row r="2290" spans="1:4" s="23" customFormat="1" ht="76.5" x14ac:dyDescent="0.25">
      <c r="A2290" s="667">
        <v>2275</v>
      </c>
      <c r="B2290" s="886" t="s">
        <v>6013</v>
      </c>
      <c r="C2290" s="885" t="s">
        <v>6014</v>
      </c>
      <c r="D2290" s="669">
        <v>2065367.28</v>
      </c>
    </row>
    <row r="2291" spans="1:4" s="23" customFormat="1" ht="76.5" x14ac:dyDescent="0.25">
      <c r="A2291" s="667">
        <v>2276</v>
      </c>
      <c r="B2291" s="886" t="s">
        <v>6015</v>
      </c>
      <c r="C2291" s="885" t="s">
        <v>6016</v>
      </c>
      <c r="D2291" s="669">
        <v>1515775.13</v>
      </c>
    </row>
    <row r="2292" spans="1:4" s="23" customFormat="1" ht="76.5" x14ac:dyDescent="0.25">
      <c r="A2292" s="667">
        <v>2277</v>
      </c>
      <c r="B2292" s="886" t="s">
        <v>6017</v>
      </c>
      <c r="C2292" s="885" t="s">
        <v>6018</v>
      </c>
      <c r="D2292" s="669">
        <v>1594204.73</v>
      </c>
    </row>
    <row r="2293" spans="1:4" s="23" customFormat="1" ht="76.5" x14ac:dyDescent="0.25">
      <c r="A2293" s="667">
        <v>2278</v>
      </c>
      <c r="B2293" s="886" t="s">
        <v>6019</v>
      </c>
      <c r="C2293" s="885" t="s">
        <v>6020</v>
      </c>
      <c r="D2293" s="669">
        <v>1269786.7</v>
      </c>
    </row>
    <row r="2294" spans="1:4" s="23" customFormat="1" ht="25.5" x14ac:dyDescent="0.25">
      <c r="A2294" s="667">
        <v>2279</v>
      </c>
      <c r="B2294" s="886" t="s">
        <v>6021</v>
      </c>
      <c r="C2294" s="885" t="s">
        <v>6022</v>
      </c>
      <c r="D2294" s="669">
        <v>1985390.39</v>
      </c>
    </row>
    <row r="2295" spans="1:4" s="23" customFormat="1" ht="25.5" x14ac:dyDescent="0.25">
      <c r="A2295" s="667">
        <v>2280</v>
      </c>
      <c r="B2295" s="886" t="s">
        <v>6023</v>
      </c>
      <c r="C2295" s="885" t="s">
        <v>6022</v>
      </c>
      <c r="D2295" s="669">
        <v>784215.65</v>
      </c>
    </row>
    <row r="2296" spans="1:4" s="23" customFormat="1" ht="25.5" x14ac:dyDescent="0.25">
      <c r="A2296" s="667">
        <v>2281</v>
      </c>
      <c r="B2296" s="886" t="s">
        <v>6024</v>
      </c>
      <c r="C2296" s="885" t="s">
        <v>6022</v>
      </c>
      <c r="D2296" s="669">
        <v>1784215.65</v>
      </c>
    </row>
    <row r="2297" spans="1:4" s="23" customFormat="1" ht="25.5" x14ac:dyDescent="0.25">
      <c r="A2297" s="667">
        <v>2282</v>
      </c>
      <c r="B2297" s="886" t="s">
        <v>6025</v>
      </c>
      <c r="C2297" s="885" t="s">
        <v>6022</v>
      </c>
      <c r="D2297" s="669">
        <v>4626265.08</v>
      </c>
    </row>
    <row r="2298" spans="1:4" s="23" customFormat="1" ht="25.5" x14ac:dyDescent="0.25">
      <c r="A2298" s="667">
        <v>2283</v>
      </c>
      <c r="B2298" s="886" t="s">
        <v>6026</v>
      </c>
      <c r="C2298" s="885" t="s">
        <v>6022</v>
      </c>
      <c r="D2298" s="669">
        <v>257523.48</v>
      </c>
    </row>
    <row r="2299" spans="1:4" s="23" customFormat="1" ht="25.5" x14ac:dyDescent="0.25">
      <c r="A2299" s="667">
        <v>2284</v>
      </c>
      <c r="B2299" s="886" t="s">
        <v>6027</v>
      </c>
      <c r="C2299" s="885" t="s">
        <v>6028</v>
      </c>
      <c r="D2299" s="669">
        <v>607550.51</v>
      </c>
    </row>
    <row r="2300" spans="1:4" s="23" customFormat="1" ht="25.5" x14ac:dyDescent="0.25">
      <c r="A2300" s="667">
        <v>2285</v>
      </c>
      <c r="B2300" s="886" t="s">
        <v>6029</v>
      </c>
      <c r="C2300" s="885" t="s">
        <v>6030</v>
      </c>
      <c r="D2300" s="669">
        <v>3695231</v>
      </c>
    </row>
    <row r="2301" spans="1:4" s="23" customFormat="1" ht="25.5" x14ac:dyDescent="0.25">
      <c r="A2301" s="667">
        <v>2286</v>
      </c>
      <c r="B2301" s="886" t="s">
        <v>6031</v>
      </c>
      <c r="C2301" s="885" t="s">
        <v>6032</v>
      </c>
      <c r="D2301" s="669">
        <v>6128855.9299999997</v>
      </c>
    </row>
    <row r="2302" spans="1:4" s="23" customFormat="1" ht="38.25" x14ac:dyDescent="0.25">
      <c r="A2302" s="667">
        <v>2287</v>
      </c>
      <c r="B2302" s="886" t="s">
        <v>6033</v>
      </c>
      <c r="C2302" s="885" t="s">
        <v>6034</v>
      </c>
      <c r="D2302" s="669">
        <v>168698.03</v>
      </c>
    </row>
    <row r="2303" spans="1:4" s="23" customFormat="1" ht="25.5" x14ac:dyDescent="0.25">
      <c r="A2303" s="667">
        <v>2288</v>
      </c>
      <c r="B2303" s="886" t="s">
        <v>6035</v>
      </c>
      <c r="C2303" s="885" t="s">
        <v>6036</v>
      </c>
      <c r="D2303" s="669">
        <v>1232151.2</v>
      </c>
    </row>
    <row r="2304" spans="1:4" s="23" customFormat="1" ht="51" x14ac:dyDescent="0.25">
      <c r="A2304" s="667">
        <v>2289</v>
      </c>
      <c r="B2304" s="886" t="s">
        <v>6037</v>
      </c>
      <c r="C2304" s="885" t="s">
        <v>6038</v>
      </c>
      <c r="D2304" s="669">
        <v>1079306.83</v>
      </c>
    </row>
    <row r="2305" spans="1:4" s="23" customFormat="1" ht="51" x14ac:dyDescent="0.25">
      <c r="A2305" s="667">
        <v>2290</v>
      </c>
      <c r="B2305" s="886" t="s">
        <v>6039</v>
      </c>
      <c r="C2305" s="885" t="s">
        <v>6040</v>
      </c>
      <c r="D2305" s="669">
        <v>1895600.98</v>
      </c>
    </row>
    <row r="2306" spans="1:4" s="23" customFormat="1" ht="38.25" x14ac:dyDescent="0.25">
      <c r="A2306" s="667">
        <v>2291</v>
      </c>
      <c r="B2306" s="886" t="s">
        <v>6041</v>
      </c>
      <c r="C2306" s="885" t="s">
        <v>6042</v>
      </c>
      <c r="D2306" s="669">
        <v>1499969.94</v>
      </c>
    </row>
    <row r="2307" spans="1:4" s="23" customFormat="1" ht="38.25" x14ac:dyDescent="0.25">
      <c r="A2307" s="667">
        <v>2292</v>
      </c>
      <c r="B2307" s="886" t="s">
        <v>6043</v>
      </c>
      <c r="C2307" s="885" t="s">
        <v>6044</v>
      </c>
      <c r="D2307" s="669">
        <v>3232159.84</v>
      </c>
    </row>
    <row r="2308" spans="1:4" s="23" customFormat="1" x14ac:dyDescent="0.25">
      <c r="A2308" s="667">
        <v>2293</v>
      </c>
      <c r="B2308" s="886" t="s">
        <v>6045</v>
      </c>
      <c r="C2308" s="885" t="s">
        <v>6046</v>
      </c>
      <c r="D2308" s="669">
        <v>1438455.29</v>
      </c>
    </row>
    <row r="2309" spans="1:4" s="23" customFormat="1" ht="25.5" x14ac:dyDescent="0.25">
      <c r="A2309" s="667">
        <v>2294</v>
      </c>
      <c r="B2309" s="886" t="s">
        <v>6047</v>
      </c>
      <c r="C2309" s="885" t="s">
        <v>6048</v>
      </c>
      <c r="D2309" s="669">
        <v>477934.27</v>
      </c>
    </row>
    <row r="2310" spans="1:4" s="23" customFormat="1" x14ac:dyDescent="0.25">
      <c r="A2310" s="667">
        <v>2295</v>
      </c>
      <c r="B2310" s="886" t="s">
        <v>6049</v>
      </c>
      <c r="C2310" s="885" t="s">
        <v>6050</v>
      </c>
      <c r="D2310" s="669">
        <v>16983384.539999999</v>
      </c>
    </row>
    <row r="2311" spans="1:4" s="23" customFormat="1" ht="25.5" x14ac:dyDescent="0.25">
      <c r="A2311" s="667">
        <v>2296</v>
      </c>
      <c r="B2311" s="886" t="s">
        <v>6051</v>
      </c>
      <c r="C2311" s="885" t="s">
        <v>6052</v>
      </c>
      <c r="D2311" s="669">
        <v>465039.72</v>
      </c>
    </row>
    <row r="2312" spans="1:4" s="23" customFormat="1" x14ac:dyDescent="0.25">
      <c r="A2312" s="667">
        <v>2297</v>
      </c>
      <c r="B2312" s="886" t="s">
        <v>5799</v>
      </c>
      <c r="C2312" s="885" t="s">
        <v>6053</v>
      </c>
      <c r="D2312" s="669">
        <v>19871462.77</v>
      </c>
    </row>
    <row r="2313" spans="1:4" s="23" customFormat="1" x14ac:dyDescent="0.25">
      <c r="A2313" s="667">
        <v>2298</v>
      </c>
      <c r="B2313" s="886" t="s">
        <v>5799</v>
      </c>
      <c r="C2313" s="885" t="s">
        <v>6054</v>
      </c>
      <c r="D2313" s="669">
        <v>135448.35</v>
      </c>
    </row>
    <row r="2314" spans="1:4" s="23" customFormat="1" x14ac:dyDescent="0.25">
      <c r="A2314" s="667">
        <v>2299</v>
      </c>
      <c r="B2314" s="886" t="s">
        <v>5799</v>
      </c>
      <c r="C2314" s="885" t="s">
        <v>6055</v>
      </c>
      <c r="D2314" s="669">
        <v>488502.5</v>
      </c>
    </row>
    <row r="2315" spans="1:4" s="23" customFormat="1" x14ac:dyDescent="0.25">
      <c r="A2315" s="667">
        <v>2300</v>
      </c>
      <c r="B2315" s="886" t="s">
        <v>5799</v>
      </c>
      <c r="C2315" s="885" t="s">
        <v>6056</v>
      </c>
      <c r="D2315" s="669">
        <v>124598734.48</v>
      </c>
    </row>
    <row r="2316" spans="1:4" s="23" customFormat="1" x14ac:dyDescent="0.25">
      <c r="A2316" s="667">
        <v>2301</v>
      </c>
      <c r="B2316" s="886" t="s">
        <v>5799</v>
      </c>
      <c r="C2316" s="885" t="s">
        <v>6057</v>
      </c>
      <c r="D2316" s="669">
        <v>18846252.41</v>
      </c>
    </row>
    <row r="2317" spans="1:4" s="23" customFormat="1" x14ac:dyDescent="0.25">
      <c r="A2317" s="667">
        <v>2302</v>
      </c>
      <c r="B2317" s="886" t="s">
        <v>5799</v>
      </c>
      <c r="C2317" s="885" t="s">
        <v>6058</v>
      </c>
      <c r="D2317" s="669">
        <v>252597</v>
      </c>
    </row>
    <row r="2318" spans="1:4" s="23" customFormat="1" x14ac:dyDescent="0.25">
      <c r="A2318" s="667">
        <v>2303</v>
      </c>
      <c r="B2318" s="886" t="s">
        <v>5799</v>
      </c>
      <c r="C2318" s="885" t="s">
        <v>6059</v>
      </c>
      <c r="D2318" s="669">
        <v>19162077.350000001</v>
      </c>
    </row>
    <row r="2319" spans="1:4" s="23" customFormat="1" x14ac:dyDescent="0.25">
      <c r="A2319" s="667">
        <v>2304</v>
      </c>
      <c r="B2319" s="886" t="s">
        <v>5799</v>
      </c>
      <c r="C2319" s="885" t="s">
        <v>6060</v>
      </c>
      <c r="D2319" s="669">
        <v>6551372.3700000001</v>
      </c>
    </row>
    <row r="2320" spans="1:4" s="23" customFormat="1" x14ac:dyDescent="0.25">
      <c r="A2320" s="667">
        <v>2305</v>
      </c>
      <c r="B2320" s="886" t="s">
        <v>5799</v>
      </c>
      <c r="C2320" s="885" t="s">
        <v>6061</v>
      </c>
      <c r="D2320" s="669">
        <v>806.9</v>
      </c>
    </row>
    <row r="2321" spans="1:4" s="23" customFormat="1" x14ac:dyDescent="0.25">
      <c r="A2321" s="667">
        <v>2306</v>
      </c>
      <c r="B2321" s="886" t="s">
        <v>5799</v>
      </c>
      <c r="C2321" s="885" t="s">
        <v>6062</v>
      </c>
      <c r="D2321" s="669">
        <v>1272946.28</v>
      </c>
    </row>
    <row r="2322" spans="1:4" s="23" customFormat="1" x14ac:dyDescent="0.25">
      <c r="A2322" s="667">
        <v>2307</v>
      </c>
      <c r="B2322" s="886" t="s">
        <v>5799</v>
      </c>
      <c r="C2322" s="885" t="s">
        <v>6063</v>
      </c>
      <c r="D2322" s="669">
        <v>8085953.1900000004</v>
      </c>
    </row>
    <row r="2323" spans="1:4" s="23" customFormat="1" x14ac:dyDescent="0.25">
      <c r="A2323" s="667">
        <v>2308</v>
      </c>
      <c r="B2323" s="886" t="s">
        <v>5799</v>
      </c>
      <c r="C2323" s="885" t="s">
        <v>6064</v>
      </c>
      <c r="D2323" s="669">
        <v>665518.62</v>
      </c>
    </row>
    <row r="2324" spans="1:4" s="23" customFormat="1" x14ac:dyDescent="0.25">
      <c r="A2324" s="667">
        <v>2309</v>
      </c>
      <c r="B2324" s="886" t="s">
        <v>5799</v>
      </c>
      <c r="C2324" s="885" t="s">
        <v>6065</v>
      </c>
      <c r="D2324" s="669">
        <v>6982958.75</v>
      </c>
    </row>
    <row r="2325" spans="1:4" s="23" customFormat="1" x14ac:dyDescent="0.25">
      <c r="A2325" s="667">
        <v>2310</v>
      </c>
      <c r="B2325" s="886" t="s">
        <v>5799</v>
      </c>
      <c r="C2325" s="885" t="s">
        <v>6066</v>
      </c>
      <c r="D2325" s="669">
        <v>264456.34000000003</v>
      </c>
    </row>
    <row r="2326" spans="1:4" s="23" customFormat="1" x14ac:dyDescent="0.25">
      <c r="A2326" s="667">
        <v>2311</v>
      </c>
      <c r="B2326" s="886" t="s">
        <v>5799</v>
      </c>
      <c r="C2326" s="885" t="s">
        <v>6067</v>
      </c>
      <c r="D2326" s="669">
        <v>11291330.869999999</v>
      </c>
    </row>
    <row r="2327" spans="1:4" s="23" customFormat="1" x14ac:dyDescent="0.25">
      <c r="A2327" s="667">
        <v>2312</v>
      </c>
      <c r="B2327" s="886" t="s">
        <v>5799</v>
      </c>
      <c r="C2327" s="885" t="s">
        <v>6068</v>
      </c>
      <c r="D2327" s="669">
        <v>26500577.43</v>
      </c>
    </row>
    <row r="2328" spans="1:4" s="23" customFormat="1" x14ac:dyDescent="0.25">
      <c r="A2328" s="667">
        <v>2313</v>
      </c>
      <c r="B2328" s="886" t="s">
        <v>5799</v>
      </c>
      <c r="C2328" s="885" t="s">
        <v>6060</v>
      </c>
      <c r="D2328" s="669">
        <v>10860299.82</v>
      </c>
    </row>
    <row r="2329" spans="1:4" s="23" customFormat="1" x14ac:dyDescent="0.25">
      <c r="A2329" s="667">
        <v>2314</v>
      </c>
      <c r="B2329" s="886" t="s">
        <v>5799</v>
      </c>
      <c r="C2329" s="885" t="s">
        <v>6069</v>
      </c>
      <c r="D2329" s="669">
        <v>50162.13</v>
      </c>
    </row>
    <row r="2330" spans="1:4" s="23" customFormat="1" x14ac:dyDescent="0.25">
      <c r="A2330" s="667">
        <v>2315</v>
      </c>
      <c r="B2330" s="886" t="s">
        <v>5799</v>
      </c>
      <c r="C2330" s="885" t="s">
        <v>6070</v>
      </c>
      <c r="D2330" s="669">
        <v>127188.28</v>
      </c>
    </row>
    <row r="2331" spans="1:4" s="23" customFormat="1" x14ac:dyDescent="0.25">
      <c r="A2331" s="667">
        <v>2316</v>
      </c>
      <c r="B2331" s="886" t="s">
        <v>5799</v>
      </c>
      <c r="C2331" s="885" t="s">
        <v>6071</v>
      </c>
      <c r="D2331" s="669">
        <v>942657.42</v>
      </c>
    </row>
    <row r="2332" spans="1:4" s="23" customFormat="1" x14ac:dyDescent="0.25">
      <c r="A2332" s="667">
        <v>2317</v>
      </c>
      <c r="B2332" s="886" t="s">
        <v>5799</v>
      </c>
      <c r="C2332" s="885" t="s">
        <v>6072</v>
      </c>
      <c r="D2332" s="669">
        <v>32496685.780000001</v>
      </c>
    </row>
    <row r="2333" spans="1:4" s="23" customFormat="1" x14ac:dyDescent="0.25">
      <c r="A2333" s="667">
        <v>2318</v>
      </c>
      <c r="B2333" s="886" t="s">
        <v>5799</v>
      </c>
      <c r="C2333" s="885" t="s">
        <v>6073</v>
      </c>
      <c r="D2333" s="669">
        <v>16931296.649999999</v>
      </c>
    </row>
    <row r="2334" spans="1:4" s="23" customFormat="1" x14ac:dyDescent="0.25">
      <c r="A2334" s="667">
        <v>2319</v>
      </c>
      <c r="B2334" s="886" t="s">
        <v>5799</v>
      </c>
      <c r="C2334" s="885" t="s">
        <v>6074</v>
      </c>
      <c r="D2334" s="669">
        <v>4653406.3</v>
      </c>
    </row>
    <row r="2335" spans="1:4" s="23" customFormat="1" x14ac:dyDescent="0.25">
      <c r="A2335" s="667">
        <v>2320</v>
      </c>
      <c r="B2335" s="886" t="s">
        <v>5799</v>
      </c>
      <c r="C2335" s="885" t="s">
        <v>6075</v>
      </c>
      <c r="D2335" s="669">
        <v>439940.17</v>
      </c>
    </row>
    <row r="2336" spans="1:4" s="23" customFormat="1" x14ac:dyDescent="0.25">
      <c r="A2336" s="667">
        <v>2321</v>
      </c>
      <c r="B2336" s="886" t="s">
        <v>5799</v>
      </c>
      <c r="C2336" s="885" t="s">
        <v>6056</v>
      </c>
      <c r="D2336" s="669">
        <v>7568108.3899999997</v>
      </c>
    </row>
    <row r="2337" spans="1:5" s="23" customFormat="1" x14ac:dyDescent="0.25">
      <c r="A2337" s="667">
        <v>2322</v>
      </c>
      <c r="B2337" s="886" t="s">
        <v>5799</v>
      </c>
      <c r="C2337" s="885" t="s">
        <v>6076</v>
      </c>
      <c r="D2337" s="669">
        <v>323670.96999999997</v>
      </c>
    </row>
    <row r="2338" spans="1:5" s="23" customFormat="1" x14ac:dyDescent="0.25">
      <c r="A2338" s="667">
        <v>2323</v>
      </c>
      <c r="B2338" s="886" t="s">
        <v>5799</v>
      </c>
      <c r="C2338" s="885" t="s">
        <v>6077</v>
      </c>
      <c r="D2338" s="669">
        <v>1180147.6100000001</v>
      </c>
    </row>
    <row r="2339" spans="1:5" s="23" customFormat="1" x14ac:dyDescent="0.25">
      <c r="A2339" s="667">
        <v>2324</v>
      </c>
      <c r="B2339" s="886" t="s">
        <v>5806</v>
      </c>
      <c r="C2339" s="885" t="s">
        <v>6053</v>
      </c>
      <c r="D2339" s="669">
        <v>4870000.83</v>
      </c>
    </row>
    <row r="2340" spans="1:5" s="23" customFormat="1" x14ac:dyDescent="0.25">
      <c r="A2340" s="667">
        <v>2325</v>
      </c>
      <c r="B2340" s="886" t="s">
        <v>5806</v>
      </c>
      <c r="C2340" s="885" t="s">
        <v>6078</v>
      </c>
      <c r="D2340" s="669">
        <v>230502.58</v>
      </c>
    </row>
    <row r="2341" spans="1:5" s="23" customFormat="1" x14ac:dyDescent="0.25">
      <c r="A2341" s="667">
        <v>2326</v>
      </c>
      <c r="B2341" s="886" t="s">
        <v>5806</v>
      </c>
      <c r="C2341" s="885" t="s">
        <v>6079</v>
      </c>
      <c r="D2341" s="669">
        <v>8889431.2699999996</v>
      </c>
    </row>
    <row r="2342" spans="1:5" s="23" customFormat="1" x14ac:dyDescent="0.25">
      <c r="A2342" s="667">
        <v>2327</v>
      </c>
      <c r="B2342" s="886" t="s">
        <v>5806</v>
      </c>
      <c r="C2342" s="885" t="s">
        <v>6079</v>
      </c>
      <c r="D2342" s="669">
        <v>927400.49</v>
      </c>
    </row>
    <row r="2343" spans="1:5" s="23" customFormat="1" x14ac:dyDescent="0.25">
      <c r="A2343" s="667">
        <v>2328</v>
      </c>
      <c r="B2343" s="886" t="s">
        <v>5806</v>
      </c>
      <c r="C2343" s="885" t="s">
        <v>6057</v>
      </c>
      <c r="D2343" s="669">
        <v>327719</v>
      </c>
    </row>
    <row r="2344" spans="1:5" s="23" customFormat="1" x14ac:dyDescent="0.25">
      <c r="A2344" s="667">
        <v>2329</v>
      </c>
      <c r="B2344" s="886" t="s">
        <v>5806</v>
      </c>
      <c r="C2344" s="885" t="s">
        <v>6059</v>
      </c>
      <c r="D2344" s="669">
        <v>1458140.27</v>
      </c>
    </row>
    <row r="2345" spans="1:5" s="23" customFormat="1" x14ac:dyDescent="0.25">
      <c r="A2345" s="667">
        <v>2330</v>
      </c>
      <c r="B2345" s="886" t="s">
        <v>5806</v>
      </c>
      <c r="C2345" s="885" t="s">
        <v>6060</v>
      </c>
      <c r="D2345" s="669">
        <v>901408.7</v>
      </c>
    </row>
    <row r="2346" spans="1:5" s="23" customFormat="1" x14ac:dyDescent="0.25">
      <c r="A2346" s="667">
        <v>2331</v>
      </c>
      <c r="B2346" s="886" t="s">
        <v>5806</v>
      </c>
      <c r="C2346" s="885" t="s">
        <v>6070</v>
      </c>
      <c r="D2346" s="669">
        <v>36000</v>
      </c>
    </row>
    <row r="2347" spans="1:5" s="23" customFormat="1" x14ac:dyDescent="0.25">
      <c r="A2347" s="667">
        <v>2332</v>
      </c>
      <c r="B2347" s="886" t="s">
        <v>5806</v>
      </c>
      <c r="C2347" s="885" t="s">
        <v>6080</v>
      </c>
      <c r="D2347" s="669">
        <v>27633017.23</v>
      </c>
    </row>
    <row r="2348" spans="1:5" s="23" customFormat="1" x14ac:dyDescent="0.25">
      <c r="A2348" s="667">
        <v>2333</v>
      </c>
      <c r="B2348" s="886" t="s">
        <v>5800</v>
      </c>
      <c r="C2348" s="885" t="s">
        <v>6057</v>
      </c>
      <c r="D2348" s="669">
        <v>1750000</v>
      </c>
      <c r="E2348" s="23" t="s">
        <v>241</v>
      </c>
    </row>
    <row r="2349" spans="1:5" s="23" customFormat="1" x14ac:dyDescent="0.25">
      <c r="A2349" s="667">
        <v>2334</v>
      </c>
      <c r="B2349" s="886" t="s">
        <v>5800</v>
      </c>
      <c r="C2349" s="885" t="s">
        <v>6081</v>
      </c>
      <c r="D2349" s="669">
        <v>19588214.440000001</v>
      </c>
    </row>
    <row r="2350" spans="1:5" s="23" customFormat="1" x14ac:dyDescent="0.25">
      <c r="A2350" s="667">
        <v>2335</v>
      </c>
      <c r="B2350" s="886" t="s">
        <v>5800</v>
      </c>
      <c r="C2350" s="885" t="s">
        <v>6082</v>
      </c>
      <c r="D2350" s="669">
        <v>7445976.8200000003</v>
      </c>
    </row>
    <row r="2351" spans="1:5" x14ac:dyDescent="0.3">
      <c r="C2351" s="668" t="s">
        <v>6083</v>
      </c>
      <c r="D2351" s="887">
        <f>SUM(D2119:D2350)</f>
        <v>2242808132.8999996</v>
      </c>
    </row>
    <row r="2352" spans="1:5" x14ac:dyDescent="0.3">
      <c r="A2352" s="1442"/>
      <c r="B2352" s="1442"/>
      <c r="C2352" s="1442"/>
      <c r="D2352" s="1442"/>
    </row>
    <row r="2353" spans="1:1" x14ac:dyDescent="0.3">
      <c r="A2353" s="334" t="s">
        <v>240</v>
      </c>
    </row>
    <row r="2354" spans="1:1" x14ac:dyDescent="0.3">
      <c r="A2354" s="334"/>
    </row>
    <row r="2355" spans="1:1" x14ac:dyDescent="0.3">
      <c r="A2355" s="334"/>
    </row>
    <row r="2356" spans="1:1" x14ac:dyDescent="0.3">
      <c r="A2356" s="334"/>
    </row>
    <row r="2357" spans="1:1" x14ac:dyDescent="0.3">
      <c r="A2357" s="334"/>
    </row>
  </sheetData>
  <mergeCells count="10">
    <mergeCell ref="A2352:D2352"/>
    <mergeCell ref="D2206:D2213"/>
    <mergeCell ref="D2226:D2236"/>
    <mergeCell ref="A1:D1"/>
    <mergeCell ref="A2:D2"/>
    <mergeCell ref="A3:D3"/>
    <mergeCell ref="B4:C4"/>
    <mergeCell ref="A6:B7"/>
    <mergeCell ref="C6:C7"/>
    <mergeCell ref="D6:D7"/>
  </mergeCells>
  <dataValidations count="4">
    <dataValidation type="decimal" allowBlank="1" showInputMessage="1" showErrorMessage="1" error="Solo se permiten números y decimales" sqref="D1778:D1787 D1795:D1817 D962:D1039 D1091:D1097 D2076:D2102 D2106:D2115" xr:uid="{67C6CC0B-F106-4278-8E96-F07E039124F3}"/>
    <dataValidation type="textLength" operator="lessThanOrEqual" allowBlank="1" showInputMessage="1" showErrorMessage="1" sqref="B972:B974 B983:B986 B988:B1018 B962:B970 B976:B981" xr:uid="{A063BF14-66AA-47CD-A9C1-7B485F26FD82}">
      <formula1>200</formula1>
    </dataValidation>
    <dataValidation type="date" allowBlank="1" showInputMessage="1" showErrorMessage="1" error="Solo fechas con formato dd-mm-aaaa" sqref="C1786:C1787 C1090 C1040:C1088 C1917:C1923" xr:uid="{F47EA16C-89A5-4DDA-ABC6-B43BE068ECDF}"/>
    <dataValidation type="whole" allowBlank="1" showInputMessage="1" showErrorMessage="1" error="Nota: Ver el número correspondiente en las pestañas" sqref="D1077:D1090 D1040:D1075 D1917:D1923" xr:uid="{41FCF4AA-4E05-438F-BA41-AD8435CED408}"/>
  </dataValidations>
  <printOptions horizontalCentered="1"/>
  <pageMargins left="0.11811023622047245" right="0.11811023622047245" top="0.74803149606299213" bottom="0.74803149606299213" header="0.31496062992125984" footer="0.31496062992125984"/>
  <pageSetup scale="89" fitToHeight="100" orientation="portrait" verticalDpi="0" r:id="rId1"/>
  <headerFooter>
    <oddFooter>&amp;C&amp;P</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0" tint="-4.9989318521683403E-2"/>
  </sheetPr>
  <dimension ref="A1:J37"/>
  <sheetViews>
    <sheetView view="pageBreakPreview" zoomScaleSheetLayoutView="100" workbookViewId="0">
      <selection activeCell="C56" sqref="C56"/>
    </sheetView>
  </sheetViews>
  <sheetFormatPr baseColWidth="10" defaultColWidth="11.28515625" defaultRowHeight="16.5" x14ac:dyDescent="0.3"/>
  <cols>
    <col min="1" max="1" width="3.7109375" style="37" customWidth="1"/>
    <col min="2" max="2" width="35.7109375" style="37" customWidth="1"/>
    <col min="3" max="3" width="26.7109375" style="37" customWidth="1"/>
    <col min="4" max="5" width="15.7109375" style="37" customWidth="1"/>
    <col min="6" max="16384" width="11.28515625" style="37"/>
  </cols>
  <sheetData>
    <row r="1" spans="1:5" x14ac:dyDescent="0.3">
      <c r="A1" s="1447" t="str">
        <f>'[6]CPCA-I-01'!A1:G1</f>
        <v xml:space="preserve">Nombre de la Entidad </v>
      </c>
      <c r="B1" s="1447"/>
      <c r="C1" s="1447"/>
      <c r="D1" s="1447"/>
      <c r="E1" s="1447"/>
    </row>
    <row r="2" spans="1:5" x14ac:dyDescent="0.3">
      <c r="A2" s="652"/>
      <c r="B2" s="652"/>
      <c r="C2" s="652" t="s">
        <v>1778</v>
      </c>
      <c r="D2" s="652"/>
      <c r="E2" s="652"/>
    </row>
    <row r="3" spans="1:5" x14ac:dyDescent="0.3">
      <c r="A3" s="1357" t="str">
        <f>'CPCA-IV-02'!A3:E3</f>
        <v xml:space="preserve">Del  01 de Enero de 2023 al 31 de Diciembre de 2023 </v>
      </c>
      <c r="B3" s="1357"/>
      <c r="C3" s="1357"/>
      <c r="D3" s="1357"/>
      <c r="E3" s="1357"/>
    </row>
    <row r="4" spans="1:5" x14ac:dyDescent="0.3">
      <c r="A4" s="634"/>
      <c r="B4" s="634"/>
      <c r="C4" s="777" t="s">
        <v>1779</v>
      </c>
      <c r="D4" s="38"/>
      <c r="E4" s="634"/>
    </row>
    <row r="5" spans="1:5" ht="6.75" customHeight="1" thickBot="1" x14ac:dyDescent="0.35"/>
    <row r="6" spans="1:5" s="164" customFormat="1" ht="30" customHeight="1" x14ac:dyDescent="0.25">
      <c r="A6" s="1340" t="s">
        <v>1780</v>
      </c>
      <c r="B6" s="1341"/>
      <c r="C6" s="779" t="s">
        <v>1781</v>
      </c>
      <c r="D6" s="775" t="s">
        <v>1782</v>
      </c>
      <c r="E6" s="776" t="s">
        <v>1783</v>
      </c>
    </row>
    <row r="7" spans="1:5" s="164" customFormat="1" ht="30" customHeight="1" thickBot="1" x14ac:dyDescent="0.3">
      <c r="A7" s="1342"/>
      <c r="B7" s="1343"/>
      <c r="C7" s="250" t="s">
        <v>741</v>
      </c>
      <c r="D7" s="250" t="s">
        <v>742</v>
      </c>
      <c r="E7" s="251" t="s">
        <v>1784</v>
      </c>
    </row>
    <row r="8" spans="1:5" s="164" customFormat="1" ht="12.75" customHeight="1" x14ac:dyDescent="0.25">
      <c r="A8" s="1344"/>
      <c r="B8" s="1448"/>
      <c r="C8" s="1345"/>
      <c r="D8" s="1345"/>
      <c r="E8" s="1449"/>
    </row>
    <row r="9" spans="1:5" s="164" customFormat="1" ht="20.25" customHeight="1" x14ac:dyDescent="0.25">
      <c r="A9" s="252">
        <v>1</v>
      </c>
      <c r="B9" s="253"/>
      <c r="C9" s="254"/>
      <c r="D9" s="255"/>
      <c r="E9" s="264" t="str">
        <f>IF(B9&lt;&gt;"",C9+D9,"")</f>
        <v/>
      </c>
    </row>
    <row r="10" spans="1:5" s="164" customFormat="1" ht="20.25" customHeight="1" x14ac:dyDescent="0.25">
      <c r="A10" s="252">
        <v>2</v>
      </c>
      <c r="B10" s="253"/>
      <c r="C10" s="254"/>
      <c r="D10" s="255"/>
      <c r="E10" s="264" t="str">
        <f t="shared" ref="E10:E18" si="0">IF(B10&lt;&gt;"",C10+D10,"")</f>
        <v/>
      </c>
    </row>
    <row r="11" spans="1:5" s="164" customFormat="1" ht="20.25" customHeight="1" x14ac:dyDescent="0.25">
      <c r="A11" s="252">
        <v>3</v>
      </c>
      <c r="B11" s="253"/>
      <c r="C11" s="254"/>
      <c r="D11" s="255"/>
      <c r="E11" s="264" t="str">
        <f t="shared" si="0"/>
        <v/>
      </c>
    </row>
    <row r="12" spans="1:5" s="164" customFormat="1" ht="20.25" customHeight="1" x14ac:dyDescent="0.25">
      <c r="A12" s="252">
        <v>4</v>
      </c>
      <c r="B12" s="253"/>
      <c r="C12" s="254"/>
      <c r="D12" s="255"/>
      <c r="E12" s="264" t="str">
        <f t="shared" si="0"/>
        <v/>
      </c>
    </row>
    <row r="13" spans="1:5" s="164" customFormat="1" ht="20.25" customHeight="1" x14ac:dyDescent="0.25">
      <c r="A13" s="252">
        <v>5</v>
      </c>
      <c r="B13" s="253"/>
      <c r="C13" s="254"/>
      <c r="D13" s="255"/>
      <c r="E13" s="264" t="str">
        <f t="shared" si="0"/>
        <v/>
      </c>
    </row>
    <row r="14" spans="1:5" s="164" customFormat="1" ht="20.25" customHeight="1" x14ac:dyDescent="0.25">
      <c r="A14" s="252">
        <v>6</v>
      </c>
      <c r="B14" s="253"/>
      <c r="C14" s="254"/>
      <c r="D14" s="255"/>
      <c r="E14" s="264" t="str">
        <f t="shared" si="0"/>
        <v/>
      </c>
    </row>
    <row r="15" spans="1:5" s="164" customFormat="1" ht="20.25" customHeight="1" x14ac:dyDescent="0.25">
      <c r="A15" s="252">
        <v>7</v>
      </c>
      <c r="B15" s="253"/>
      <c r="C15" s="254"/>
      <c r="D15" s="255"/>
      <c r="E15" s="264" t="str">
        <f t="shared" si="0"/>
        <v/>
      </c>
    </row>
    <row r="16" spans="1:5" s="164" customFormat="1" ht="20.25" customHeight="1" x14ac:dyDescent="0.25">
      <c r="A16" s="252">
        <v>8</v>
      </c>
      <c r="B16" s="253"/>
      <c r="C16" s="254"/>
      <c r="D16" s="255"/>
      <c r="E16" s="264" t="str">
        <f t="shared" si="0"/>
        <v/>
      </c>
    </row>
    <row r="17" spans="1:7" s="164" customFormat="1" ht="20.25" customHeight="1" x14ac:dyDescent="0.25">
      <c r="A17" s="252">
        <v>9</v>
      </c>
      <c r="B17" s="253"/>
      <c r="C17" s="254"/>
      <c r="D17" s="255"/>
      <c r="E17" s="264" t="str">
        <f t="shared" si="0"/>
        <v/>
      </c>
    </row>
    <row r="18" spans="1:7" s="164" customFormat="1" ht="20.25" customHeight="1" x14ac:dyDescent="0.25">
      <c r="A18" s="252">
        <v>10</v>
      </c>
      <c r="B18" s="253"/>
      <c r="C18" s="254"/>
      <c r="D18" s="255"/>
      <c r="E18" s="264" t="str">
        <f t="shared" si="0"/>
        <v/>
      </c>
    </row>
    <row r="19" spans="1:7" s="164" customFormat="1" ht="20.25" customHeight="1" x14ac:dyDescent="0.25">
      <c r="A19" s="252"/>
      <c r="B19" s="257" t="s">
        <v>1785</v>
      </c>
      <c r="C19" s="262">
        <f>SUM(C9:C18)</f>
        <v>0</v>
      </c>
      <c r="D19" s="262">
        <f>SUM(D9:D18)</f>
        <v>0</v>
      </c>
      <c r="E19" s="264">
        <f>C19+D19</f>
        <v>0</v>
      </c>
      <c r="G19" s="780"/>
    </row>
    <row r="20" spans="1:7" s="164" customFormat="1" ht="21" customHeight="1" x14ac:dyDescent="0.25">
      <c r="A20" s="1336" t="s">
        <v>1786</v>
      </c>
      <c r="B20" s="1337"/>
      <c r="C20" s="1337"/>
      <c r="D20" s="1337"/>
      <c r="E20" s="1338"/>
    </row>
    <row r="21" spans="1:7" s="164" customFormat="1" ht="20.25" customHeight="1" x14ac:dyDescent="0.25">
      <c r="A21" s="252">
        <v>1</v>
      </c>
      <c r="B21" s="253"/>
      <c r="C21" s="254"/>
      <c r="D21" s="255"/>
      <c r="E21" s="264" t="str">
        <f>IF(B21&lt;&gt;"",C21+D21,"")</f>
        <v/>
      </c>
    </row>
    <row r="22" spans="1:7" s="164" customFormat="1" ht="20.25" customHeight="1" x14ac:dyDescent="0.25">
      <c r="A22" s="252">
        <v>2</v>
      </c>
      <c r="B22" s="253"/>
      <c r="C22" s="254"/>
      <c r="D22" s="255"/>
      <c r="E22" s="264" t="str">
        <f t="shared" ref="E22:E30" si="1">IF(B22&lt;&gt;"",C22+D22,"")</f>
        <v/>
      </c>
    </row>
    <row r="23" spans="1:7" s="164" customFormat="1" ht="20.25" customHeight="1" x14ac:dyDescent="0.25">
      <c r="A23" s="252">
        <v>3</v>
      </c>
      <c r="B23" s="253"/>
      <c r="C23" s="254"/>
      <c r="D23" s="255"/>
      <c r="E23" s="264" t="str">
        <f t="shared" si="1"/>
        <v/>
      </c>
    </row>
    <row r="24" spans="1:7" s="164" customFormat="1" ht="20.25" customHeight="1" x14ac:dyDescent="0.25">
      <c r="A24" s="252">
        <v>4</v>
      </c>
      <c r="B24" s="253"/>
      <c r="C24" s="254"/>
      <c r="D24" s="255"/>
      <c r="E24" s="264" t="str">
        <f t="shared" si="1"/>
        <v/>
      </c>
    </row>
    <row r="25" spans="1:7" s="164" customFormat="1" ht="20.25" customHeight="1" x14ac:dyDescent="0.25">
      <c r="A25" s="252">
        <v>5</v>
      </c>
      <c r="B25" s="253"/>
      <c r="C25" s="254"/>
      <c r="D25" s="255"/>
      <c r="E25" s="264" t="str">
        <f t="shared" si="1"/>
        <v/>
      </c>
    </row>
    <row r="26" spans="1:7" s="164" customFormat="1" ht="20.25" customHeight="1" x14ac:dyDescent="0.25">
      <c r="A26" s="252">
        <v>6</v>
      </c>
      <c r="B26" s="253"/>
      <c r="C26" s="254"/>
      <c r="D26" s="255"/>
      <c r="E26" s="264" t="str">
        <f t="shared" si="1"/>
        <v/>
      </c>
    </row>
    <row r="27" spans="1:7" s="164" customFormat="1" ht="20.25" customHeight="1" x14ac:dyDescent="0.25">
      <c r="A27" s="252">
        <v>7</v>
      </c>
      <c r="B27" s="253"/>
      <c r="C27" s="254"/>
      <c r="D27" s="255"/>
      <c r="E27" s="264" t="str">
        <f t="shared" si="1"/>
        <v/>
      </c>
    </row>
    <row r="28" spans="1:7" s="164" customFormat="1" ht="20.25" customHeight="1" x14ac:dyDescent="0.25">
      <c r="A28" s="252">
        <v>8</v>
      </c>
      <c r="B28" s="253"/>
      <c r="C28" s="254"/>
      <c r="D28" s="255"/>
      <c r="E28" s="264" t="str">
        <f t="shared" si="1"/>
        <v/>
      </c>
    </row>
    <row r="29" spans="1:7" s="164" customFormat="1" ht="20.25" customHeight="1" x14ac:dyDescent="0.25">
      <c r="A29" s="252">
        <v>9</v>
      </c>
      <c r="B29" s="253"/>
      <c r="C29" s="254"/>
      <c r="D29" s="255"/>
      <c r="E29" s="264" t="str">
        <f t="shared" si="1"/>
        <v/>
      </c>
    </row>
    <row r="30" spans="1:7" s="164" customFormat="1" ht="20.25" customHeight="1" x14ac:dyDescent="0.25">
      <c r="A30" s="252">
        <v>10</v>
      </c>
      <c r="B30" s="253"/>
      <c r="C30" s="254"/>
      <c r="D30" s="255"/>
      <c r="E30" s="264" t="str">
        <f t="shared" si="1"/>
        <v/>
      </c>
    </row>
    <row r="31" spans="1:7" s="48" customFormat="1" ht="22.5" customHeight="1" thickBot="1" x14ac:dyDescent="0.35">
      <c r="A31" s="252"/>
      <c r="B31" s="258" t="s">
        <v>1787</v>
      </c>
      <c r="C31" s="781">
        <f>SUM(C21:C30)</f>
        <v>0</v>
      </c>
      <c r="D31" s="782">
        <f>SUM(D21:D30)</f>
        <v>0</v>
      </c>
      <c r="E31" s="783">
        <f>C31+D31</f>
        <v>0</v>
      </c>
    </row>
    <row r="32" spans="1:7" ht="30.75" customHeight="1" thickBot="1" x14ac:dyDescent="0.35">
      <c r="A32" s="259"/>
      <c r="B32" s="260" t="s">
        <v>748</v>
      </c>
      <c r="C32" s="265">
        <f>SUM(C19,C31)</f>
        <v>0</v>
      </c>
      <c r="D32" s="265">
        <f>SUM(D19,D31)</f>
        <v>0</v>
      </c>
      <c r="E32" s="266">
        <f>SUM(E19,E31)</f>
        <v>0</v>
      </c>
    </row>
    <row r="33" spans="1:10" ht="30.75" customHeight="1" x14ac:dyDescent="0.3">
      <c r="A33" s="383"/>
      <c r="B33" s="384"/>
      <c r="C33" s="385"/>
      <c r="D33" s="385"/>
      <c r="E33" s="385"/>
    </row>
    <row r="34" spans="1:10" ht="30.75" customHeight="1" x14ac:dyDescent="0.3">
      <c r="A34" s="383"/>
      <c r="B34" s="384"/>
      <c r="C34" s="385"/>
      <c r="D34" s="385"/>
      <c r="E34" s="385"/>
    </row>
    <row r="35" spans="1:10" ht="30.75" customHeight="1" x14ac:dyDescent="0.3">
      <c r="A35" s="383"/>
      <c r="B35" s="384"/>
      <c r="C35" s="385"/>
      <c r="D35" s="385"/>
      <c r="E35" s="385"/>
    </row>
    <row r="36" spans="1:10" ht="12.75" customHeight="1" x14ac:dyDescent="0.3">
      <c r="J36" s="261"/>
    </row>
    <row r="37" spans="1:10" ht="20.25" x14ac:dyDescent="0.3">
      <c r="B37" s="784" t="s">
        <v>1788</v>
      </c>
    </row>
  </sheetData>
  <mergeCells count="5">
    <mergeCell ref="A1:E1"/>
    <mergeCell ref="A3:E3"/>
    <mergeCell ref="A6:B7"/>
    <mergeCell ref="A8:E8"/>
    <mergeCell ref="A20:E20"/>
  </mergeCells>
  <printOptions horizontalCentered="1"/>
  <pageMargins left="0.39370078740157483" right="0.39370078740157483" top="0.74803149606299213" bottom="0.74803149606299213" header="0.31496062992125984" footer="0.31496062992125984"/>
  <pageSetup scale="92"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0" tint="-4.9989318521683403E-2"/>
  </sheetPr>
  <dimension ref="A1"/>
  <sheetViews>
    <sheetView view="pageBreakPreview" topLeftCell="A7" zoomScale="154" zoomScaleSheetLayoutView="154" workbookViewId="0">
      <selection activeCell="C56" sqref="C56"/>
    </sheetView>
  </sheetViews>
  <sheetFormatPr baseColWidth="10" defaultRowHeight="15" x14ac:dyDescent="0.25"/>
  <sheetData/>
  <pageMargins left="0.7" right="0.7" top="0.75" bottom="0.75" header="0.3" footer="0.3"/>
  <pageSetup orientation="portrait" r:id="rId1"/>
  <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53FC4-BA27-42B4-BCEF-C821922CF7D2}">
  <dimension ref="A1:V624"/>
  <sheetViews>
    <sheetView tabSelected="1" topLeftCell="A580" zoomScale="80" zoomScaleNormal="80" workbookViewId="0">
      <selection activeCell="B599" sqref="B599"/>
    </sheetView>
  </sheetViews>
  <sheetFormatPr baseColWidth="10" defaultColWidth="11.42578125" defaultRowHeight="15" x14ac:dyDescent="0.25"/>
  <cols>
    <col min="1" max="1" width="15.7109375" customWidth="1"/>
    <col min="2" max="2" width="7.28515625" customWidth="1"/>
    <col min="3" max="3" width="8.42578125" customWidth="1"/>
    <col min="4" max="4" width="5.7109375" customWidth="1"/>
    <col min="5" max="5" width="13" customWidth="1"/>
    <col min="6" max="6" width="7.7109375" customWidth="1"/>
    <col min="7" max="8" width="6.42578125" customWidth="1"/>
    <col min="9" max="9" width="10.85546875" customWidth="1"/>
    <col min="10" max="10" width="7.7109375" customWidth="1"/>
    <col min="11" max="11" width="5.5703125" customWidth="1"/>
    <col min="12" max="13" width="7.7109375" customWidth="1"/>
    <col min="14" max="14" width="9.85546875" customWidth="1"/>
    <col min="15" max="15" width="3.42578125" customWidth="1"/>
    <col min="16" max="16" width="16" bestFit="1" customWidth="1"/>
    <col min="17" max="18" width="17.85546875" bestFit="1" customWidth="1"/>
    <col min="19" max="19" width="17.85546875" customWidth="1"/>
    <col min="20" max="20" width="18.7109375" customWidth="1"/>
    <col min="21" max="21" width="22.5703125" customWidth="1"/>
    <col min="22" max="22" width="19.5703125" customWidth="1"/>
    <col min="233" max="233" width="15.7109375" customWidth="1"/>
    <col min="234" max="234" width="7.28515625" customWidth="1"/>
    <col min="235" max="235" width="8.42578125" customWidth="1"/>
    <col min="236" max="236" width="5.7109375" customWidth="1"/>
    <col min="237" max="237" width="13" customWidth="1"/>
    <col min="238" max="238" width="7.7109375" customWidth="1"/>
    <col min="239" max="240" width="6.42578125" customWidth="1"/>
    <col min="241" max="241" width="12" customWidth="1"/>
    <col min="242" max="242" width="6" customWidth="1"/>
    <col min="243" max="243" width="6.42578125" customWidth="1"/>
    <col min="244" max="244" width="10.42578125" customWidth="1"/>
    <col min="245" max="245" width="7.85546875" customWidth="1"/>
    <col min="246" max="246" width="8.85546875" customWidth="1"/>
    <col min="247" max="247" width="7.42578125" customWidth="1"/>
    <col min="248" max="254" width="16.28515625" customWidth="1"/>
    <col min="489" max="489" width="15.7109375" customWidth="1"/>
    <col min="490" max="490" width="7.28515625" customWidth="1"/>
    <col min="491" max="491" width="8.42578125" customWidth="1"/>
    <col min="492" max="492" width="5.7109375" customWidth="1"/>
    <col min="493" max="493" width="13" customWidth="1"/>
    <col min="494" max="494" width="7.7109375" customWidth="1"/>
    <col min="495" max="496" width="6.42578125" customWidth="1"/>
    <col min="497" max="497" width="12" customWidth="1"/>
    <col min="498" max="498" width="6" customWidth="1"/>
    <col min="499" max="499" width="6.42578125" customWidth="1"/>
    <col min="500" max="500" width="10.42578125" customWidth="1"/>
    <col min="501" max="501" width="7.85546875" customWidth="1"/>
    <col min="502" max="502" width="8.85546875" customWidth="1"/>
    <col min="503" max="503" width="7.42578125" customWidth="1"/>
    <col min="504" max="510" width="16.28515625" customWidth="1"/>
    <col min="745" max="745" width="15.7109375" customWidth="1"/>
    <col min="746" max="746" width="7.28515625" customWidth="1"/>
    <col min="747" max="747" width="8.42578125" customWidth="1"/>
    <col min="748" max="748" width="5.7109375" customWidth="1"/>
    <col min="749" max="749" width="13" customWidth="1"/>
    <col min="750" max="750" width="7.7109375" customWidth="1"/>
    <col min="751" max="752" width="6.42578125" customWidth="1"/>
    <col min="753" max="753" width="12" customWidth="1"/>
    <col min="754" max="754" width="6" customWidth="1"/>
    <col min="755" max="755" width="6.42578125" customWidth="1"/>
    <col min="756" max="756" width="10.42578125" customWidth="1"/>
    <col min="757" max="757" width="7.85546875" customWidth="1"/>
    <col min="758" max="758" width="8.85546875" customWidth="1"/>
    <col min="759" max="759" width="7.42578125" customWidth="1"/>
    <col min="760" max="766" width="16.28515625" customWidth="1"/>
    <col min="1001" max="1001" width="15.7109375" customWidth="1"/>
    <col min="1002" max="1002" width="7.28515625" customWidth="1"/>
    <col min="1003" max="1003" width="8.42578125" customWidth="1"/>
    <col min="1004" max="1004" width="5.7109375" customWidth="1"/>
    <col min="1005" max="1005" width="13" customWidth="1"/>
    <col min="1006" max="1006" width="7.7109375" customWidth="1"/>
    <col min="1007" max="1008" width="6.42578125" customWidth="1"/>
    <col min="1009" max="1009" width="12" customWidth="1"/>
    <col min="1010" max="1010" width="6" customWidth="1"/>
    <col min="1011" max="1011" width="6.42578125" customWidth="1"/>
    <col min="1012" max="1012" width="10.42578125" customWidth="1"/>
    <col min="1013" max="1013" width="7.85546875" customWidth="1"/>
    <col min="1014" max="1014" width="8.85546875" customWidth="1"/>
    <col min="1015" max="1015" width="7.42578125" customWidth="1"/>
    <col min="1016" max="1022" width="16.28515625" customWidth="1"/>
    <col min="1257" max="1257" width="15.7109375" customWidth="1"/>
    <col min="1258" max="1258" width="7.28515625" customWidth="1"/>
    <col min="1259" max="1259" width="8.42578125" customWidth="1"/>
    <col min="1260" max="1260" width="5.7109375" customWidth="1"/>
    <col min="1261" max="1261" width="13" customWidth="1"/>
    <col min="1262" max="1262" width="7.7109375" customWidth="1"/>
    <col min="1263" max="1264" width="6.42578125" customWidth="1"/>
    <col min="1265" max="1265" width="12" customWidth="1"/>
    <col min="1266" max="1266" width="6" customWidth="1"/>
    <col min="1267" max="1267" width="6.42578125" customWidth="1"/>
    <col min="1268" max="1268" width="10.42578125" customWidth="1"/>
    <col min="1269" max="1269" width="7.85546875" customWidth="1"/>
    <col min="1270" max="1270" width="8.85546875" customWidth="1"/>
    <col min="1271" max="1271" width="7.42578125" customWidth="1"/>
    <col min="1272" max="1278" width="16.28515625" customWidth="1"/>
    <col min="1513" max="1513" width="15.7109375" customWidth="1"/>
    <col min="1514" max="1514" width="7.28515625" customWidth="1"/>
    <col min="1515" max="1515" width="8.42578125" customWidth="1"/>
    <col min="1516" max="1516" width="5.7109375" customWidth="1"/>
    <col min="1517" max="1517" width="13" customWidth="1"/>
    <col min="1518" max="1518" width="7.7109375" customWidth="1"/>
    <col min="1519" max="1520" width="6.42578125" customWidth="1"/>
    <col min="1521" max="1521" width="12" customWidth="1"/>
    <col min="1522" max="1522" width="6" customWidth="1"/>
    <col min="1523" max="1523" width="6.42578125" customWidth="1"/>
    <col min="1524" max="1524" width="10.42578125" customWidth="1"/>
    <col min="1525" max="1525" width="7.85546875" customWidth="1"/>
    <col min="1526" max="1526" width="8.85546875" customWidth="1"/>
    <col min="1527" max="1527" width="7.42578125" customWidth="1"/>
    <col min="1528" max="1534" width="16.28515625" customWidth="1"/>
    <col min="1769" max="1769" width="15.7109375" customWidth="1"/>
    <col min="1770" max="1770" width="7.28515625" customWidth="1"/>
    <col min="1771" max="1771" width="8.42578125" customWidth="1"/>
    <col min="1772" max="1772" width="5.7109375" customWidth="1"/>
    <col min="1773" max="1773" width="13" customWidth="1"/>
    <col min="1774" max="1774" width="7.7109375" customWidth="1"/>
    <col min="1775" max="1776" width="6.42578125" customWidth="1"/>
    <col min="1777" max="1777" width="12" customWidth="1"/>
    <col min="1778" max="1778" width="6" customWidth="1"/>
    <col min="1779" max="1779" width="6.42578125" customWidth="1"/>
    <col min="1780" max="1780" width="10.42578125" customWidth="1"/>
    <col min="1781" max="1781" width="7.85546875" customWidth="1"/>
    <col min="1782" max="1782" width="8.85546875" customWidth="1"/>
    <col min="1783" max="1783" width="7.42578125" customWidth="1"/>
    <col min="1784" max="1790" width="16.28515625" customWidth="1"/>
    <col min="2025" max="2025" width="15.7109375" customWidth="1"/>
    <col min="2026" max="2026" width="7.28515625" customWidth="1"/>
    <col min="2027" max="2027" width="8.42578125" customWidth="1"/>
    <col min="2028" max="2028" width="5.7109375" customWidth="1"/>
    <col min="2029" max="2029" width="13" customWidth="1"/>
    <col min="2030" max="2030" width="7.7109375" customWidth="1"/>
    <col min="2031" max="2032" width="6.42578125" customWidth="1"/>
    <col min="2033" max="2033" width="12" customWidth="1"/>
    <col min="2034" max="2034" width="6" customWidth="1"/>
    <col min="2035" max="2035" width="6.42578125" customWidth="1"/>
    <col min="2036" max="2036" width="10.42578125" customWidth="1"/>
    <col min="2037" max="2037" width="7.85546875" customWidth="1"/>
    <col min="2038" max="2038" width="8.85546875" customWidth="1"/>
    <col min="2039" max="2039" width="7.42578125" customWidth="1"/>
    <col min="2040" max="2046" width="16.28515625" customWidth="1"/>
    <col min="2281" max="2281" width="15.7109375" customWidth="1"/>
    <col min="2282" max="2282" width="7.28515625" customWidth="1"/>
    <col min="2283" max="2283" width="8.42578125" customWidth="1"/>
    <col min="2284" max="2284" width="5.7109375" customWidth="1"/>
    <col min="2285" max="2285" width="13" customWidth="1"/>
    <col min="2286" max="2286" width="7.7109375" customWidth="1"/>
    <col min="2287" max="2288" width="6.42578125" customWidth="1"/>
    <col min="2289" max="2289" width="12" customWidth="1"/>
    <col min="2290" max="2290" width="6" customWidth="1"/>
    <col min="2291" max="2291" width="6.42578125" customWidth="1"/>
    <col min="2292" max="2292" width="10.42578125" customWidth="1"/>
    <col min="2293" max="2293" width="7.85546875" customWidth="1"/>
    <col min="2294" max="2294" width="8.85546875" customWidth="1"/>
    <col min="2295" max="2295" width="7.42578125" customWidth="1"/>
    <col min="2296" max="2302" width="16.28515625" customWidth="1"/>
    <col min="2537" max="2537" width="15.7109375" customWidth="1"/>
    <col min="2538" max="2538" width="7.28515625" customWidth="1"/>
    <col min="2539" max="2539" width="8.42578125" customWidth="1"/>
    <col min="2540" max="2540" width="5.7109375" customWidth="1"/>
    <col min="2541" max="2541" width="13" customWidth="1"/>
    <col min="2542" max="2542" width="7.7109375" customWidth="1"/>
    <col min="2543" max="2544" width="6.42578125" customWidth="1"/>
    <col min="2545" max="2545" width="12" customWidth="1"/>
    <col min="2546" max="2546" width="6" customWidth="1"/>
    <col min="2547" max="2547" width="6.42578125" customWidth="1"/>
    <col min="2548" max="2548" width="10.42578125" customWidth="1"/>
    <col min="2549" max="2549" width="7.85546875" customWidth="1"/>
    <col min="2550" max="2550" width="8.85546875" customWidth="1"/>
    <col min="2551" max="2551" width="7.42578125" customWidth="1"/>
    <col min="2552" max="2558" width="16.28515625" customWidth="1"/>
    <col min="2793" max="2793" width="15.7109375" customWidth="1"/>
    <col min="2794" max="2794" width="7.28515625" customWidth="1"/>
    <col min="2795" max="2795" width="8.42578125" customWidth="1"/>
    <col min="2796" max="2796" width="5.7109375" customWidth="1"/>
    <col min="2797" max="2797" width="13" customWidth="1"/>
    <col min="2798" max="2798" width="7.7109375" customWidth="1"/>
    <col min="2799" max="2800" width="6.42578125" customWidth="1"/>
    <col min="2801" max="2801" width="12" customWidth="1"/>
    <col min="2802" max="2802" width="6" customWidth="1"/>
    <col min="2803" max="2803" width="6.42578125" customWidth="1"/>
    <col min="2804" max="2804" width="10.42578125" customWidth="1"/>
    <col min="2805" max="2805" width="7.85546875" customWidth="1"/>
    <col min="2806" max="2806" width="8.85546875" customWidth="1"/>
    <col min="2807" max="2807" width="7.42578125" customWidth="1"/>
    <col min="2808" max="2814" width="16.28515625" customWidth="1"/>
    <col min="3049" max="3049" width="15.7109375" customWidth="1"/>
    <col min="3050" max="3050" width="7.28515625" customWidth="1"/>
    <col min="3051" max="3051" width="8.42578125" customWidth="1"/>
    <col min="3052" max="3052" width="5.7109375" customWidth="1"/>
    <col min="3053" max="3053" width="13" customWidth="1"/>
    <col min="3054" max="3054" width="7.7109375" customWidth="1"/>
    <col min="3055" max="3056" width="6.42578125" customWidth="1"/>
    <col min="3057" max="3057" width="12" customWidth="1"/>
    <col min="3058" max="3058" width="6" customWidth="1"/>
    <col min="3059" max="3059" width="6.42578125" customWidth="1"/>
    <col min="3060" max="3060" width="10.42578125" customWidth="1"/>
    <col min="3061" max="3061" width="7.85546875" customWidth="1"/>
    <col min="3062" max="3062" width="8.85546875" customWidth="1"/>
    <col min="3063" max="3063" width="7.42578125" customWidth="1"/>
    <col min="3064" max="3070" width="16.28515625" customWidth="1"/>
    <col min="3305" max="3305" width="15.7109375" customWidth="1"/>
    <col min="3306" max="3306" width="7.28515625" customWidth="1"/>
    <col min="3307" max="3307" width="8.42578125" customWidth="1"/>
    <col min="3308" max="3308" width="5.7109375" customWidth="1"/>
    <col min="3309" max="3309" width="13" customWidth="1"/>
    <col min="3310" max="3310" width="7.7109375" customWidth="1"/>
    <col min="3311" max="3312" width="6.42578125" customWidth="1"/>
    <col min="3313" max="3313" width="12" customWidth="1"/>
    <col min="3314" max="3314" width="6" customWidth="1"/>
    <col min="3315" max="3315" width="6.42578125" customWidth="1"/>
    <col min="3316" max="3316" width="10.42578125" customWidth="1"/>
    <col min="3317" max="3317" width="7.85546875" customWidth="1"/>
    <col min="3318" max="3318" width="8.85546875" customWidth="1"/>
    <col min="3319" max="3319" width="7.42578125" customWidth="1"/>
    <col min="3320" max="3326" width="16.28515625" customWidth="1"/>
    <col min="3561" max="3561" width="15.7109375" customWidth="1"/>
    <col min="3562" max="3562" width="7.28515625" customWidth="1"/>
    <col min="3563" max="3563" width="8.42578125" customWidth="1"/>
    <col min="3564" max="3564" width="5.7109375" customWidth="1"/>
    <col min="3565" max="3565" width="13" customWidth="1"/>
    <col min="3566" max="3566" width="7.7109375" customWidth="1"/>
    <col min="3567" max="3568" width="6.42578125" customWidth="1"/>
    <col min="3569" max="3569" width="12" customWidth="1"/>
    <col min="3570" max="3570" width="6" customWidth="1"/>
    <col min="3571" max="3571" width="6.42578125" customWidth="1"/>
    <col min="3572" max="3572" width="10.42578125" customWidth="1"/>
    <col min="3573" max="3573" width="7.85546875" customWidth="1"/>
    <col min="3574" max="3574" width="8.85546875" customWidth="1"/>
    <col min="3575" max="3575" width="7.42578125" customWidth="1"/>
    <col min="3576" max="3582" width="16.28515625" customWidth="1"/>
    <col min="3817" max="3817" width="15.7109375" customWidth="1"/>
    <col min="3818" max="3818" width="7.28515625" customWidth="1"/>
    <col min="3819" max="3819" width="8.42578125" customWidth="1"/>
    <col min="3820" max="3820" width="5.7109375" customWidth="1"/>
    <col min="3821" max="3821" width="13" customWidth="1"/>
    <col min="3822" max="3822" width="7.7109375" customWidth="1"/>
    <col min="3823" max="3824" width="6.42578125" customWidth="1"/>
    <col min="3825" max="3825" width="12" customWidth="1"/>
    <col min="3826" max="3826" width="6" customWidth="1"/>
    <col min="3827" max="3827" width="6.42578125" customWidth="1"/>
    <col min="3828" max="3828" width="10.42578125" customWidth="1"/>
    <col min="3829" max="3829" width="7.85546875" customWidth="1"/>
    <col min="3830" max="3830" width="8.85546875" customWidth="1"/>
    <col min="3831" max="3831" width="7.42578125" customWidth="1"/>
    <col min="3832" max="3838" width="16.28515625" customWidth="1"/>
    <col min="4073" max="4073" width="15.7109375" customWidth="1"/>
    <col min="4074" max="4074" width="7.28515625" customWidth="1"/>
    <col min="4075" max="4075" width="8.42578125" customWidth="1"/>
    <col min="4076" max="4076" width="5.7109375" customWidth="1"/>
    <col min="4077" max="4077" width="13" customWidth="1"/>
    <col min="4078" max="4078" width="7.7109375" customWidth="1"/>
    <col min="4079" max="4080" width="6.42578125" customWidth="1"/>
    <col min="4081" max="4081" width="12" customWidth="1"/>
    <col min="4082" max="4082" width="6" customWidth="1"/>
    <col min="4083" max="4083" width="6.42578125" customWidth="1"/>
    <col min="4084" max="4084" width="10.42578125" customWidth="1"/>
    <col min="4085" max="4085" width="7.85546875" customWidth="1"/>
    <col min="4086" max="4086" width="8.85546875" customWidth="1"/>
    <col min="4087" max="4087" width="7.42578125" customWidth="1"/>
    <col min="4088" max="4094" width="16.28515625" customWidth="1"/>
    <col min="4329" max="4329" width="15.7109375" customWidth="1"/>
    <col min="4330" max="4330" width="7.28515625" customWidth="1"/>
    <col min="4331" max="4331" width="8.42578125" customWidth="1"/>
    <col min="4332" max="4332" width="5.7109375" customWidth="1"/>
    <col min="4333" max="4333" width="13" customWidth="1"/>
    <col min="4334" max="4334" width="7.7109375" customWidth="1"/>
    <col min="4335" max="4336" width="6.42578125" customWidth="1"/>
    <col min="4337" max="4337" width="12" customWidth="1"/>
    <col min="4338" max="4338" width="6" customWidth="1"/>
    <col min="4339" max="4339" width="6.42578125" customWidth="1"/>
    <col min="4340" max="4340" width="10.42578125" customWidth="1"/>
    <col min="4341" max="4341" width="7.85546875" customWidth="1"/>
    <col min="4342" max="4342" width="8.85546875" customWidth="1"/>
    <col min="4343" max="4343" width="7.42578125" customWidth="1"/>
    <col min="4344" max="4350" width="16.28515625" customWidth="1"/>
    <col min="4585" max="4585" width="15.7109375" customWidth="1"/>
    <col min="4586" max="4586" width="7.28515625" customWidth="1"/>
    <col min="4587" max="4587" width="8.42578125" customWidth="1"/>
    <col min="4588" max="4588" width="5.7109375" customWidth="1"/>
    <col min="4589" max="4589" width="13" customWidth="1"/>
    <col min="4590" max="4590" width="7.7109375" customWidth="1"/>
    <col min="4591" max="4592" width="6.42578125" customWidth="1"/>
    <col min="4593" max="4593" width="12" customWidth="1"/>
    <col min="4594" max="4594" width="6" customWidth="1"/>
    <col min="4595" max="4595" width="6.42578125" customWidth="1"/>
    <col min="4596" max="4596" width="10.42578125" customWidth="1"/>
    <col min="4597" max="4597" width="7.85546875" customWidth="1"/>
    <col min="4598" max="4598" width="8.85546875" customWidth="1"/>
    <col min="4599" max="4599" width="7.42578125" customWidth="1"/>
    <col min="4600" max="4606" width="16.28515625" customWidth="1"/>
    <col min="4841" max="4841" width="15.7109375" customWidth="1"/>
    <col min="4842" max="4842" width="7.28515625" customWidth="1"/>
    <col min="4843" max="4843" width="8.42578125" customWidth="1"/>
    <col min="4844" max="4844" width="5.7109375" customWidth="1"/>
    <col min="4845" max="4845" width="13" customWidth="1"/>
    <col min="4846" max="4846" width="7.7109375" customWidth="1"/>
    <col min="4847" max="4848" width="6.42578125" customWidth="1"/>
    <col min="4849" max="4849" width="12" customWidth="1"/>
    <col min="4850" max="4850" width="6" customWidth="1"/>
    <col min="4851" max="4851" width="6.42578125" customWidth="1"/>
    <col min="4852" max="4852" width="10.42578125" customWidth="1"/>
    <col min="4853" max="4853" width="7.85546875" customWidth="1"/>
    <col min="4854" max="4854" width="8.85546875" customWidth="1"/>
    <col min="4855" max="4855" width="7.42578125" customWidth="1"/>
    <col min="4856" max="4862" width="16.28515625" customWidth="1"/>
    <col min="5097" max="5097" width="15.7109375" customWidth="1"/>
    <col min="5098" max="5098" width="7.28515625" customWidth="1"/>
    <col min="5099" max="5099" width="8.42578125" customWidth="1"/>
    <col min="5100" max="5100" width="5.7109375" customWidth="1"/>
    <col min="5101" max="5101" width="13" customWidth="1"/>
    <col min="5102" max="5102" width="7.7109375" customWidth="1"/>
    <col min="5103" max="5104" width="6.42578125" customWidth="1"/>
    <col min="5105" max="5105" width="12" customWidth="1"/>
    <col min="5106" max="5106" width="6" customWidth="1"/>
    <col min="5107" max="5107" width="6.42578125" customWidth="1"/>
    <col min="5108" max="5108" width="10.42578125" customWidth="1"/>
    <col min="5109" max="5109" width="7.85546875" customWidth="1"/>
    <col min="5110" max="5110" width="8.85546875" customWidth="1"/>
    <col min="5111" max="5111" width="7.42578125" customWidth="1"/>
    <col min="5112" max="5118" width="16.28515625" customWidth="1"/>
    <col min="5353" max="5353" width="15.7109375" customWidth="1"/>
    <col min="5354" max="5354" width="7.28515625" customWidth="1"/>
    <col min="5355" max="5355" width="8.42578125" customWidth="1"/>
    <col min="5356" max="5356" width="5.7109375" customWidth="1"/>
    <col min="5357" max="5357" width="13" customWidth="1"/>
    <col min="5358" max="5358" width="7.7109375" customWidth="1"/>
    <col min="5359" max="5360" width="6.42578125" customWidth="1"/>
    <col min="5361" max="5361" width="12" customWidth="1"/>
    <col min="5362" max="5362" width="6" customWidth="1"/>
    <col min="5363" max="5363" width="6.42578125" customWidth="1"/>
    <col min="5364" max="5364" width="10.42578125" customWidth="1"/>
    <col min="5365" max="5365" width="7.85546875" customWidth="1"/>
    <col min="5366" max="5366" width="8.85546875" customWidth="1"/>
    <col min="5367" max="5367" width="7.42578125" customWidth="1"/>
    <col min="5368" max="5374" width="16.28515625" customWidth="1"/>
    <col min="5609" max="5609" width="15.7109375" customWidth="1"/>
    <col min="5610" max="5610" width="7.28515625" customWidth="1"/>
    <col min="5611" max="5611" width="8.42578125" customWidth="1"/>
    <col min="5612" max="5612" width="5.7109375" customWidth="1"/>
    <col min="5613" max="5613" width="13" customWidth="1"/>
    <col min="5614" max="5614" width="7.7109375" customWidth="1"/>
    <col min="5615" max="5616" width="6.42578125" customWidth="1"/>
    <col min="5617" max="5617" width="12" customWidth="1"/>
    <col min="5618" max="5618" width="6" customWidth="1"/>
    <col min="5619" max="5619" width="6.42578125" customWidth="1"/>
    <col min="5620" max="5620" width="10.42578125" customWidth="1"/>
    <col min="5621" max="5621" width="7.85546875" customWidth="1"/>
    <col min="5622" max="5622" width="8.85546875" customWidth="1"/>
    <col min="5623" max="5623" width="7.42578125" customWidth="1"/>
    <col min="5624" max="5630" width="16.28515625" customWidth="1"/>
    <col min="5865" max="5865" width="15.7109375" customWidth="1"/>
    <col min="5866" max="5866" width="7.28515625" customWidth="1"/>
    <col min="5867" max="5867" width="8.42578125" customWidth="1"/>
    <col min="5868" max="5868" width="5.7109375" customWidth="1"/>
    <col min="5869" max="5869" width="13" customWidth="1"/>
    <col min="5870" max="5870" width="7.7109375" customWidth="1"/>
    <col min="5871" max="5872" width="6.42578125" customWidth="1"/>
    <col min="5873" max="5873" width="12" customWidth="1"/>
    <col min="5874" max="5874" width="6" customWidth="1"/>
    <col min="5875" max="5875" width="6.42578125" customWidth="1"/>
    <col min="5876" max="5876" width="10.42578125" customWidth="1"/>
    <col min="5877" max="5877" width="7.85546875" customWidth="1"/>
    <col min="5878" max="5878" width="8.85546875" customWidth="1"/>
    <col min="5879" max="5879" width="7.42578125" customWidth="1"/>
    <col min="5880" max="5886" width="16.28515625" customWidth="1"/>
    <col min="6121" max="6121" width="15.7109375" customWidth="1"/>
    <col min="6122" max="6122" width="7.28515625" customWidth="1"/>
    <col min="6123" max="6123" width="8.42578125" customWidth="1"/>
    <col min="6124" max="6124" width="5.7109375" customWidth="1"/>
    <col min="6125" max="6125" width="13" customWidth="1"/>
    <col min="6126" max="6126" width="7.7109375" customWidth="1"/>
    <col min="6127" max="6128" width="6.42578125" customWidth="1"/>
    <col min="6129" max="6129" width="12" customWidth="1"/>
    <col min="6130" max="6130" width="6" customWidth="1"/>
    <col min="6131" max="6131" width="6.42578125" customWidth="1"/>
    <col min="6132" max="6132" width="10.42578125" customWidth="1"/>
    <col min="6133" max="6133" width="7.85546875" customWidth="1"/>
    <col min="6134" max="6134" width="8.85546875" customWidth="1"/>
    <col min="6135" max="6135" width="7.42578125" customWidth="1"/>
    <col min="6136" max="6142" width="16.28515625" customWidth="1"/>
    <col min="6377" max="6377" width="15.7109375" customWidth="1"/>
    <col min="6378" max="6378" width="7.28515625" customWidth="1"/>
    <col min="6379" max="6379" width="8.42578125" customWidth="1"/>
    <col min="6380" max="6380" width="5.7109375" customWidth="1"/>
    <col min="6381" max="6381" width="13" customWidth="1"/>
    <col min="6382" max="6382" width="7.7109375" customWidth="1"/>
    <col min="6383" max="6384" width="6.42578125" customWidth="1"/>
    <col min="6385" max="6385" width="12" customWidth="1"/>
    <col min="6386" max="6386" width="6" customWidth="1"/>
    <col min="6387" max="6387" width="6.42578125" customWidth="1"/>
    <col min="6388" max="6388" width="10.42578125" customWidth="1"/>
    <col min="6389" max="6389" width="7.85546875" customWidth="1"/>
    <col min="6390" max="6390" width="8.85546875" customWidth="1"/>
    <col min="6391" max="6391" width="7.42578125" customWidth="1"/>
    <col min="6392" max="6398" width="16.28515625" customWidth="1"/>
    <col min="6633" max="6633" width="15.7109375" customWidth="1"/>
    <col min="6634" max="6634" width="7.28515625" customWidth="1"/>
    <col min="6635" max="6635" width="8.42578125" customWidth="1"/>
    <col min="6636" max="6636" width="5.7109375" customWidth="1"/>
    <col min="6637" max="6637" width="13" customWidth="1"/>
    <col min="6638" max="6638" width="7.7109375" customWidth="1"/>
    <col min="6639" max="6640" width="6.42578125" customWidth="1"/>
    <col min="6641" max="6641" width="12" customWidth="1"/>
    <col min="6642" max="6642" width="6" customWidth="1"/>
    <col min="6643" max="6643" width="6.42578125" customWidth="1"/>
    <col min="6644" max="6644" width="10.42578125" customWidth="1"/>
    <col min="6645" max="6645" width="7.85546875" customWidth="1"/>
    <col min="6646" max="6646" width="8.85546875" customWidth="1"/>
    <col min="6647" max="6647" width="7.42578125" customWidth="1"/>
    <col min="6648" max="6654" width="16.28515625" customWidth="1"/>
    <col min="6889" max="6889" width="15.7109375" customWidth="1"/>
    <col min="6890" max="6890" width="7.28515625" customWidth="1"/>
    <col min="6891" max="6891" width="8.42578125" customWidth="1"/>
    <col min="6892" max="6892" width="5.7109375" customWidth="1"/>
    <col min="6893" max="6893" width="13" customWidth="1"/>
    <col min="6894" max="6894" width="7.7109375" customWidth="1"/>
    <col min="6895" max="6896" width="6.42578125" customWidth="1"/>
    <col min="6897" max="6897" width="12" customWidth="1"/>
    <col min="6898" max="6898" width="6" customWidth="1"/>
    <col min="6899" max="6899" width="6.42578125" customWidth="1"/>
    <col min="6900" max="6900" width="10.42578125" customWidth="1"/>
    <col min="6901" max="6901" width="7.85546875" customWidth="1"/>
    <col min="6902" max="6902" width="8.85546875" customWidth="1"/>
    <col min="6903" max="6903" width="7.42578125" customWidth="1"/>
    <col min="6904" max="6910" width="16.28515625" customWidth="1"/>
    <col min="7145" max="7145" width="15.7109375" customWidth="1"/>
    <col min="7146" max="7146" width="7.28515625" customWidth="1"/>
    <col min="7147" max="7147" width="8.42578125" customWidth="1"/>
    <col min="7148" max="7148" width="5.7109375" customWidth="1"/>
    <col min="7149" max="7149" width="13" customWidth="1"/>
    <col min="7150" max="7150" width="7.7109375" customWidth="1"/>
    <col min="7151" max="7152" width="6.42578125" customWidth="1"/>
    <col min="7153" max="7153" width="12" customWidth="1"/>
    <col min="7154" max="7154" width="6" customWidth="1"/>
    <col min="7155" max="7155" width="6.42578125" customWidth="1"/>
    <col min="7156" max="7156" width="10.42578125" customWidth="1"/>
    <col min="7157" max="7157" width="7.85546875" customWidth="1"/>
    <col min="7158" max="7158" width="8.85546875" customWidth="1"/>
    <col min="7159" max="7159" width="7.42578125" customWidth="1"/>
    <col min="7160" max="7166" width="16.28515625" customWidth="1"/>
    <col min="7401" max="7401" width="15.7109375" customWidth="1"/>
    <col min="7402" max="7402" width="7.28515625" customWidth="1"/>
    <col min="7403" max="7403" width="8.42578125" customWidth="1"/>
    <col min="7404" max="7404" width="5.7109375" customWidth="1"/>
    <col min="7405" max="7405" width="13" customWidth="1"/>
    <col min="7406" max="7406" width="7.7109375" customWidth="1"/>
    <col min="7407" max="7408" width="6.42578125" customWidth="1"/>
    <col min="7409" max="7409" width="12" customWidth="1"/>
    <col min="7410" max="7410" width="6" customWidth="1"/>
    <col min="7411" max="7411" width="6.42578125" customWidth="1"/>
    <col min="7412" max="7412" width="10.42578125" customWidth="1"/>
    <col min="7413" max="7413" width="7.85546875" customWidth="1"/>
    <col min="7414" max="7414" width="8.85546875" customWidth="1"/>
    <col min="7415" max="7415" width="7.42578125" customWidth="1"/>
    <col min="7416" max="7422" width="16.28515625" customWidth="1"/>
    <col min="7657" max="7657" width="15.7109375" customWidth="1"/>
    <col min="7658" max="7658" width="7.28515625" customWidth="1"/>
    <col min="7659" max="7659" width="8.42578125" customWidth="1"/>
    <col min="7660" max="7660" width="5.7109375" customWidth="1"/>
    <col min="7661" max="7661" width="13" customWidth="1"/>
    <col min="7662" max="7662" width="7.7109375" customWidth="1"/>
    <col min="7663" max="7664" width="6.42578125" customWidth="1"/>
    <col min="7665" max="7665" width="12" customWidth="1"/>
    <col min="7666" max="7666" width="6" customWidth="1"/>
    <col min="7667" max="7667" width="6.42578125" customWidth="1"/>
    <col min="7668" max="7668" width="10.42578125" customWidth="1"/>
    <col min="7669" max="7669" width="7.85546875" customWidth="1"/>
    <col min="7670" max="7670" width="8.85546875" customWidth="1"/>
    <col min="7671" max="7671" width="7.42578125" customWidth="1"/>
    <col min="7672" max="7678" width="16.28515625" customWidth="1"/>
    <col min="7913" max="7913" width="15.7109375" customWidth="1"/>
    <col min="7914" max="7914" width="7.28515625" customWidth="1"/>
    <col min="7915" max="7915" width="8.42578125" customWidth="1"/>
    <col min="7916" max="7916" width="5.7109375" customWidth="1"/>
    <col min="7917" max="7917" width="13" customWidth="1"/>
    <col min="7918" max="7918" width="7.7109375" customWidth="1"/>
    <col min="7919" max="7920" width="6.42578125" customWidth="1"/>
    <col min="7921" max="7921" width="12" customWidth="1"/>
    <col min="7922" max="7922" width="6" customWidth="1"/>
    <col min="7923" max="7923" width="6.42578125" customWidth="1"/>
    <col min="7924" max="7924" width="10.42578125" customWidth="1"/>
    <col min="7925" max="7925" width="7.85546875" customWidth="1"/>
    <col min="7926" max="7926" width="8.85546875" customWidth="1"/>
    <col min="7927" max="7927" width="7.42578125" customWidth="1"/>
    <col min="7928" max="7934" width="16.28515625" customWidth="1"/>
    <col min="8169" max="8169" width="15.7109375" customWidth="1"/>
    <col min="8170" max="8170" width="7.28515625" customWidth="1"/>
    <col min="8171" max="8171" width="8.42578125" customWidth="1"/>
    <col min="8172" max="8172" width="5.7109375" customWidth="1"/>
    <col min="8173" max="8173" width="13" customWidth="1"/>
    <col min="8174" max="8174" width="7.7109375" customWidth="1"/>
    <col min="8175" max="8176" width="6.42578125" customWidth="1"/>
    <col min="8177" max="8177" width="12" customWidth="1"/>
    <col min="8178" max="8178" width="6" customWidth="1"/>
    <col min="8179" max="8179" width="6.42578125" customWidth="1"/>
    <col min="8180" max="8180" width="10.42578125" customWidth="1"/>
    <col min="8181" max="8181" width="7.85546875" customWidth="1"/>
    <col min="8182" max="8182" width="8.85546875" customWidth="1"/>
    <col min="8183" max="8183" width="7.42578125" customWidth="1"/>
    <col min="8184" max="8190" width="16.28515625" customWidth="1"/>
    <col min="8425" max="8425" width="15.7109375" customWidth="1"/>
    <col min="8426" max="8426" width="7.28515625" customWidth="1"/>
    <col min="8427" max="8427" width="8.42578125" customWidth="1"/>
    <col min="8428" max="8428" width="5.7109375" customWidth="1"/>
    <col min="8429" max="8429" width="13" customWidth="1"/>
    <col min="8430" max="8430" width="7.7109375" customWidth="1"/>
    <col min="8431" max="8432" width="6.42578125" customWidth="1"/>
    <col min="8433" max="8433" width="12" customWidth="1"/>
    <col min="8434" max="8434" width="6" customWidth="1"/>
    <col min="8435" max="8435" width="6.42578125" customWidth="1"/>
    <col min="8436" max="8436" width="10.42578125" customWidth="1"/>
    <col min="8437" max="8437" width="7.85546875" customWidth="1"/>
    <col min="8438" max="8438" width="8.85546875" customWidth="1"/>
    <col min="8439" max="8439" width="7.42578125" customWidth="1"/>
    <col min="8440" max="8446" width="16.28515625" customWidth="1"/>
    <col min="8681" max="8681" width="15.7109375" customWidth="1"/>
    <col min="8682" max="8682" width="7.28515625" customWidth="1"/>
    <col min="8683" max="8683" width="8.42578125" customWidth="1"/>
    <col min="8684" max="8684" width="5.7109375" customWidth="1"/>
    <col min="8685" max="8685" width="13" customWidth="1"/>
    <col min="8686" max="8686" width="7.7109375" customWidth="1"/>
    <col min="8687" max="8688" width="6.42578125" customWidth="1"/>
    <col min="8689" max="8689" width="12" customWidth="1"/>
    <col min="8690" max="8690" width="6" customWidth="1"/>
    <col min="8691" max="8691" width="6.42578125" customWidth="1"/>
    <col min="8692" max="8692" width="10.42578125" customWidth="1"/>
    <col min="8693" max="8693" width="7.85546875" customWidth="1"/>
    <col min="8694" max="8694" width="8.85546875" customWidth="1"/>
    <col min="8695" max="8695" width="7.42578125" customWidth="1"/>
    <col min="8696" max="8702" width="16.28515625" customWidth="1"/>
    <col min="8937" max="8937" width="15.7109375" customWidth="1"/>
    <col min="8938" max="8938" width="7.28515625" customWidth="1"/>
    <col min="8939" max="8939" width="8.42578125" customWidth="1"/>
    <col min="8940" max="8940" width="5.7109375" customWidth="1"/>
    <col min="8941" max="8941" width="13" customWidth="1"/>
    <col min="8942" max="8942" width="7.7109375" customWidth="1"/>
    <col min="8943" max="8944" width="6.42578125" customWidth="1"/>
    <col min="8945" max="8945" width="12" customWidth="1"/>
    <col min="8946" max="8946" width="6" customWidth="1"/>
    <col min="8947" max="8947" width="6.42578125" customWidth="1"/>
    <col min="8948" max="8948" width="10.42578125" customWidth="1"/>
    <col min="8949" max="8949" width="7.85546875" customWidth="1"/>
    <col min="8950" max="8950" width="8.85546875" customWidth="1"/>
    <col min="8951" max="8951" width="7.42578125" customWidth="1"/>
    <col min="8952" max="8958" width="16.28515625" customWidth="1"/>
    <col min="9193" max="9193" width="15.7109375" customWidth="1"/>
    <col min="9194" max="9194" width="7.28515625" customWidth="1"/>
    <col min="9195" max="9195" width="8.42578125" customWidth="1"/>
    <col min="9196" max="9196" width="5.7109375" customWidth="1"/>
    <col min="9197" max="9197" width="13" customWidth="1"/>
    <col min="9198" max="9198" width="7.7109375" customWidth="1"/>
    <col min="9199" max="9200" width="6.42578125" customWidth="1"/>
    <col min="9201" max="9201" width="12" customWidth="1"/>
    <col min="9202" max="9202" width="6" customWidth="1"/>
    <col min="9203" max="9203" width="6.42578125" customWidth="1"/>
    <col min="9204" max="9204" width="10.42578125" customWidth="1"/>
    <col min="9205" max="9205" width="7.85546875" customWidth="1"/>
    <col min="9206" max="9206" width="8.85546875" customWidth="1"/>
    <col min="9207" max="9207" width="7.42578125" customWidth="1"/>
    <col min="9208" max="9214" width="16.28515625" customWidth="1"/>
    <col min="9449" max="9449" width="15.7109375" customWidth="1"/>
    <col min="9450" max="9450" width="7.28515625" customWidth="1"/>
    <col min="9451" max="9451" width="8.42578125" customWidth="1"/>
    <col min="9452" max="9452" width="5.7109375" customWidth="1"/>
    <col min="9453" max="9453" width="13" customWidth="1"/>
    <col min="9454" max="9454" width="7.7109375" customWidth="1"/>
    <col min="9455" max="9456" width="6.42578125" customWidth="1"/>
    <col min="9457" max="9457" width="12" customWidth="1"/>
    <col min="9458" max="9458" width="6" customWidth="1"/>
    <col min="9459" max="9459" width="6.42578125" customWidth="1"/>
    <col min="9460" max="9460" width="10.42578125" customWidth="1"/>
    <col min="9461" max="9461" width="7.85546875" customWidth="1"/>
    <col min="9462" max="9462" width="8.85546875" customWidth="1"/>
    <col min="9463" max="9463" width="7.42578125" customWidth="1"/>
    <col min="9464" max="9470" width="16.28515625" customWidth="1"/>
    <col min="9705" max="9705" width="15.7109375" customWidth="1"/>
    <col min="9706" max="9706" width="7.28515625" customWidth="1"/>
    <col min="9707" max="9707" width="8.42578125" customWidth="1"/>
    <col min="9708" max="9708" width="5.7109375" customWidth="1"/>
    <col min="9709" max="9709" width="13" customWidth="1"/>
    <col min="9710" max="9710" width="7.7109375" customWidth="1"/>
    <col min="9711" max="9712" width="6.42578125" customWidth="1"/>
    <col min="9713" max="9713" width="12" customWidth="1"/>
    <col min="9714" max="9714" width="6" customWidth="1"/>
    <col min="9715" max="9715" width="6.42578125" customWidth="1"/>
    <col min="9716" max="9716" width="10.42578125" customWidth="1"/>
    <col min="9717" max="9717" width="7.85546875" customWidth="1"/>
    <col min="9718" max="9718" width="8.85546875" customWidth="1"/>
    <col min="9719" max="9719" width="7.42578125" customWidth="1"/>
    <col min="9720" max="9726" width="16.28515625" customWidth="1"/>
    <col min="9961" max="9961" width="15.7109375" customWidth="1"/>
    <col min="9962" max="9962" width="7.28515625" customWidth="1"/>
    <col min="9963" max="9963" width="8.42578125" customWidth="1"/>
    <col min="9964" max="9964" width="5.7109375" customWidth="1"/>
    <col min="9965" max="9965" width="13" customWidth="1"/>
    <col min="9966" max="9966" width="7.7109375" customWidth="1"/>
    <col min="9967" max="9968" width="6.42578125" customWidth="1"/>
    <col min="9969" max="9969" width="12" customWidth="1"/>
    <col min="9970" max="9970" width="6" customWidth="1"/>
    <col min="9971" max="9971" width="6.42578125" customWidth="1"/>
    <col min="9972" max="9972" width="10.42578125" customWidth="1"/>
    <col min="9973" max="9973" width="7.85546875" customWidth="1"/>
    <col min="9974" max="9974" width="8.85546875" customWidth="1"/>
    <col min="9975" max="9975" width="7.42578125" customWidth="1"/>
    <col min="9976" max="9982" width="16.28515625" customWidth="1"/>
    <col min="10217" max="10217" width="15.7109375" customWidth="1"/>
    <col min="10218" max="10218" width="7.28515625" customWidth="1"/>
    <col min="10219" max="10219" width="8.42578125" customWidth="1"/>
    <col min="10220" max="10220" width="5.7109375" customWidth="1"/>
    <col min="10221" max="10221" width="13" customWidth="1"/>
    <col min="10222" max="10222" width="7.7109375" customWidth="1"/>
    <col min="10223" max="10224" width="6.42578125" customWidth="1"/>
    <col min="10225" max="10225" width="12" customWidth="1"/>
    <col min="10226" max="10226" width="6" customWidth="1"/>
    <col min="10227" max="10227" width="6.42578125" customWidth="1"/>
    <col min="10228" max="10228" width="10.42578125" customWidth="1"/>
    <col min="10229" max="10229" width="7.85546875" customWidth="1"/>
    <col min="10230" max="10230" width="8.85546875" customWidth="1"/>
    <col min="10231" max="10231" width="7.42578125" customWidth="1"/>
    <col min="10232" max="10238" width="16.28515625" customWidth="1"/>
    <col min="10473" max="10473" width="15.7109375" customWidth="1"/>
    <col min="10474" max="10474" width="7.28515625" customWidth="1"/>
    <col min="10475" max="10475" width="8.42578125" customWidth="1"/>
    <col min="10476" max="10476" width="5.7109375" customWidth="1"/>
    <col min="10477" max="10477" width="13" customWidth="1"/>
    <col min="10478" max="10478" width="7.7109375" customWidth="1"/>
    <col min="10479" max="10480" width="6.42578125" customWidth="1"/>
    <col min="10481" max="10481" width="12" customWidth="1"/>
    <col min="10482" max="10482" width="6" customWidth="1"/>
    <col min="10483" max="10483" width="6.42578125" customWidth="1"/>
    <col min="10484" max="10484" width="10.42578125" customWidth="1"/>
    <col min="10485" max="10485" width="7.85546875" customWidth="1"/>
    <col min="10486" max="10486" width="8.85546875" customWidth="1"/>
    <col min="10487" max="10487" width="7.42578125" customWidth="1"/>
    <col min="10488" max="10494" width="16.28515625" customWidth="1"/>
    <col min="10729" max="10729" width="15.7109375" customWidth="1"/>
    <col min="10730" max="10730" width="7.28515625" customWidth="1"/>
    <col min="10731" max="10731" width="8.42578125" customWidth="1"/>
    <col min="10732" max="10732" width="5.7109375" customWidth="1"/>
    <col min="10733" max="10733" width="13" customWidth="1"/>
    <col min="10734" max="10734" width="7.7109375" customWidth="1"/>
    <col min="10735" max="10736" width="6.42578125" customWidth="1"/>
    <col min="10737" max="10737" width="12" customWidth="1"/>
    <col min="10738" max="10738" width="6" customWidth="1"/>
    <col min="10739" max="10739" width="6.42578125" customWidth="1"/>
    <col min="10740" max="10740" width="10.42578125" customWidth="1"/>
    <col min="10741" max="10741" width="7.85546875" customWidth="1"/>
    <col min="10742" max="10742" width="8.85546875" customWidth="1"/>
    <col min="10743" max="10743" width="7.42578125" customWidth="1"/>
    <col min="10744" max="10750" width="16.28515625" customWidth="1"/>
    <col min="10985" max="10985" width="15.7109375" customWidth="1"/>
    <col min="10986" max="10986" width="7.28515625" customWidth="1"/>
    <col min="10987" max="10987" width="8.42578125" customWidth="1"/>
    <col min="10988" max="10988" width="5.7109375" customWidth="1"/>
    <col min="10989" max="10989" width="13" customWidth="1"/>
    <col min="10990" max="10990" width="7.7109375" customWidth="1"/>
    <col min="10991" max="10992" width="6.42578125" customWidth="1"/>
    <col min="10993" max="10993" width="12" customWidth="1"/>
    <col min="10994" max="10994" width="6" customWidth="1"/>
    <col min="10995" max="10995" width="6.42578125" customWidth="1"/>
    <col min="10996" max="10996" width="10.42578125" customWidth="1"/>
    <col min="10997" max="10997" width="7.85546875" customWidth="1"/>
    <col min="10998" max="10998" width="8.85546875" customWidth="1"/>
    <col min="10999" max="10999" width="7.42578125" customWidth="1"/>
    <col min="11000" max="11006" width="16.28515625" customWidth="1"/>
    <col min="11241" max="11241" width="15.7109375" customWidth="1"/>
    <col min="11242" max="11242" width="7.28515625" customWidth="1"/>
    <col min="11243" max="11243" width="8.42578125" customWidth="1"/>
    <col min="11244" max="11244" width="5.7109375" customWidth="1"/>
    <col min="11245" max="11245" width="13" customWidth="1"/>
    <col min="11246" max="11246" width="7.7109375" customWidth="1"/>
    <col min="11247" max="11248" width="6.42578125" customWidth="1"/>
    <col min="11249" max="11249" width="12" customWidth="1"/>
    <col min="11250" max="11250" width="6" customWidth="1"/>
    <col min="11251" max="11251" width="6.42578125" customWidth="1"/>
    <col min="11252" max="11252" width="10.42578125" customWidth="1"/>
    <col min="11253" max="11253" width="7.85546875" customWidth="1"/>
    <col min="11254" max="11254" width="8.85546875" customWidth="1"/>
    <col min="11255" max="11255" width="7.42578125" customWidth="1"/>
    <col min="11256" max="11262" width="16.28515625" customWidth="1"/>
    <col min="11497" max="11497" width="15.7109375" customWidth="1"/>
    <col min="11498" max="11498" width="7.28515625" customWidth="1"/>
    <col min="11499" max="11499" width="8.42578125" customWidth="1"/>
    <col min="11500" max="11500" width="5.7109375" customWidth="1"/>
    <col min="11501" max="11501" width="13" customWidth="1"/>
    <col min="11502" max="11502" width="7.7109375" customWidth="1"/>
    <col min="11503" max="11504" width="6.42578125" customWidth="1"/>
    <col min="11505" max="11505" width="12" customWidth="1"/>
    <col min="11506" max="11506" width="6" customWidth="1"/>
    <col min="11507" max="11507" width="6.42578125" customWidth="1"/>
    <col min="11508" max="11508" width="10.42578125" customWidth="1"/>
    <col min="11509" max="11509" width="7.85546875" customWidth="1"/>
    <col min="11510" max="11510" width="8.85546875" customWidth="1"/>
    <col min="11511" max="11511" width="7.42578125" customWidth="1"/>
    <col min="11512" max="11518" width="16.28515625" customWidth="1"/>
    <col min="11753" max="11753" width="15.7109375" customWidth="1"/>
    <col min="11754" max="11754" width="7.28515625" customWidth="1"/>
    <col min="11755" max="11755" width="8.42578125" customWidth="1"/>
    <col min="11756" max="11756" width="5.7109375" customWidth="1"/>
    <col min="11757" max="11757" width="13" customWidth="1"/>
    <col min="11758" max="11758" width="7.7109375" customWidth="1"/>
    <col min="11759" max="11760" width="6.42578125" customWidth="1"/>
    <col min="11761" max="11761" width="12" customWidth="1"/>
    <col min="11762" max="11762" width="6" customWidth="1"/>
    <col min="11763" max="11763" width="6.42578125" customWidth="1"/>
    <col min="11764" max="11764" width="10.42578125" customWidth="1"/>
    <col min="11765" max="11765" width="7.85546875" customWidth="1"/>
    <col min="11766" max="11766" width="8.85546875" customWidth="1"/>
    <col min="11767" max="11767" width="7.42578125" customWidth="1"/>
    <col min="11768" max="11774" width="16.28515625" customWidth="1"/>
    <col min="12009" max="12009" width="15.7109375" customWidth="1"/>
    <col min="12010" max="12010" width="7.28515625" customWidth="1"/>
    <col min="12011" max="12011" width="8.42578125" customWidth="1"/>
    <col min="12012" max="12012" width="5.7109375" customWidth="1"/>
    <col min="12013" max="12013" width="13" customWidth="1"/>
    <col min="12014" max="12014" width="7.7109375" customWidth="1"/>
    <col min="12015" max="12016" width="6.42578125" customWidth="1"/>
    <col min="12017" max="12017" width="12" customWidth="1"/>
    <col min="12018" max="12018" width="6" customWidth="1"/>
    <col min="12019" max="12019" width="6.42578125" customWidth="1"/>
    <col min="12020" max="12020" width="10.42578125" customWidth="1"/>
    <col min="12021" max="12021" width="7.85546875" customWidth="1"/>
    <col min="12022" max="12022" width="8.85546875" customWidth="1"/>
    <col min="12023" max="12023" width="7.42578125" customWidth="1"/>
    <col min="12024" max="12030" width="16.28515625" customWidth="1"/>
    <col min="12265" max="12265" width="15.7109375" customWidth="1"/>
    <col min="12266" max="12266" width="7.28515625" customWidth="1"/>
    <col min="12267" max="12267" width="8.42578125" customWidth="1"/>
    <col min="12268" max="12268" width="5.7109375" customWidth="1"/>
    <col min="12269" max="12269" width="13" customWidth="1"/>
    <col min="12270" max="12270" width="7.7109375" customWidth="1"/>
    <col min="12271" max="12272" width="6.42578125" customWidth="1"/>
    <col min="12273" max="12273" width="12" customWidth="1"/>
    <col min="12274" max="12274" width="6" customWidth="1"/>
    <col min="12275" max="12275" width="6.42578125" customWidth="1"/>
    <col min="12276" max="12276" width="10.42578125" customWidth="1"/>
    <col min="12277" max="12277" width="7.85546875" customWidth="1"/>
    <col min="12278" max="12278" width="8.85546875" customWidth="1"/>
    <col min="12279" max="12279" width="7.42578125" customWidth="1"/>
    <col min="12280" max="12286" width="16.28515625" customWidth="1"/>
    <col min="12521" max="12521" width="15.7109375" customWidth="1"/>
    <col min="12522" max="12522" width="7.28515625" customWidth="1"/>
    <col min="12523" max="12523" width="8.42578125" customWidth="1"/>
    <col min="12524" max="12524" width="5.7109375" customWidth="1"/>
    <col min="12525" max="12525" width="13" customWidth="1"/>
    <col min="12526" max="12526" width="7.7109375" customWidth="1"/>
    <col min="12527" max="12528" width="6.42578125" customWidth="1"/>
    <col min="12529" max="12529" width="12" customWidth="1"/>
    <col min="12530" max="12530" width="6" customWidth="1"/>
    <col min="12531" max="12531" width="6.42578125" customWidth="1"/>
    <col min="12532" max="12532" width="10.42578125" customWidth="1"/>
    <col min="12533" max="12533" width="7.85546875" customWidth="1"/>
    <col min="12534" max="12534" width="8.85546875" customWidth="1"/>
    <col min="12535" max="12535" width="7.42578125" customWidth="1"/>
    <col min="12536" max="12542" width="16.28515625" customWidth="1"/>
    <col min="12777" max="12777" width="15.7109375" customWidth="1"/>
    <col min="12778" max="12778" width="7.28515625" customWidth="1"/>
    <col min="12779" max="12779" width="8.42578125" customWidth="1"/>
    <col min="12780" max="12780" width="5.7109375" customWidth="1"/>
    <col min="12781" max="12781" width="13" customWidth="1"/>
    <col min="12782" max="12782" width="7.7109375" customWidth="1"/>
    <col min="12783" max="12784" width="6.42578125" customWidth="1"/>
    <col min="12785" max="12785" width="12" customWidth="1"/>
    <col min="12786" max="12786" width="6" customWidth="1"/>
    <col min="12787" max="12787" width="6.42578125" customWidth="1"/>
    <col min="12788" max="12788" width="10.42578125" customWidth="1"/>
    <col min="12789" max="12789" width="7.85546875" customWidth="1"/>
    <col min="12790" max="12790" width="8.85546875" customWidth="1"/>
    <col min="12791" max="12791" width="7.42578125" customWidth="1"/>
    <col min="12792" max="12798" width="16.28515625" customWidth="1"/>
    <col min="13033" max="13033" width="15.7109375" customWidth="1"/>
    <col min="13034" max="13034" width="7.28515625" customWidth="1"/>
    <col min="13035" max="13035" width="8.42578125" customWidth="1"/>
    <col min="13036" max="13036" width="5.7109375" customWidth="1"/>
    <col min="13037" max="13037" width="13" customWidth="1"/>
    <col min="13038" max="13038" width="7.7109375" customWidth="1"/>
    <col min="13039" max="13040" width="6.42578125" customWidth="1"/>
    <col min="13041" max="13041" width="12" customWidth="1"/>
    <col min="13042" max="13042" width="6" customWidth="1"/>
    <col min="13043" max="13043" width="6.42578125" customWidth="1"/>
    <col min="13044" max="13044" width="10.42578125" customWidth="1"/>
    <col min="13045" max="13045" width="7.85546875" customWidth="1"/>
    <col min="13046" max="13046" width="8.85546875" customWidth="1"/>
    <col min="13047" max="13047" width="7.42578125" customWidth="1"/>
    <col min="13048" max="13054" width="16.28515625" customWidth="1"/>
    <col min="13289" max="13289" width="15.7109375" customWidth="1"/>
    <col min="13290" max="13290" width="7.28515625" customWidth="1"/>
    <col min="13291" max="13291" width="8.42578125" customWidth="1"/>
    <col min="13292" max="13292" width="5.7109375" customWidth="1"/>
    <col min="13293" max="13293" width="13" customWidth="1"/>
    <col min="13294" max="13294" width="7.7109375" customWidth="1"/>
    <col min="13295" max="13296" width="6.42578125" customWidth="1"/>
    <col min="13297" max="13297" width="12" customWidth="1"/>
    <col min="13298" max="13298" width="6" customWidth="1"/>
    <col min="13299" max="13299" width="6.42578125" customWidth="1"/>
    <col min="13300" max="13300" width="10.42578125" customWidth="1"/>
    <col min="13301" max="13301" width="7.85546875" customWidth="1"/>
    <col min="13302" max="13302" width="8.85546875" customWidth="1"/>
    <col min="13303" max="13303" width="7.42578125" customWidth="1"/>
    <col min="13304" max="13310" width="16.28515625" customWidth="1"/>
    <col min="13545" max="13545" width="15.7109375" customWidth="1"/>
    <col min="13546" max="13546" width="7.28515625" customWidth="1"/>
    <col min="13547" max="13547" width="8.42578125" customWidth="1"/>
    <col min="13548" max="13548" width="5.7109375" customWidth="1"/>
    <col min="13549" max="13549" width="13" customWidth="1"/>
    <col min="13550" max="13550" width="7.7109375" customWidth="1"/>
    <col min="13551" max="13552" width="6.42578125" customWidth="1"/>
    <col min="13553" max="13553" width="12" customWidth="1"/>
    <col min="13554" max="13554" width="6" customWidth="1"/>
    <col min="13555" max="13555" width="6.42578125" customWidth="1"/>
    <col min="13556" max="13556" width="10.42578125" customWidth="1"/>
    <col min="13557" max="13557" width="7.85546875" customWidth="1"/>
    <col min="13558" max="13558" width="8.85546875" customWidth="1"/>
    <col min="13559" max="13559" width="7.42578125" customWidth="1"/>
    <col min="13560" max="13566" width="16.28515625" customWidth="1"/>
    <col min="13801" max="13801" width="15.7109375" customWidth="1"/>
    <col min="13802" max="13802" width="7.28515625" customWidth="1"/>
    <col min="13803" max="13803" width="8.42578125" customWidth="1"/>
    <col min="13804" max="13804" width="5.7109375" customWidth="1"/>
    <col min="13805" max="13805" width="13" customWidth="1"/>
    <col min="13806" max="13806" width="7.7109375" customWidth="1"/>
    <col min="13807" max="13808" width="6.42578125" customWidth="1"/>
    <col min="13809" max="13809" width="12" customWidth="1"/>
    <col min="13810" max="13810" width="6" customWidth="1"/>
    <col min="13811" max="13811" width="6.42578125" customWidth="1"/>
    <col min="13812" max="13812" width="10.42578125" customWidth="1"/>
    <col min="13813" max="13813" width="7.85546875" customWidth="1"/>
    <col min="13814" max="13814" width="8.85546875" customWidth="1"/>
    <col min="13815" max="13815" width="7.42578125" customWidth="1"/>
    <col min="13816" max="13822" width="16.28515625" customWidth="1"/>
    <col min="14057" max="14057" width="15.7109375" customWidth="1"/>
    <col min="14058" max="14058" width="7.28515625" customWidth="1"/>
    <col min="14059" max="14059" width="8.42578125" customWidth="1"/>
    <col min="14060" max="14060" width="5.7109375" customWidth="1"/>
    <col min="14061" max="14061" width="13" customWidth="1"/>
    <col min="14062" max="14062" width="7.7109375" customWidth="1"/>
    <col min="14063" max="14064" width="6.42578125" customWidth="1"/>
    <col min="14065" max="14065" width="12" customWidth="1"/>
    <col min="14066" max="14066" width="6" customWidth="1"/>
    <col min="14067" max="14067" width="6.42578125" customWidth="1"/>
    <col min="14068" max="14068" width="10.42578125" customWidth="1"/>
    <col min="14069" max="14069" width="7.85546875" customWidth="1"/>
    <col min="14070" max="14070" width="8.85546875" customWidth="1"/>
    <col min="14071" max="14071" width="7.42578125" customWidth="1"/>
    <col min="14072" max="14078" width="16.28515625" customWidth="1"/>
    <col min="14313" max="14313" width="15.7109375" customWidth="1"/>
    <col min="14314" max="14314" width="7.28515625" customWidth="1"/>
    <col min="14315" max="14315" width="8.42578125" customWidth="1"/>
    <col min="14316" max="14316" width="5.7109375" customWidth="1"/>
    <col min="14317" max="14317" width="13" customWidth="1"/>
    <col min="14318" max="14318" width="7.7109375" customWidth="1"/>
    <col min="14319" max="14320" width="6.42578125" customWidth="1"/>
    <col min="14321" max="14321" width="12" customWidth="1"/>
    <col min="14322" max="14322" width="6" customWidth="1"/>
    <col min="14323" max="14323" width="6.42578125" customWidth="1"/>
    <col min="14324" max="14324" width="10.42578125" customWidth="1"/>
    <col min="14325" max="14325" width="7.85546875" customWidth="1"/>
    <col min="14326" max="14326" width="8.85546875" customWidth="1"/>
    <col min="14327" max="14327" width="7.42578125" customWidth="1"/>
    <col min="14328" max="14334" width="16.28515625" customWidth="1"/>
    <col min="14569" max="14569" width="15.7109375" customWidth="1"/>
    <col min="14570" max="14570" width="7.28515625" customWidth="1"/>
    <col min="14571" max="14571" width="8.42578125" customWidth="1"/>
    <col min="14572" max="14572" width="5.7109375" customWidth="1"/>
    <col min="14573" max="14573" width="13" customWidth="1"/>
    <col min="14574" max="14574" width="7.7109375" customWidth="1"/>
    <col min="14575" max="14576" width="6.42578125" customWidth="1"/>
    <col min="14577" max="14577" width="12" customWidth="1"/>
    <col min="14578" max="14578" width="6" customWidth="1"/>
    <col min="14579" max="14579" width="6.42578125" customWidth="1"/>
    <col min="14580" max="14580" width="10.42578125" customWidth="1"/>
    <col min="14581" max="14581" width="7.85546875" customWidth="1"/>
    <col min="14582" max="14582" width="8.85546875" customWidth="1"/>
    <col min="14583" max="14583" width="7.42578125" customWidth="1"/>
    <col min="14584" max="14590" width="16.28515625" customWidth="1"/>
    <col min="14825" max="14825" width="15.7109375" customWidth="1"/>
    <col min="14826" max="14826" width="7.28515625" customWidth="1"/>
    <col min="14827" max="14827" width="8.42578125" customWidth="1"/>
    <col min="14828" max="14828" width="5.7109375" customWidth="1"/>
    <col min="14829" max="14829" width="13" customWidth="1"/>
    <col min="14830" max="14830" width="7.7109375" customWidth="1"/>
    <col min="14831" max="14832" width="6.42578125" customWidth="1"/>
    <col min="14833" max="14833" width="12" customWidth="1"/>
    <col min="14834" max="14834" width="6" customWidth="1"/>
    <col min="14835" max="14835" width="6.42578125" customWidth="1"/>
    <col min="14836" max="14836" width="10.42578125" customWidth="1"/>
    <col min="14837" max="14837" width="7.85546875" customWidth="1"/>
    <col min="14838" max="14838" width="8.85546875" customWidth="1"/>
    <col min="14839" max="14839" width="7.42578125" customWidth="1"/>
    <col min="14840" max="14846" width="16.28515625" customWidth="1"/>
    <col min="15081" max="15081" width="15.7109375" customWidth="1"/>
    <col min="15082" max="15082" width="7.28515625" customWidth="1"/>
    <col min="15083" max="15083" width="8.42578125" customWidth="1"/>
    <col min="15084" max="15084" width="5.7109375" customWidth="1"/>
    <col min="15085" max="15085" width="13" customWidth="1"/>
    <col min="15086" max="15086" width="7.7109375" customWidth="1"/>
    <col min="15087" max="15088" width="6.42578125" customWidth="1"/>
    <col min="15089" max="15089" width="12" customWidth="1"/>
    <col min="15090" max="15090" width="6" customWidth="1"/>
    <col min="15091" max="15091" width="6.42578125" customWidth="1"/>
    <col min="15092" max="15092" width="10.42578125" customWidth="1"/>
    <col min="15093" max="15093" width="7.85546875" customWidth="1"/>
    <col min="15094" max="15094" width="8.85546875" customWidth="1"/>
    <col min="15095" max="15095" width="7.42578125" customWidth="1"/>
    <col min="15096" max="15102" width="16.28515625" customWidth="1"/>
    <col min="15337" max="15337" width="15.7109375" customWidth="1"/>
    <col min="15338" max="15338" width="7.28515625" customWidth="1"/>
    <col min="15339" max="15339" width="8.42578125" customWidth="1"/>
    <col min="15340" max="15340" width="5.7109375" customWidth="1"/>
    <col min="15341" max="15341" width="13" customWidth="1"/>
    <col min="15342" max="15342" width="7.7109375" customWidth="1"/>
    <col min="15343" max="15344" width="6.42578125" customWidth="1"/>
    <col min="15345" max="15345" width="12" customWidth="1"/>
    <col min="15346" max="15346" width="6" customWidth="1"/>
    <col min="15347" max="15347" width="6.42578125" customWidth="1"/>
    <col min="15348" max="15348" width="10.42578125" customWidth="1"/>
    <col min="15349" max="15349" width="7.85546875" customWidth="1"/>
    <col min="15350" max="15350" width="8.85546875" customWidth="1"/>
    <col min="15351" max="15351" width="7.42578125" customWidth="1"/>
    <col min="15352" max="15358" width="16.28515625" customWidth="1"/>
    <col min="15593" max="15593" width="15.7109375" customWidth="1"/>
    <col min="15594" max="15594" width="7.28515625" customWidth="1"/>
    <col min="15595" max="15595" width="8.42578125" customWidth="1"/>
    <col min="15596" max="15596" width="5.7109375" customWidth="1"/>
    <col min="15597" max="15597" width="13" customWidth="1"/>
    <col min="15598" max="15598" width="7.7109375" customWidth="1"/>
    <col min="15599" max="15600" width="6.42578125" customWidth="1"/>
    <col min="15601" max="15601" width="12" customWidth="1"/>
    <col min="15602" max="15602" width="6" customWidth="1"/>
    <col min="15603" max="15603" width="6.42578125" customWidth="1"/>
    <col min="15604" max="15604" width="10.42578125" customWidth="1"/>
    <col min="15605" max="15605" width="7.85546875" customWidth="1"/>
    <col min="15606" max="15606" width="8.85546875" customWidth="1"/>
    <col min="15607" max="15607" width="7.42578125" customWidth="1"/>
    <col min="15608" max="15614" width="16.28515625" customWidth="1"/>
    <col min="15849" max="15849" width="15.7109375" customWidth="1"/>
    <col min="15850" max="15850" width="7.28515625" customWidth="1"/>
    <col min="15851" max="15851" width="8.42578125" customWidth="1"/>
    <col min="15852" max="15852" width="5.7109375" customWidth="1"/>
    <col min="15853" max="15853" width="13" customWidth="1"/>
    <col min="15854" max="15854" width="7.7109375" customWidth="1"/>
    <col min="15855" max="15856" width="6.42578125" customWidth="1"/>
    <col min="15857" max="15857" width="12" customWidth="1"/>
    <col min="15858" max="15858" width="6" customWidth="1"/>
    <col min="15859" max="15859" width="6.42578125" customWidth="1"/>
    <col min="15860" max="15860" width="10.42578125" customWidth="1"/>
    <col min="15861" max="15861" width="7.85546875" customWidth="1"/>
    <col min="15862" max="15862" width="8.85546875" customWidth="1"/>
    <col min="15863" max="15863" width="7.42578125" customWidth="1"/>
    <col min="15864" max="15870" width="16.28515625" customWidth="1"/>
    <col min="16105" max="16105" width="15.7109375" customWidth="1"/>
    <col min="16106" max="16106" width="7.28515625" customWidth="1"/>
    <col min="16107" max="16107" width="8.42578125" customWidth="1"/>
    <col min="16108" max="16108" width="5.7109375" customWidth="1"/>
    <col min="16109" max="16109" width="13" customWidth="1"/>
    <col min="16110" max="16110" width="7.7109375" customWidth="1"/>
    <col min="16111" max="16112" width="6.42578125" customWidth="1"/>
    <col min="16113" max="16113" width="12" customWidth="1"/>
    <col min="16114" max="16114" width="6" customWidth="1"/>
    <col min="16115" max="16115" width="6.42578125" customWidth="1"/>
    <col min="16116" max="16116" width="10.42578125" customWidth="1"/>
    <col min="16117" max="16117" width="7.85546875" customWidth="1"/>
    <col min="16118" max="16118" width="8.85546875" customWidth="1"/>
    <col min="16119" max="16119" width="7.42578125" customWidth="1"/>
    <col min="16120" max="16126" width="16.28515625" customWidth="1"/>
  </cols>
  <sheetData>
    <row r="1" spans="1:22" ht="22.5" x14ac:dyDescent="0.25">
      <c r="A1" s="943" t="s">
        <v>6408</v>
      </c>
      <c r="B1" s="1450" t="s">
        <v>6409</v>
      </c>
      <c r="C1" s="1451"/>
      <c r="D1" s="1451"/>
      <c r="E1" s="1451"/>
      <c r="F1" s="1451"/>
      <c r="G1" s="1451"/>
      <c r="H1" s="1452"/>
      <c r="I1" s="1453" t="s">
        <v>6410</v>
      </c>
      <c r="J1" s="1454"/>
      <c r="K1" s="1450" t="s">
        <v>6411</v>
      </c>
      <c r="L1" s="1451"/>
      <c r="M1" s="1451"/>
      <c r="N1" s="1451"/>
      <c r="O1" s="1452"/>
      <c r="P1" s="1450" t="s">
        <v>6412</v>
      </c>
      <c r="Q1" s="1451"/>
      <c r="R1" s="1451"/>
      <c r="S1" s="1451"/>
      <c r="T1" s="1451"/>
      <c r="U1" s="1451"/>
      <c r="V1" s="1452"/>
    </row>
    <row r="2" spans="1:22" ht="154.5" thickBot="1" x14ac:dyDescent="0.3">
      <c r="A2" s="944" t="s">
        <v>6413</v>
      </c>
      <c r="B2" s="945" t="s">
        <v>6414</v>
      </c>
      <c r="C2" s="946" t="s">
        <v>6415</v>
      </c>
      <c r="D2" s="946" t="s">
        <v>6416</v>
      </c>
      <c r="E2" s="947" t="s">
        <v>6417</v>
      </c>
      <c r="F2" s="948" t="s">
        <v>6418</v>
      </c>
      <c r="G2" s="948" t="s">
        <v>6419</v>
      </c>
      <c r="H2" s="948" t="s">
        <v>6420</v>
      </c>
      <c r="I2" s="949" t="s">
        <v>6421</v>
      </c>
      <c r="J2" s="950" t="s">
        <v>6422</v>
      </c>
      <c r="K2" s="951" t="s">
        <v>6423</v>
      </c>
      <c r="L2" s="952" t="s">
        <v>6424</v>
      </c>
      <c r="M2" s="952" t="s">
        <v>6425</v>
      </c>
      <c r="N2" s="952" t="s">
        <v>6426</v>
      </c>
      <c r="O2" s="953" t="s">
        <v>6427</v>
      </c>
      <c r="P2" s="954" t="s">
        <v>6428</v>
      </c>
      <c r="Q2" s="955" t="s">
        <v>6429</v>
      </c>
      <c r="R2" s="955" t="s">
        <v>6430</v>
      </c>
      <c r="S2" s="956" t="s">
        <v>6431</v>
      </c>
      <c r="T2" s="956" t="s">
        <v>6432</v>
      </c>
      <c r="U2" s="956" t="s">
        <v>6433</v>
      </c>
      <c r="V2" s="957" t="s">
        <v>6434</v>
      </c>
    </row>
    <row r="3" spans="1:22" ht="15.75" thickBot="1" x14ac:dyDescent="0.3">
      <c r="A3" s="958"/>
      <c r="B3" s="958"/>
      <c r="C3" s="958"/>
      <c r="D3" s="958"/>
      <c r="E3" s="958"/>
      <c r="F3" s="958"/>
      <c r="G3" s="958"/>
      <c r="H3" s="958"/>
      <c r="I3" s="958"/>
      <c r="J3" s="958"/>
      <c r="K3" s="958"/>
      <c r="L3" s="958"/>
      <c r="M3" s="959"/>
      <c r="N3" s="959"/>
      <c r="O3" s="959"/>
      <c r="P3" s="959"/>
      <c r="Q3" s="960"/>
      <c r="R3" s="960"/>
      <c r="S3" s="960"/>
      <c r="T3" s="960"/>
      <c r="U3" s="960"/>
      <c r="V3" s="960"/>
    </row>
    <row r="4" spans="1:22" x14ac:dyDescent="0.25">
      <c r="A4" s="961" t="s">
        <v>6435</v>
      </c>
      <c r="B4" s="961">
        <v>2</v>
      </c>
      <c r="C4" s="961">
        <v>2</v>
      </c>
      <c r="D4" s="961" t="s">
        <v>6436</v>
      </c>
      <c r="E4" s="961" t="s">
        <v>6437</v>
      </c>
      <c r="F4" s="962">
        <v>287</v>
      </c>
      <c r="G4" s="961" t="s">
        <v>741</v>
      </c>
      <c r="H4" s="961">
        <v>1</v>
      </c>
      <c r="I4" s="963">
        <v>13301</v>
      </c>
      <c r="J4" s="961">
        <v>1</v>
      </c>
      <c r="K4" s="961">
        <v>23</v>
      </c>
      <c r="L4" s="961">
        <v>1</v>
      </c>
      <c r="M4" s="961">
        <v>1</v>
      </c>
      <c r="N4" s="961" t="s">
        <v>6438</v>
      </c>
      <c r="O4" s="961">
        <v>13</v>
      </c>
      <c r="P4" s="964"/>
      <c r="Q4" s="964"/>
      <c r="R4" s="964">
        <f t="shared" ref="R4:R71" si="0">SUM(P4:Q4)</f>
        <v>0</v>
      </c>
      <c r="S4" s="964">
        <v>0</v>
      </c>
      <c r="T4" s="964"/>
      <c r="U4" s="964"/>
      <c r="V4" s="964"/>
    </row>
    <row r="5" spans="1:22" x14ac:dyDescent="0.25">
      <c r="A5" s="961" t="s">
        <v>6435</v>
      </c>
      <c r="B5" s="961">
        <v>2</v>
      </c>
      <c r="C5" s="961">
        <v>2</v>
      </c>
      <c r="D5" s="961" t="s">
        <v>6436</v>
      </c>
      <c r="E5" s="961" t="s">
        <v>6437</v>
      </c>
      <c r="F5" s="962">
        <v>287</v>
      </c>
      <c r="G5" s="961" t="s">
        <v>741</v>
      </c>
      <c r="H5" s="961">
        <v>1</v>
      </c>
      <c r="I5" s="963">
        <v>15202</v>
      </c>
      <c r="J5" s="961">
        <v>1</v>
      </c>
      <c r="K5" s="961">
        <v>23</v>
      </c>
      <c r="L5" s="961">
        <v>1</v>
      </c>
      <c r="M5" s="961">
        <v>1</v>
      </c>
      <c r="N5" s="961" t="s">
        <v>6438</v>
      </c>
      <c r="O5" s="961">
        <v>13</v>
      </c>
      <c r="P5" s="964"/>
      <c r="Q5" s="964"/>
      <c r="R5" s="964">
        <f t="shared" si="0"/>
        <v>0</v>
      </c>
      <c r="S5" s="964">
        <v>0</v>
      </c>
      <c r="T5" s="964"/>
      <c r="U5" s="964"/>
      <c r="V5" s="964"/>
    </row>
    <row r="6" spans="1:22" x14ac:dyDescent="0.25">
      <c r="A6" s="961" t="s">
        <v>6435</v>
      </c>
      <c r="B6" s="961">
        <v>2</v>
      </c>
      <c r="C6" s="961">
        <v>2</v>
      </c>
      <c r="D6" s="961" t="s">
        <v>6436</v>
      </c>
      <c r="E6" s="961" t="s">
        <v>6437</v>
      </c>
      <c r="F6" s="962">
        <v>287</v>
      </c>
      <c r="G6" s="961" t="s">
        <v>741</v>
      </c>
      <c r="H6" s="961">
        <v>1</v>
      </c>
      <c r="I6" s="963">
        <v>15203</v>
      </c>
      <c r="J6" s="961">
        <v>1</v>
      </c>
      <c r="K6" s="961">
        <v>23</v>
      </c>
      <c r="L6" s="961">
        <v>1</v>
      </c>
      <c r="M6" s="961">
        <v>1</v>
      </c>
      <c r="N6" s="961" t="s">
        <v>6438</v>
      </c>
      <c r="O6" s="961">
        <v>13</v>
      </c>
      <c r="P6" s="964"/>
      <c r="Q6" s="964"/>
      <c r="R6" s="964">
        <f t="shared" si="0"/>
        <v>0</v>
      </c>
      <c r="S6" s="964">
        <v>0</v>
      </c>
      <c r="T6" s="964"/>
      <c r="U6" s="964"/>
      <c r="V6" s="964"/>
    </row>
    <row r="7" spans="1:22" x14ac:dyDescent="0.25">
      <c r="A7" s="961" t="s">
        <v>6435</v>
      </c>
      <c r="B7" s="961">
        <v>2</v>
      </c>
      <c r="C7" s="961">
        <v>2</v>
      </c>
      <c r="D7" s="961" t="s">
        <v>6436</v>
      </c>
      <c r="E7" s="961" t="s">
        <v>6437</v>
      </c>
      <c r="F7" s="962">
        <v>287</v>
      </c>
      <c r="G7" s="961" t="s">
        <v>741</v>
      </c>
      <c r="H7" s="961">
        <v>1</v>
      </c>
      <c r="I7" s="963">
        <v>15404</v>
      </c>
      <c r="J7" s="961">
        <v>1</v>
      </c>
      <c r="K7" s="961">
        <v>23</v>
      </c>
      <c r="L7" s="961">
        <v>1</v>
      </c>
      <c r="M7" s="961">
        <v>1</v>
      </c>
      <c r="N7" s="961" t="s">
        <v>6438</v>
      </c>
      <c r="O7" s="961">
        <v>13</v>
      </c>
      <c r="P7" s="964">
        <v>122711.63</v>
      </c>
      <c r="Q7" s="964">
        <v>-1464.53</v>
      </c>
      <c r="R7" s="964">
        <f t="shared" si="0"/>
        <v>121247.1</v>
      </c>
      <c r="S7" s="964">
        <v>125520.27</v>
      </c>
      <c r="T7" s="964">
        <v>125520.27</v>
      </c>
      <c r="U7" s="964">
        <v>125520.27</v>
      </c>
      <c r="V7" s="964">
        <v>125520.27</v>
      </c>
    </row>
    <row r="8" spans="1:22" x14ac:dyDescent="0.25">
      <c r="A8" s="961" t="s">
        <v>6435</v>
      </c>
      <c r="B8" s="961">
        <v>2</v>
      </c>
      <c r="C8" s="961">
        <v>2</v>
      </c>
      <c r="D8" s="961" t="s">
        <v>6436</v>
      </c>
      <c r="E8" s="961" t="s">
        <v>6437</v>
      </c>
      <c r="F8" s="962">
        <v>287</v>
      </c>
      <c r="G8" s="961" t="s">
        <v>741</v>
      </c>
      <c r="H8" s="961">
        <v>1</v>
      </c>
      <c r="I8" s="963">
        <v>15409</v>
      </c>
      <c r="J8" s="961">
        <v>1</v>
      </c>
      <c r="K8" s="961">
        <v>23</v>
      </c>
      <c r="L8" s="961">
        <v>1</v>
      </c>
      <c r="M8" s="961">
        <v>1</v>
      </c>
      <c r="N8" s="961" t="s">
        <v>6438</v>
      </c>
      <c r="O8" s="961">
        <v>13</v>
      </c>
      <c r="P8" s="964">
        <v>282960</v>
      </c>
      <c r="Q8" s="964">
        <v>3</v>
      </c>
      <c r="R8" s="964">
        <f t="shared" si="0"/>
        <v>282963</v>
      </c>
      <c r="S8" s="964">
        <v>282960</v>
      </c>
      <c r="T8" s="964">
        <f>274532.3+3</f>
        <v>274535.3</v>
      </c>
      <c r="U8" s="964">
        <v>274532.3</v>
      </c>
      <c r="V8" s="964">
        <v>274532.3</v>
      </c>
    </row>
    <row r="9" spans="1:22" x14ac:dyDescent="0.25">
      <c r="A9" s="961" t="s">
        <v>6435</v>
      </c>
      <c r="B9" s="961">
        <v>2</v>
      </c>
      <c r="C9" s="961">
        <v>2</v>
      </c>
      <c r="D9" s="961" t="s">
        <v>6436</v>
      </c>
      <c r="E9" s="961" t="s">
        <v>6437</v>
      </c>
      <c r="F9" s="962">
        <v>287</v>
      </c>
      <c r="G9" s="961" t="s">
        <v>741</v>
      </c>
      <c r="H9" s="961">
        <v>1</v>
      </c>
      <c r="I9" s="963">
        <v>15413</v>
      </c>
      <c r="J9" s="961">
        <v>1</v>
      </c>
      <c r="K9" s="961">
        <v>23</v>
      </c>
      <c r="L9" s="961">
        <v>1</v>
      </c>
      <c r="M9" s="961">
        <v>1</v>
      </c>
      <c r="N9" s="961" t="s">
        <v>6438</v>
      </c>
      <c r="O9" s="961">
        <v>13</v>
      </c>
      <c r="P9" s="964"/>
      <c r="Q9" s="964"/>
      <c r="R9" s="964">
        <f t="shared" si="0"/>
        <v>0</v>
      </c>
      <c r="S9" s="964">
        <v>1490</v>
      </c>
      <c r="T9" s="964">
        <v>1490</v>
      </c>
      <c r="U9" s="964">
        <v>1490</v>
      </c>
      <c r="V9" s="964">
        <v>1490</v>
      </c>
    </row>
    <row r="10" spans="1:22" x14ac:dyDescent="0.25">
      <c r="A10" s="961" t="s">
        <v>6435</v>
      </c>
      <c r="B10" s="961">
        <v>2</v>
      </c>
      <c r="C10" s="961">
        <v>2</v>
      </c>
      <c r="D10" s="961" t="s">
        <v>6436</v>
      </c>
      <c r="E10" s="961" t="s">
        <v>6437</v>
      </c>
      <c r="F10" s="962">
        <v>287</v>
      </c>
      <c r="G10" s="961" t="s">
        <v>741</v>
      </c>
      <c r="H10" s="961">
        <v>1</v>
      </c>
      <c r="I10" s="963">
        <v>15416</v>
      </c>
      <c r="J10" s="961">
        <v>1</v>
      </c>
      <c r="K10" s="961">
        <v>23</v>
      </c>
      <c r="L10" s="961">
        <v>1</v>
      </c>
      <c r="M10" s="961">
        <v>1</v>
      </c>
      <c r="N10" s="961" t="s">
        <v>6438</v>
      </c>
      <c r="O10" s="961">
        <v>13</v>
      </c>
      <c r="P10" s="964">
        <v>12825</v>
      </c>
      <c r="Q10" s="964">
        <v>-12825</v>
      </c>
      <c r="R10" s="964">
        <f t="shared" si="0"/>
        <v>0</v>
      </c>
      <c r="S10" s="964">
        <v>12825</v>
      </c>
      <c r="T10" s="964">
        <v>7250</v>
      </c>
      <c r="U10" s="964">
        <v>7250</v>
      </c>
      <c r="V10" s="964">
        <v>7250</v>
      </c>
    </row>
    <row r="11" spans="1:22" x14ac:dyDescent="0.25">
      <c r="A11" s="961" t="s">
        <v>6435</v>
      </c>
      <c r="B11" s="961">
        <v>2</v>
      </c>
      <c r="C11" s="961">
        <v>2</v>
      </c>
      <c r="D11" s="961" t="s">
        <v>6436</v>
      </c>
      <c r="E11" s="961" t="s">
        <v>6437</v>
      </c>
      <c r="F11" s="962">
        <v>287</v>
      </c>
      <c r="G11" s="961" t="s">
        <v>741</v>
      </c>
      <c r="H11" s="961">
        <v>1</v>
      </c>
      <c r="I11" s="963">
        <v>15417</v>
      </c>
      <c r="J11" s="961">
        <v>1</v>
      </c>
      <c r="K11" s="961">
        <v>23</v>
      </c>
      <c r="L11" s="961">
        <v>1</v>
      </c>
      <c r="M11" s="961">
        <v>1</v>
      </c>
      <c r="N11" s="961" t="s">
        <v>6438</v>
      </c>
      <c r="O11" s="961">
        <v>13</v>
      </c>
      <c r="P11" s="964">
        <v>157896</v>
      </c>
      <c r="Q11" s="964"/>
      <c r="R11" s="964">
        <f t="shared" si="0"/>
        <v>157896</v>
      </c>
      <c r="S11" s="964">
        <v>160524</v>
      </c>
      <c r="T11" s="964">
        <v>160524</v>
      </c>
      <c r="U11" s="964">
        <v>160524</v>
      </c>
      <c r="V11" s="964">
        <v>160524</v>
      </c>
    </row>
    <row r="12" spans="1:22" x14ac:dyDescent="0.25">
      <c r="A12" s="961" t="s">
        <v>6435</v>
      </c>
      <c r="B12" s="961">
        <v>2</v>
      </c>
      <c r="C12" s="961">
        <v>2</v>
      </c>
      <c r="D12" s="961" t="s">
        <v>6436</v>
      </c>
      <c r="E12" s="961" t="s">
        <v>6437</v>
      </c>
      <c r="F12" s="962">
        <v>287</v>
      </c>
      <c r="G12" s="961" t="s">
        <v>741</v>
      </c>
      <c r="H12" s="961">
        <v>1</v>
      </c>
      <c r="I12" s="963">
        <v>15418</v>
      </c>
      <c r="J12" s="961">
        <v>1</v>
      </c>
      <c r="K12" s="961">
        <v>23</v>
      </c>
      <c r="L12" s="961">
        <v>1</v>
      </c>
      <c r="M12" s="961">
        <v>1</v>
      </c>
      <c r="N12" s="961" t="s">
        <v>6438</v>
      </c>
      <c r="O12" s="961">
        <v>13</v>
      </c>
      <c r="P12" s="964">
        <v>73499.78</v>
      </c>
      <c r="Q12" s="964">
        <v>-15968.72</v>
      </c>
      <c r="R12" s="964">
        <f t="shared" si="0"/>
        <v>57531.06</v>
      </c>
      <c r="S12" s="964">
        <v>75179.89</v>
      </c>
      <c r="T12" s="964">
        <v>75179.89</v>
      </c>
      <c r="U12" s="964">
        <v>75179.89</v>
      </c>
      <c r="V12" s="964">
        <v>75179.89</v>
      </c>
    </row>
    <row r="13" spans="1:22" x14ac:dyDescent="0.25">
      <c r="A13" s="961" t="s">
        <v>6435</v>
      </c>
      <c r="B13" s="961">
        <v>2</v>
      </c>
      <c r="C13" s="961">
        <v>2</v>
      </c>
      <c r="D13" s="961" t="s">
        <v>6436</v>
      </c>
      <c r="E13" s="961" t="s">
        <v>6437</v>
      </c>
      <c r="F13" s="962">
        <v>287</v>
      </c>
      <c r="G13" s="961" t="s">
        <v>741</v>
      </c>
      <c r="H13" s="961">
        <v>1</v>
      </c>
      <c r="I13" s="963">
        <v>15421</v>
      </c>
      <c r="J13" s="961">
        <v>1</v>
      </c>
      <c r="K13" s="961">
        <v>23</v>
      </c>
      <c r="L13" s="961">
        <v>1</v>
      </c>
      <c r="M13" s="961">
        <v>1</v>
      </c>
      <c r="N13" s="961" t="s">
        <v>6438</v>
      </c>
      <c r="O13" s="961">
        <v>13</v>
      </c>
      <c r="P13" s="964">
        <v>11250</v>
      </c>
      <c r="Q13" s="964"/>
      <c r="R13" s="964">
        <f t="shared" si="0"/>
        <v>11250</v>
      </c>
      <c r="S13" s="964">
        <v>11250</v>
      </c>
      <c r="T13" s="964">
        <v>10240</v>
      </c>
      <c r="U13" s="964">
        <v>10240</v>
      </c>
      <c r="V13" s="964">
        <v>10240</v>
      </c>
    </row>
    <row r="14" spans="1:22" x14ac:dyDescent="0.25">
      <c r="A14" s="961" t="s">
        <v>6435</v>
      </c>
      <c r="B14" s="961">
        <v>2</v>
      </c>
      <c r="C14" s="961">
        <v>2</v>
      </c>
      <c r="D14" s="961" t="s">
        <v>6436</v>
      </c>
      <c r="E14" s="961" t="s">
        <v>6437</v>
      </c>
      <c r="F14" s="962">
        <v>287</v>
      </c>
      <c r="G14" s="961" t="s">
        <v>741</v>
      </c>
      <c r="H14" s="961">
        <v>1</v>
      </c>
      <c r="I14" s="963">
        <v>15423</v>
      </c>
      <c r="J14" s="961">
        <v>1</v>
      </c>
      <c r="K14" s="961">
        <v>23</v>
      </c>
      <c r="L14" s="961">
        <v>1</v>
      </c>
      <c r="M14" s="961">
        <v>1</v>
      </c>
      <c r="N14" s="961" t="s">
        <v>6438</v>
      </c>
      <c r="O14" s="961">
        <v>13</v>
      </c>
      <c r="P14" s="964">
        <v>10710</v>
      </c>
      <c r="Q14" s="964">
        <v>-1340</v>
      </c>
      <c r="R14" s="964">
        <f t="shared" si="0"/>
        <v>9370</v>
      </c>
      <c r="S14" s="964">
        <v>10710</v>
      </c>
      <c r="T14" s="964">
        <v>10220</v>
      </c>
      <c r="U14" s="964">
        <v>10220</v>
      </c>
      <c r="V14" s="964">
        <v>10220</v>
      </c>
    </row>
    <row r="15" spans="1:22" x14ac:dyDescent="0.25">
      <c r="A15" s="961" t="s">
        <v>6435</v>
      </c>
      <c r="B15" s="961">
        <v>2</v>
      </c>
      <c r="C15" s="961">
        <v>2</v>
      </c>
      <c r="D15" s="961" t="s">
        <v>6436</v>
      </c>
      <c r="E15" s="961" t="s">
        <v>6437</v>
      </c>
      <c r="F15" s="962">
        <v>287</v>
      </c>
      <c r="G15" s="961" t="s">
        <v>741</v>
      </c>
      <c r="H15" s="961">
        <v>1</v>
      </c>
      <c r="I15" s="963">
        <v>15424</v>
      </c>
      <c r="J15" s="961">
        <v>1</v>
      </c>
      <c r="K15" s="961">
        <v>23</v>
      </c>
      <c r="L15" s="961">
        <v>1</v>
      </c>
      <c r="M15" s="961">
        <v>1</v>
      </c>
      <c r="N15" s="961" t="s">
        <v>6438</v>
      </c>
      <c r="O15" s="961">
        <v>13</v>
      </c>
      <c r="P15" s="964">
        <v>4500</v>
      </c>
      <c r="Q15" s="964"/>
      <c r="R15" s="964">
        <f t="shared" si="0"/>
        <v>4500</v>
      </c>
      <c r="S15" s="964">
        <v>4750</v>
      </c>
      <c r="T15" s="964">
        <v>4750</v>
      </c>
      <c r="U15" s="964">
        <v>4750</v>
      </c>
      <c r="V15" s="964">
        <v>4750</v>
      </c>
    </row>
    <row r="16" spans="1:22" x14ac:dyDescent="0.25">
      <c r="A16" s="961" t="s">
        <v>6435</v>
      </c>
      <c r="B16" s="961">
        <v>2</v>
      </c>
      <c r="C16" s="961">
        <v>2</v>
      </c>
      <c r="D16" s="961" t="s">
        <v>6436</v>
      </c>
      <c r="E16" s="961" t="s">
        <v>6437</v>
      </c>
      <c r="F16" s="962">
        <v>287</v>
      </c>
      <c r="G16" s="961" t="s">
        <v>741</v>
      </c>
      <c r="H16" s="961">
        <v>1</v>
      </c>
      <c r="I16" s="963">
        <v>15425</v>
      </c>
      <c r="J16" s="961">
        <v>1</v>
      </c>
      <c r="K16" s="961">
        <v>23</v>
      </c>
      <c r="L16" s="961">
        <v>1</v>
      </c>
      <c r="M16" s="961">
        <v>1</v>
      </c>
      <c r="N16" s="961" t="s">
        <v>6438</v>
      </c>
      <c r="O16" s="961">
        <v>13</v>
      </c>
      <c r="P16" s="964">
        <v>90072</v>
      </c>
      <c r="Q16" s="964"/>
      <c r="R16" s="964">
        <f t="shared" si="0"/>
        <v>90072</v>
      </c>
      <c r="S16" s="964">
        <v>99963.199999999997</v>
      </c>
      <c r="T16" s="964">
        <v>99963.199999999997</v>
      </c>
      <c r="U16" s="964">
        <v>99963.199999999997</v>
      </c>
      <c r="V16" s="964">
        <v>99963.199999999997</v>
      </c>
    </row>
    <row r="17" spans="1:22" x14ac:dyDescent="0.25">
      <c r="A17" s="961" t="s">
        <v>6435</v>
      </c>
      <c r="B17" s="961">
        <v>2</v>
      </c>
      <c r="C17" s="961">
        <v>2</v>
      </c>
      <c r="D17" s="961" t="s">
        <v>6436</v>
      </c>
      <c r="E17" s="961" t="s">
        <v>6437</v>
      </c>
      <c r="F17" s="962">
        <v>287</v>
      </c>
      <c r="G17" s="961" t="s">
        <v>741</v>
      </c>
      <c r="H17" s="961">
        <v>1</v>
      </c>
      <c r="I17" s="963">
        <v>15426</v>
      </c>
      <c r="J17" s="961">
        <v>1</v>
      </c>
      <c r="K17" s="961">
        <v>23</v>
      </c>
      <c r="L17" s="961">
        <v>1</v>
      </c>
      <c r="M17" s="961">
        <v>1</v>
      </c>
      <c r="N17" s="961" t="s">
        <v>6438</v>
      </c>
      <c r="O17" s="961">
        <v>13</v>
      </c>
      <c r="P17" s="964">
        <v>13560</v>
      </c>
      <c r="Q17" s="964">
        <v>1412.5</v>
      </c>
      <c r="R17" s="964">
        <f t="shared" si="0"/>
        <v>14972.5</v>
      </c>
      <c r="S17" s="964">
        <v>13560</v>
      </c>
      <c r="T17" s="964">
        <v>13560</v>
      </c>
      <c r="U17" s="964">
        <v>13560</v>
      </c>
      <c r="V17" s="964">
        <v>13560</v>
      </c>
    </row>
    <row r="18" spans="1:22" x14ac:dyDescent="0.25">
      <c r="A18" s="961" t="s">
        <v>6435</v>
      </c>
      <c r="B18" s="961">
        <v>2</v>
      </c>
      <c r="C18" s="961">
        <v>2</v>
      </c>
      <c r="D18" s="961" t="s">
        <v>6436</v>
      </c>
      <c r="E18" s="961" t="s">
        <v>6437</v>
      </c>
      <c r="F18" s="962">
        <v>287</v>
      </c>
      <c r="G18" s="961" t="s">
        <v>741</v>
      </c>
      <c r="H18" s="961">
        <v>1</v>
      </c>
      <c r="I18" s="963">
        <v>15427</v>
      </c>
      <c r="J18" s="961">
        <v>1</v>
      </c>
      <c r="K18" s="961">
        <v>23</v>
      </c>
      <c r="L18" s="961">
        <v>1</v>
      </c>
      <c r="M18" s="961">
        <v>1</v>
      </c>
      <c r="N18" s="961" t="s">
        <v>6438</v>
      </c>
      <c r="O18" s="961">
        <v>13</v>
      </c>
      <c r="P18" s="964">
        <v>30600</v>
      </c>
      <c r="Q18" s="964">
        <v>-2960.8</v>
      </c>
      <c r="R18" s="964">
        <f t="shared" si="0"/>
        <v>27639.200000000001</v>
      </c>
      <c r="S18" s="964">
        <v>30600</v>
      </c>
      <c r="T18" s="964">
        <v>27000</v>
      </c>
      <c r="U18" s="964">
        <v>27000</v>
      </c>
      <c r="V18" s="964">
        <v>27000</v>
      </c>
    </row>
    <row r="19" spans="1:22" x14ac:dyDescent="0.25">
      <c r="A19" s="961" t="s">
        <v>6435</v>
      </c>
      <c r="B19" s="961">
        <v>2</v>
      </c>
      <c r="C19" s="961">
        <v>2</v>
      </c>
      <c r="D19" s="961" t="s">
        <v>6436</v>
      </c>
      <c r="E19" s="961" t="s">
        <v>6437</v>
      </c>
      <c r="F19" s="962">
        <v>287</v>
      </c>
      <c r="G19" s="961" t="s">
        <v>741</v>
      </c>
      <c r="H19" s="961">
        <v>1</v>
      </c>
      <c r="I19" s="963">
        <v>15430</v>
      </c>
      <c r="J19" s="961">
        <v>1</v>
      </c>
      <c r="K19" s="961">
        <v>23</v>
      </c>
      <c r="L19" s="961">
        <v>1</v>
      </c>
      <c r="M19" s="961">
        <v>1</v>
      </c>
      <c r="N19" s="961" t="s">
        <v>6438</v>
      </c>
      <c r="O19" s="961">
        <v>13</v>
      </c>
      <c r="P19" s="964">
        <v>12750</v>
      </c>
      <c r="Q19" s="964">
        <v>-2550</v>
      </c>
      <c r="R19" s="964">
        <f t="shared" si="0"/>
        <v>10200</v>
      </c>
      <c r="S19" s="964">
        <v>12750</v>
      </c>
      <c r="T19" s="964">
        <v>12800</v>
      </c>
      <c r="U19" s="964">
        <v>12800</v>
      </c>
      <c r="V19" s="964">
        <v>12800</v>
      </c>
    </row>
    <row r="20" spans="1:22" x14ac:dyDescent="0.25">
      <c r="A20" s="961" t="s">
        <v>6435</v>
      </c>
      <c r="B20" s="961">
        <v>2</v>
      </c>
      <c r="C20" s="961">
        <v>2</v>
      </c>
      <c r="D20" s="961" t="s">
        <v>6436</v>
      </c>
      <c r="E20" s="961" t="s">
        <v>6437</v>
      </c>
      <c r="F20" s="962">
        <v>287</v>
      </c>
      <c r="G20" s="961" t="s">
        <v>741</v>
      </c>
      <c r="H20" s="961">
        <v>1</v>
      </c>
      <c r="I20" s="963">
        <v>16101</v>
      </c>
      <c r="J20" s="961">
        <v>1</v>
      </c>
      <c r="K20" s="961">
        <v>23</v>
      </c>
      <c r="L20" s="961">
        <v>1</v>
      </c>
      <c r="M20" s="961">
        <v>1</v>
      </c>
      <c r="N20" s="961" t="s">
        <v>6438</v>
      </c>
      <c r="O20" s="961">
        <v>13</v>
      </c>
      <c r="P20" s="964"/>
      <c r="Q20" s="964"/>
      <c r="R20" s="964">
        <f t="shared" si="0"/>
        <v>0</v>
      </c>
      <c r="S20" s="964">
        <v>0</v>
      </c>
      <c r="T20" s="964"/>
      <c r="U20" s="964"/>
      <c r="V20" s="964"/>
    </row>
    <row r="21" spans="1:22" x14ac:dyDescent="0.25">
      <c r="A21" s="961" t="s">
        <v>6435</v>
      </c>
      <c r="B21" s="961">
        <v>2</v>
      </c>
      <c r="C21" s="961">
        <v>2</v>
      </c>
      <c r="D21" s="961" t="s">
        <v>6436</v>
      </c>
      <c r="E21" s="961" t="s">
        <v>6437</v>
      </c>
      <c r="F21" s="962">
        <v>287</v>
      </c>
      <c r="G21" s="961" t="s">
        <v>741</v>
      </c>
      <c r="H21" s="961">
        <v>1</v>
      </c>
      <c r="I21" s="963">
        <v>17105</v>
      </c>
      <c r="J21" s="961">
        <v>1</v>
      </c>
      <c r="K21" s="961">
        <v>23</v>
      </c>
      <c r="L21" s="961">
        <v>1</v>
      </c>
      <c r="M21" s="961">
        <v>1</v>
      </c>
      <c r="N21" s="961" t="s">
        <v>6438</v>
      </c>
      <c r="O21" s="961">
        <v>13</v>
      </c>
      <c r="P21" s="964">
        <v>84138.240000000005</v>
      </c>
      <c r="Q21" s="964">
        <v>64482.81</v>
      </c>
      <c r="R21" s="964">
        <f t="shared" si="0"/>
        <v>148621.04999999999</v>
      </c>
      <c r="S21" s="964">
        <v>122456.53</v>
      </c>
      <c r="T21" s="964">
        <v>90829.759999999995</v>
      </c>
      <c r="U21" s="964">
        <v>90829.759999999995</v>
      </c>
      <c r="V21" s="964">
        <v>90829.759999999995</v>
      </c>
    </row>
    <row r="22" spans="1:22" x14ac:dyDescent="0.25">
      <c r="A22" s="961" t="s">
        <v>6435</v>
      </c>
      <c r="B22" s="961">
        <v>2</v>
      </c>
      <c r="C22" s="961">
        <v>2</v>
      </c>
      <c r="D22" s="961" t="s">
        <v>6436</v>
      </c>
      <c r="E22" s="961" t="s">
        <v>6437</v>
      </c>
      <c r="F22" s="962">
        <v>287</v>
      </c>
      <c r="G22" s="961" t="s">
        <v>741</v>
      </c>
      <c r="H22" s="961">
        <v>1</v>
      </c>
      <c r="I22" s="963">
        <v>21101</v>
      </c>
      <c r="J22" s="961">
        <v>1</v>
      </c>
      <c r="K22" s="961">
        <v>23</v>
      </c>
      <c r="L22" s="961">
        <v>1</v>
      </c>
      <c r="M22" s="961">
        <v>1</v>
      </c>
      <c r="N22" s="961" t="s">
        <v>6438</v>
      </c>
      <c r="O22" s="961">
        <v>13</v>
      </c>
      <c r="P22" s="964">
        <v>35000</v>
      </c>
      <c r="Q22" s="964"/>
      <c r="R22" s="964">
        <f t="shared" si="0"/>
        <v>35000</v>
      </c>
      <c r="S22" s="964">
        <v>39441.85</v>
      </c>
      <c r="T22" s="964">
        <v>39441.85</v>
      </c>
      <c r="U22" s="964">
        <v>34597.229999999996</v>
      </c>
      <c r="V22" s="964">
        <v>34597.229999999996</v>
      </c>
    </row>
    <row r="23" spans="1:22" x14ac:dyDescent="0.25">
      <c r="A23" s="961" t="s">
        <v>6435</v>
      </c>
      <c r="B23" s="961">
        <v>2</v>
      </c>
      <c r="C23" s="961">
        <v>2</v>
      </c>
      <c r="D23" s="961" t="s">
        <v>6436</v>
      </c>
      <c r="E23" s="961" t="s">
        <v>6437</v>
      </c>
      <c r="F23" s="962">
        <v>287</v>
      </c>
      <c r="G23" s="961" t="s">
        <v>741</v>
      </c>
      <c r="H23" s="961">
        <v>1</v>
      </c>
      <c r="I23" s="963">
        <v>21201</v>
      </c>
      <c r="J23" s="961">
        <v>1</v>
      </c>
      <c r="K23" s="961">
        <v>23</v>
      </c>
      <c r="L23" s="961">
        <v>1</v>
      </c>
      <c r="M23" s="961">
        <v>1</v>
      </c>
      <c r="N23" s="961" t="s">
        <v>6438</v>
      </c>
      <c r="O23" s="961">
        <v>13</v>
      </c>
      <c r="P23" s="964">
        <v>6100</v>
      </c>
      <c r="Q23" s="964">
        <v>-5600</v>
      </c>
      <c r="R23" s="964">
        <f t="shared" si="0"/>
        <v>500</v>
      </c>
      <c r="S23" s="964">
        <v>287.95999999999998</v>
      </c>
      <c r="T23" s="964">
        <v>287.95999999999998</v>
      </c>
      <c r="U23" s="964">
        <v>287.95999999999998</v>
      </c>
      <c r="V23" s="964">
        <v>287.95999999999998</v>
      </c>
    </row>
    <row r="24" spans="1:22" x14ac:dyDescent="0.25">
      <c r="A24" s="961" t="s">
        <v>6435</v>
      </c>
      <c r="B24" s="961">
        <v>2</v>
      </c>
      <c r="C24" s="961">
        <v>2</v>
      </c>
      <c r="D24" s="961" t="s">
        <v>6436</v>
      </c>
      <c r="E24" s="961" t="s">
        <v>6437</v>
      </c>
      <c r="F24" s="962">
        <v>287</v>
      </c>
      <c r="G24" s="961" t="s">
        <v>741</v>
      </c>
      <c r="H24" s="961">
        <v>1</v>
      </c>
      <c r="I24" s="963">
        <v>21401</v>
      </c>
      <c r="J24" s="961">
        <v>1</v>
      </c>
      <c r="K24" s="961">
        <v>23</v>
      </c>
      <c r="L24" s="961">
        <v>1</v>
      </c>
      <c r="M24" s="961">
        <v>1</v>
      </c>
      <c r="N24" s="961" t="s">
        <v>6438</v>
      </c>
      <c r="O24" s="961">
        <v>13</v>
      </c>
      <c r="P24" s="964">
        <v>20000</v>
      </c>
      <c r="Q24" s="964">
        <v>34022.07</v>
      </c>
      <c r="R24" s="964">
        <f t="shared" si="0"/>
        <v>54022.07</v>
      </c>
      <c r="S24" s="964">
        <v>69021.27</v>
      </c>
      <c r="T24" s="964">
        <v>69021.27</v>
      </c>
      <c r="U24" s="964">
        <v>69021.27</v>
      </c>
      <c r="V24" s="964">
        <v>69021.27</v>
      </c>
    </row>
    <row r="25" spans="1:22" x14ac:dyDescent="0.25">
      <c r="A25" s="961" t="s">
        <v>6435</v>
      </c>
      <c r="B25" s="961">
        <v>2</v>
      </c>
      <c r="C25" s="961">
        <v>2</v>
      </c>
      <c r="D25" s="961" t="s">
        <v>6436</v>
      </c>
      <c r="E25" s="961" t="s">
        <v>6437</v>
      </c>
      <c r="F25" s="962">
        <v>287</v>
      </c>
      <c r="G25" s="961" t="s">
        <v>741</v>
      </c>
      <c r="H25" s="961">
        <v>1</v>
      </c>
      <c r="I25" s="963">
        <v>21601</v>
      </c>
      <c r="J25" s="961">
        <v>1</v>
      </c>
      <c r="K25" s="961">
        <v>23</v>
      </c>
      <c r="L25" s="961">
        <v>1</v>
      </c>
      <c r="M25" s="961">
        <v>1</v>
      </c>
      <c r="N25" s="961" t="s">
        <v>6438</v>
      </c>
      <c r="O25" s="961">
        <v>13</v>
      </c>
      <c r="P25" s="964">
        <v>37500</v>
      </c>
      <c r="Q25" s="964">
        <v>5400</v>
      </c>
      <c r="R25" s="964">
        <f t="shared" si="0"/>
        <v>42900</v>
      </c>
      <c r="S25" s="964">
        <v>43883.41</v>
      </c>
      <c r="T25" s="964">
        <v>43883.41</v>
      </c>
      <c r="U25" s="964">
        <v>43883.41</v>
      </c>
      <c r="V25" s="964">
        <f>123542.41-79659</f>
        <v>43883.41</v>
      </c>
    </row>
    <row r="26" spans="1:22" x14ac:dyDescent="0.25">
      <c r="A26" s="961" t="s">
        <v>6435</v>
      </c>
      <c r="B26" s="961">
        <v>2</v>
      </c>
      <c r="C26" s="961">
        <v>2</v>
      </c>
      <c r="D26" s="961" t="s">
        <v>6436</v>
      </c>
      <c r="E26" s="961" t="s">
        <v>6437</v>
      </c>
      <c r="F26" s="962">
        <v>287</v>
      </c>
      <c r="G26" s="961" t="s">
        <v>741</v>
      </c>
      <c r="H26" s="961">
        <v>1</v>
      </c>
      <c r="I26" s="963">
        <v>21801</v>
      </c>
      <c r="J26" s="961">
        <v>1</v>
      </c>
      <c r="K26" s="961">
        <v>23</v>
      </c>
      <c r="L26" s="961">
        <v>1</v>
      </c>
      <c r="M26" s="961">
        <v>1</v>
      </c>
      <c r="N26" s="961" t="s">
        <v>6438</v>
      </c>
      <c r="O26" s="961">
        <v>13</v>
      </c>
      <c r="P26" s="964">
        <v>16000</v>
      </c>
      <c r="Q26" s="964"/>
      <c r="R26" s="964">
        <f t="shared" si="0"/>
        <v>16000</v>
      </c>
      <c r="S26" s="964">
        <v>17809</v>
      </c>
      <c r="T26" s="964">
        <v>17809</v>
      </c>
      <c r="U26" s="964">
        <v>17809</v>
      </c>
      <c r="V26" s="964">
        <v>17809</v>
      </c>
    </row>
    <row r="27" spans="1:22" x14ac:dyDescent="0.25">
      <c r="A27" s="961" t="s">
        <v>6435</v>
      </c>
      <c r="B27" s="961">
        <v>2</v>
      </c>
      <c r="C27" s="961">
        <v>2</v>
      </c>
      <c r="D27" s="961" t="s">
        <v>6436</v>
      </c>
      <c r="E27" s="961" t="s">
        <v>6437</v>
      </c>
      <c r="F27" s="962">
        <v>287</v>
      </c>
      <c r="G27" s="961" t="s">
        <v>741</v>
      </c>
      <c r="H27" s="961">
        <v>1</v>
      </c>
      <c r="I27" s="963">
        <v>22101</v>
      </c>
      <c r="J27" s="961">
        <v>1</v>
      </c>
      <c r="K27" s="961">
        <v>23</v>
      </c>
      <c r="L27" s="961">
        <v>1</v>
      </c>
      <c r="M27" s="961">
        <v>1</v>
      </c>
      <c r="N27" s="961" t="s">
        <v>6438</v>
      </c>
      <c r="O27" s="961">
        <v>13</v>
      </c>
      <c r="P27" s="964">
        <v>11500</v>
      </c>
      <c r="Q27" s="964"/>
      <c r="R27" s="964">
        <f t="shared" si="0"/>
        <v>11500</v>
      </c>
      <c r="S27" s="964">
        <v>6815.02</v>
      </c>
      <c r="T27" s="964">
        <v>6815.02</v>
      </c>
      <c r="U27" s="964">
        <v>6815.02</v>
      </c>
      <c r="V27" s="964">
        <v>6815.02</v>
      </c>
    </row>
    <row r="28" spans="1:22" x14ac:dyDescent="0.25">
      <c r="A28" s="965">
        <v>4121500800</v>
      </c>
      <c r="B28" s="961">
        <v>2</v>
      </c>
      <c r="C28" s="961">
        <v>2</v>
      </c>
      <c r="D28" s="961" t="s">
        <v>6436</v>
      </c>
      <c r="E28" s="961" t="s">
        <v>6437</v>
      </c>
      <c r="F28" s="966" t="s">
        <v>6439</v>
      </c>
      <c r="G28" s="961" t="s">
        <v>741</v>
      </c>
      <c r="H28" s="961">
        <v>1</v>
      </c>
      <c r="I28" s="963">
        <v>21101</v>
      </c>
      <c r="J28" s="961">
        <v>1</v>
      </c>
      <c r="K28" s="961">
        <v>23</v>
      </c>
      <c r="L28" s="961">
        <v>1</v>
      </c>
      <c r="M28" s="961">
        <v>1</v>
      </c>
      <c r="N28" s="961" t="s">
        <v>6438</v>
      </c>
      <c r="O28" s="961">
        <v>13</v>
      </c>
      <c r="P28" s="964">
        <v>18000</v>
      </c>
      <c r="Q28" s="964">
        <v>-1600</v>
      </c>
      <c r="R28" s="964">
        <f t="shared" si="0"/>
        <v>16400</v>
      </c>
      <c r="S28" s="964">
        <v>19825</v>
      </c>
      <c r="T28" s="964">
        <v>19825</v>
      </c>
      <c r="U28" s="964">
        <v>19825</v>
      </c>
      <c r="V28" s="964">
        <v>19825</v>
      </c>
    </row>
    <row r="29" spans="1:22" x14ac:dyDescent="0.25">
      <c r="A29" s="965">
        <v>4121500800</v>
      </c>
      <c r="B29" s="961">
        <v>2</v>
      </c>
      <c r="C29" s="961">
        <v>2</v>
      </c>
      <c r="D29" s="961" t="s">
        <v>6436</v>
      </c>
      <c r="E29" s="961" t="s">
        <v>6437</v>
      </c>
      <c r="F29" s="966" t="s">
        <v>6439</v>
      </c>
      <c r="G29" s="961" t="s">
        <v>741</v>
      </c>
      <c r="H29" s="961">
        <v>1</v>
      </c>
      <c r="I29" s="963">
        <v>21201</v>
      </c>
      <c r="J29" s="961">
        <v>1</v>
      </c>
      <c r="K29" s="961">
        <v>23</v>
      </c>
      <c r="L29" s="961">
        <v>1</v>
      </c>
      <c r="M29" s="961">
        <v>1</v>
      </c>
      <c r="N29" s="961" t="s">
        <v>6438</v>
      </c>
      <c r="O29" s="961">
        <v>13</v>
      </c>
      <c r="P29" s="964">
        <v>12500</v>
      </c>
      <c r="Q29" s="964">
        <v>-12500</v>
      </c>
      <c r="R29" s="964">
        <f t="shared" si="0"/>
        <v>0</v>
      </c>
      <c r="S29" s="964">
        <v>6815.02</v>
      </c>
      <c r="T29" s="964"/>
      <c r="U29" s="964"/>
      <c r="V29" s="964"/>
    </row>
    <row r="30" spans="1:22" x14ac:dyDescent="0.25">
      <c r="A30" s="965">
        <v>4121500800</v>
      </c>
      <c r="B30" s="961">
        <v>2</v>
      </c>
      <c r="C30" s="961">
        <v>2</v>
      </c>
      <c r="D30" s="961" t="s">
        <v>6436</v>
      </c>
      <c r="E30" s="961" t="s">
        <v>6437</v>
      </c>
      <c r="F30" s="966" t="s">
        <v>6439</v>
      </c>
      <c r="G30" s="961" t="s">
        <v>741</v>
      </c>
      <c r="H30" s="961">
        <v>1</v>
      </c>
      <c r="I30" s="963">
        <v>21401</v>
      </c>
      <c r="J30" s="961">
        <v>1</v>
      </c>
      <c r="K30" s="961">
        <v>23</v>
      </c>
      <c r="L30" s="961">
        <v>1</v>
      </c>
      <c r="M30" s="961">
        <v>1</v>
      </c>
      <c r="N30" s="961" t="s">
        <v>6438</v>
      </c>
      <c r="O30" s="961">
        <v>13</v>
      </c>
      <c r="P30" s="964">
        <v>3000</v>
      </c>
      <c r="Q30" s="964"/>
      <c r="R30" s="964">
        <f t="shared" si="0"/>
        <v>3000</v>
      </c>
      <c r="S30" s="964"/>
      <c r="T30" s="964"/>
      <c r="U30" s="964"/>
      <c r="V30" s="964"/>
    </row>
    <row r="31" spans="1:22" x14ac:dyDescent="0.25">
      <c r="A31" s="965">
        <v>4121500800</v>
      </c>
      <c r="B31" s="961">
        <v>2</v>
      </c>
      <c r="C31" s="961">
        <v>2</v>
      </c>
      <c r="D31" s="961" t="s">
        <v>6436</v>
      </c>
      <c r="E31" s="961" t="s">
        <v>6437</v>
      </c>
      <c r="F31" s="966" t="s">
        <v>6439</v>
      </c>
      <c r="G31" s="961" t="s">
        <v>741</v>
      </c>
      <c r="H31" s="961">
        <v>1</v>
      </c>
      <c r="I31" s="963">
        <v>21801</v>
      </c>
      <c r="J31" s="961">
        <v>1</v>
      </c>
      <c r="K31" s="961">
        <v>23</v>
      </c>
      <c r="L31" s="961">
        <v>1</v>
      </c>
      <c r="M31" s="961">
        <v>1</v>
      </c>
      <c r="N31" s="961" t="s">
        <v>6438</v>
      </c>
      <c r="O31" s="961">
        <v>13</v>
      </c>
      <c r="P31" s="964">
        <v>1500</v>
      </c>
      <c r="Q31" s="964"/>
      <c r="R31" s="964">
        <f t="shared" si="0"/>
        <v>1500</v>
      </c>
      <c r="S31" s="964">
        <v>1619</v>
      </c>
      <c r="T31" s="964">
        <v>1619</v>
      </c>
      <c r="U31" s="964">
        <v>1619</v>
      </c>
      <c r="V31" s="964">
        <v>1619</v>
      </c>
    </row>
    <row r="32" spans="1:22" x14ac:dyDescent="0.25">
      <c r="A32" s="965">
        <v>4121500800</v>
      </c>
      <c r="B32" s="961">
        <v>2</v>
      </c>
      <c r="C32" s="961">
        <v>2</v>
      </c>
      <c r="D32" s="961" t="s">
        <v>6436</v>
      </c>
      <c r="E32" s="961" t="s">
        <v>6437</v>
      </c>
      <c r="F32" s="966" t="s">
        <v>6439</v>
      </c>
      <c r="G32" s="961" t="s">
        <v>741</v>
      </c>
      <c r="H32" s="961">
        <v>1</v>
      </c>
      <c r="I32" s="963">
        <v>22101</v>
      </c>
      <c r="J32" s="961">
        <v>1</v>
      </c>
      <c r="K32" s="961">
        <v>23</v>
      </c>
      <c r="L32" s="961">
        <v>1</v>
      </c>
      <c r="M32" s="961">
        <v>1</v>
      </c>
      <c r="N32" s="961" t="s">
        <v>6438</v>
      </c>
      <c r="O32" s="961">
        <v>13</v>
      </c>
      <c r="P32" s="964">
        <v>3000</v>
      </c>
      <c r="Q32" s="964"/>
      <c r="R32" s="964">
        <f t="shared" si="0"/>
        <v>3000</v>
      </c>
      <c r="S32" s="964">
        <v>3452.42</v>
      </c>
      <c r="T32" s="964">
        <v>3452.42</v>
      </c>
      <c r="U32" s="964">
        <v>3452.42</v>
      </c>
      <c r="V32" s="964">
        <v>3452.42</v>
      </c>
    </row>
    <row r="33" spans="1:22" x14ac:dyDescent="0.25">
      <c r="A33" s="965">
        <v>4121500800</v>
      </c>
      <c r="B33" s="961">
        <v>2</v>
      </c>
      <c r="C33" s="961">
        <v>2</v>
      </c>
      <c r="D33" s="961" t="s">
        <v>6436</v>
      </c>
      <c r="E33" s="961" t="s">
        <v>6437</v>
      </c>
      <c r="F33" s="966" t="s">
        <v>6439</v>
      </c>
      <c r="G33" s="961" t="s">
        <v>741</v>
      </c>
      <c r="H33" s="961">
        <v>1</v>
      </c>
      <c r="I33" s="963">
        <v>26101</v>
      </c>
      <c r="J33" s="961">
        <v>1</v>
      </c>
      <c r="K33" s="961">
        <v>23</v>
      </c>
      <c r="L33" s="961">
        <v>1</v>
      </c>
      <c r="M33" s="961">
        <v>1</v>
      </c>
      <c r="N33" s="961" t="s">
        <v>6438</v>
      </c>
      <c r="O33" s="961">
        <v>13</v>
      </c>
      <c r="P33" s="964">
        <v>70000</v>
      </c>
      <c r="Q33" s="964">
        <v>-1900</v>
      </c>
      <c r="R33" s="964">
        <f t="shared" si="0"/>
        <v>68100</v>
      </c>
      <c r="S33" s="964">
        <v>77430</v>
      </c>
      <c r="T33" s="964">
        <v>77430</v>
      </c>
      <c r="U33" s="964">
        <v>77195.319999999992</v>
      </c>
      <c r="V33" s="964">
        <f>76958.2+237.12</f>
        <v>77195.319999999992</v>
      </c>
    </row>
    <row r="34" spans="1:22" x14ac:dyDescent="0.25">
      <c r="A34" s="965">
        <v>4121500800</v>
      </c>
      <c r="B34" s="961">
        <v>2</v>
      </c>
      <c r="C34" s="961">
        <v>2</v>
      </c>
      <c r="D34" s="961" t="s">
        <v>6436</v>
      </c>
      <c r="E34" s="961" t="s">
        <v>6437</v>
      </c>
      <c r="F34" s="966" t="s">
        <v>6439</v>
      </c>
      <c r="G34" s="961" t="s">
        <v>741</v>
      </c>
      <c r="H34" s="961">
        <v>1</v>
      </c>
      <c r="I34" s="963">
        <v>26102</v>
      </c>
      <c r="J34" s="961">
        <v>1</v>
      </c>
      <c r="K34" s="961">
        <v>23</v>
      </c>
      <c r="L34" s="961">
        <v>1</v>
      </c>
      <c r="M34" s="961">
        <v>1</v>
      </c>
      <c r="N34" s="961" t="s">
        <v>6438</v>
      </c>
      <c r="O34" s="961">
        <v>13</v>
      </c>
      <c r="P34" s="964">
        <v>1500</v>
      </c>
      <c r="Q34" s="964"/>
      <c r="R34" s="964">
        <f t="shared" si="0"/>
        <v>1500</v>
      </c>
      <c r="S34" s="964">
        <v>2020.45</v>
      </c>
      <c r="T34" s="964">
        <v>2020.45</v>
      </c>
      <c r="U34" s="964">
        <v>2020.45</v>
      </c>
      <c r="V34" s="964">
        <v>2020.45</v>
      </c>
    </row>
    <row r="35" spans="1:22" x14ac:dyDescent="0.25">
      <c r="A35" s="965">
        <v>4121500800</v>
      </c>
      <c r="B35" s="961">
        <v>2</v>
      </c>
      <c r="C35" s="961">
        <v>2</v>
      </c>
      <c r="D35" s="961" t="s">
        <v>6436</v>
      </c>
      <c r="E35" s="961" t="s">
        <v>6437</v>
      </c>
      <c r="F35" s="966" t="s">
        <v>6439</v>
      </c>
      <c r="G35" s="961" t="s">
        <v>741</v>
      </c>
      <c r="H35" s="961">
        <v>1</v>
      </c>
      <c r="I35" s="963">
        <v>27101</v>
      </c>
      <c r="J35" s="961">
        <v>1</v>
      </c>
      <c r="K35" s="961">
        <v>23</v>
      </c>
      <c r="L35" s="961">
        <v>1</v>
      </c>
      <c r="M35" s="961">
        <v>1</v>
      </c>
      <c r="N35" s="961" t="s">
        <v>6438</v>
      </c>
      <c r="O35" s="961">
        <v>13</v>
      </c>
      <c r="P35" s="964"/>
      <c r="Q35" s="964">
        <v>1900</v>
      </c>
      <c r="R35" s="964">
        <f t="shared" si="0"/>
        <v>1900</v>
      </c>
      <c r="S35" s="964">
        <v>1890.68</v>
      </c>
      <c r="T35" s="964">
        <v>1890.68</v>
      </c>
      <c r="U35" s="964">
        <v>1890.68</v>
      </c>
      <c r="V35" s="964">
        <v>1890.68</v>
      </c>
    </row>
    <row r="36" spans="1:22" x14ac:dyDescent="0.25">
      <c r="A36" s="965">
        <v>4121500800</v>
      </c>
      <c r="B36" s="961">
        <v>2</v>
      </c>
      <c r="C36" s="961">
        <v>2</v>
      </c>
      <c r="D36" s="961" t="s">
        <v>6436</v>
      </c>
      <c r="E36" s="961" t="s">
        <v>6437</v>
      </c>
      <c r="F36" s="966" t="s">
        <v>6439</v>
      </c>
      <c r="G36" s="961" t="s">
        <v>741</v>
      </c>
      <c r="H36" s="961">
        <v>1</v>
      </c>
      <c r="I36" s="963">
        <v>29201</v>
      </c>
      <c r="J36" s="961">
        <v>1</v>
      </c>
      <c r="K36" s="961">
        <v>23</v>
      </c>
      <c r="L36" s="961">
        <v>1</v>
      </c>
      <c r="M36" s="961">
        <v>1</v>
      </c>
      <c r="N36" s="961" t="s">
        <v>6438</v>
      </c>
      <c r="O36" s="961">
        <v>13</v>
      </c>
      <c r="P36" s="964"/>
      <c r="Q36" s="964"/>
      <c r="R36" s="964">
        <f t="shared" si="0"/>
        <v>0</v>
      </c>
      <c r="S36" s="964">
        <v>1184.51</v>
      </c>
      <c r="T36" s="964">
        <v>1184.51</v>
      </c>
      <c r="U36" s="964">
        <v>1184.51</v>
      </c>
      <c r="V36" s="964">
        <v>1184.51</v>
      </c>
    </row>
    <row r="37" spans="1:22" x14ac:dyDescent="0.25">
      <c r="A37" s="965">
        <v>4121500800</v>
      </c>
      <c r="B37" s="961">
        <v>2</v>
      </c>
      <c r="C37" s="961">
        <v>2</v>
      </c>
      <c r="D37" s="961" t="s">
        <v>6436</v>
      </c>
      <c r="E37" s="961" t="s">
        <v>6437</v>
      </c>
      <c r="F37" s="966" t="s">
        <v>6439</v>
      </c>
      <c r="G37" s="961" t="s">
        <v>741</v>
      </c>
      <c r="H37" s="961">
        <v>1</v>
      </c>
      <c r="I37" s="963">
        <v>29301</v>
      </c>
      <c r="J37" s="961">
        <v>1</v>
      </c>
      <c r="K37" s="961">
        <v>23</v>
      </c>
      <c r="L37" s="961">
        <v>1</v>
      </c>
      <c r="M37" s="961">
        <v>1</v>
      </c>
      <c r="N37" s="961" t="s">
        <v>6438</v>
      </c>
      <c r="O37" s="961">
        <v>13</v>
      </c>
      <c r="P37" s="964">
        <v>4000</v>
      </c>
      <c r="Q37" s="964">
        <v>-3353.01</v>
      </c>
      <c r="R37" s="964">
        <f t="shared" si="0"/>
        <v>646.98999999999978</v>
      </c>
      <c r="S37" s="964"/>
      <c r="T37" s="964"/>
      <c r="U37" s="964"/>
      <c r="V37" s="964"/>
    </row>
    <row r="38" spans="1:22" x14ac:dyDescent="0.25">
      <c r="A38" s="965">
        <v>4121500800</v>
      </c>
      <c r="B38" s="961">
        <v>2</v>
      </c>
      <c r="C38" s="961">
        <v>2</v>
      </c>
      <c r="D38" s="961" t="s">
        <v>6436</v>
      </c>
      <c r="E38" s="961" t="s">
        <v>6437</v>
      </c>
      <c r="F38" s="966" t="s">
        <v>6439</v>
      </c>
      <c r="G38" s="961" t="s">
        <v>741</v>
      </c>
      <c r="H38" s="961">
        <v>1</v>
      </c>
      <c r="I38" s="963">
        <v>29601</v>
      </c>
      <c r="J38" s="961">
        <v>1</v>
      </c>
      <c r="K38" s="961">
        <v>23</v>
      </c>
      <c r="L38" s="961">
        <v>1</v>
      </c>
      <c r="M38" s="961">
        <v>1</v>
      </c>
      <c r="N38" s="961" t="s">
        <v>6438</v>
      </c>
      <c r="O38" s="961">
        <v>13</v>
      </c>
      <c r="P38" s="964">
        <v>15000</v>
      </c>
      <c r="Q38" s="964"/>
      <c r="R38" s="964">
        <f t="shared" si="0"/>
        <v>15000</v>
      </c>
      <c r="S38" s="964">
        <v>3689.87</v>
      </c>
      <c r="T38" s="964">
        <v>3689.87</v>
      </c>
      <c r="U38" s="964">
        <v>2205.0700000000002</v>
      </c>
      <c r="V38" s="964">
        <v>2205.0700000000002</v>
      </c>
    </row>
    <row r="39" spans="1:22" x14ac:dyDescent="0.25">
      <c r="A39" s="965">
        <v>4121500800</v>
      </c>
      <c r="B39" s="961">
        <v>2</v>
      </c>
      <c r="C39" s="961">
        <v>2</v>
      </c>
      <c r="D39" s="961" t="s">
        <v>6436</v>
      </c>
      <c r="E39" s="961" t="s">
        <v>6437</v>
      </c>
      <c r="F39" s="966" t="s">
        <v>6439</v>
      </c>
      <c r="G39" s="961" t="s">
        <v>741</v>
      </c>
      <c r="H39" s="961">
        <v>1</v>
      </c>
      <c r="I39" s="963">
        <v>31801</v>
      </c>
      <c r="J39" s="961">
        <v>1</v>
      </c>
      <c r="K39" s="961">
        <v>23</v>
      </c>
      <c r="L39" s="961">
        <v>1</v>
      </c>
      <c r="M39" s="961">
        <v>1</v>
      </c>
      <c r="N39" s="961" t="s">
        <v>6438</v>
      </c>
      <c r="O39" s="961">
        <v>13</v>
      </c>
      <c r="P39" s="964">
        <v>3000</v>
      </c>
      <c r="Q39" s="964">
        <v>-3000</v>
      </c>
      <c r="R39" s="964">
        <f t="shared" si="0"/>
        <v>0</v>
      </c>
      <c r="S39" s="964"/>
      <c r="T39" s="964"/>
      <c r="U39" s="964"/>
      <c r="V39" s="964"/>
    </row>
    <row r="40" spans="1:22" x14ac:dyDescent="0.25">
      <c r="A40" s="965">
        <v>4121500800</v>
      </c>
      <c r="B40" s="961">
        <v>2</v>
      </c>
      <c r="C40" s="961">
        <v>2</v>
      </c>
      <c r="D40" s="961" t="s">
        <v>6436</v>
      </c>
      <c r="E40" s="961" t="s">
        <v>6437</v>
      </c>
      <c r="F40" s="966" t="s">
        <v>6439</v>
      </c>
      <c r="G40" s="961" t="s">
        <v>741</v>
      </c>
      <c r="H40" s="961">
        <v>1</v>
      </c>
      <c r="I40" s="963">
        <v>33101</v>
      </c>
      <c r="J40" s="961">
        <v>1</v>
      </c>
      <c r="K40" s="961">
        <v>23</v>
      </c>
      <c r="L40" s="961">
        <v>1</v>
      </c>
      <c r="M40" s="961">
        <v>1</v>
      </c>
      <c r="N40" s="961" t="s">
        <v>6438</v>
      </c>
      <c r="O40" s="961">
        <v>13</v>
      </c>
      <c r="P40" s="964">
        <v>370000</v>
      </c>
      <c r="Q40" s="964">
        <v>390345</v>
      </c>
      <c r="R40" s="964">
        <f t="shared" si="0"/>
        <v>760345</v>
      </c>
      <c r="S40" s="964">
        <v>688226.57</v>
      </c>
      <c r="T40" s="964">
        <v>688226.57</v>
      </c>
      <c r="U40" s="964">
        <v>688226.57</v>
      </c>
      <c r="V40" s="964">
        <v>688226.57</v>
      </c>
    </row>
    <row r="41" spans="1:22" x14ac:dyDescent="0.25">
      <c r="A41" s="965">
        <v>4121500800</v>
      </c>
      <c r="B41" s="961">
        <v>2</v>
      </c>
      <c r="C41" s="961">
        <v>2</v>
      </c>
      <c r="D41" s="961" t="s">
        <v>6436</v>
      </c>
      <c r="E41" s="961" t="s">
        <v>6437</v>
      </c>
      <c r="F41" s="966" t="s">
        <v>6439</v>
      </c>
      <c r="G41" s="961" t="s">
        <v>741</v>
      </c>
      <c r="H41" s="961">
        <v>1</v>
      </c>
      <c r="I41" s="963">
        <v>33603</v>
      </c>
      <c r="J41" s="961">
        <v>1</v>
      </c>
      <c r="K41" s="961">
        <v>23</v>
      </c>
      <c r="L41" s="961">
        <v>1</v>
      </c>
      <c r="M41" s="961">
        <v>1</v>
      </c>
      <c r="N41" s="961" t="s">
        <v>6438</v>
      </c>
      <c r="O41" s="961">
        <v>13</v>
      </c>
      <c r="P41" s="964">
        <v>2500</v>
      </c>
      <c r="Q41" s="964">
        <v>-2500</v>
      </c>
      <c r="R41" s="964">
        <f t="shared" si="0"/>
        <v>0</v>
      </c>
      <c r="S41" s="964"/>
      <c r="T41" s="964"/>
      <c r="U41" s="964"/>
      <c r="V41" s="964"/>
    </row>
    <row r="42" spans="1:22" x14ac:dyDescent="0.25">
      <c r="A42" s="965">
        <v>4121500800</v>
      </c>
      <c r="B42" s="961">
        <v>2</v>
      </c>
      <c r="C42" s="961">
        <v>2</v>
      </c>
      <c r="D42" s="961" t="s">
        <v>6436</v>
      </c>
      <c r="E42" s="961" t="s">
        <v>6437</v>
      </c>
      <c r="F42" s="966" t="s">
        <v>6439</v>
      </c>
      <c r="G42" s="961" t="s">
        <v>741</v>
      </c>
      <c r="H42" s="961">
        <v>1</v>
      </c>
      <c r="I42" s="963">
        <v>34401</v>
      </c>
      <c r="J42" s="961">
        <v>1</v>
      </c>
      <c r="K42" s="961">
        <v>23</v>
      </c>
      <c r="L42" s="961">
        <v>1</v>
      </c>
      <c r="M42" s="961">
        <v>1</v>
      </c>
      <c r="N42" s="961" t="s">
        <v>6438</v>
      </c>
      <c r="O42" s="961">
        <v>13</v>
      </c>
      <c r="P42" s="964"/>
      <c r="Q42" s="964"/>
      <c r="R42" s="964">
        <f t="shared" si="0"/>
        <v>0</v>
      </c>
      <c r="S42" s="964">
        <v>4425.92</v>
      </c>
      <c r="T42" s="964">
        <v>4425.92</v>
      </c>
      <c r="U42" s="964">
        <v>4425.92</v>
      </c>
      <c r="V42" s="964">
        <v>4425.92</v>
      </c>
    </row>
    <row r="43" spans="1:22" x14ac:dyDescent="0.25">
      <c r="A43" s="965">
        <v>4121500800</v>
      </c>
      <c r="B43" s="961">
        <v>2</v>
      </c>
      <c r="C43" s="961">
        <v>2</v>
      </c>
      <c r="D43" s="961" t="s">
        <v>6436</v>
      </c>
      <c r="E43" s="961" t="s">
        <v>6437</v>
      </c>
      <c r="F43" s="966" t="s">
        <v>6439</v>
      </c>
      <c r="G43" s="961" t="s">
        <v>741</v>
      </c>
      <c r="H43" s="961">
        <v>1</v>
      </c>
      <c r="I43" s="963">
        <v>35501</v>
      </c>
      <c r="J43" s="961">
        <v>1</v>
      </c>
      <c r="K43" s="961">
        <v>23</v>
      </c>
      <c r="L43" s="961">
        <v>1</v>
      </c>
      <c r="M43" s="961">
        <v>1</v>
      </c>
      <c r="N43" s="961" t="s">
        <v>6438</v>
      </c>
      <c r="O43" s="961">
        <v>13</v>
      </c>
      <c r="P43" s="964">
        <v>30000</v>
      </c>
      <c r="Q43" s="964">
        <f>-20000-6000</f>
        <v>-26000</v>
      </c>
      <c r="R43" s="964">
        <f t="shared" si="0"/>
        <v>4000</v>
      </c>
      <c r="S43" s="964">
        <v>3720.59</v>
      </c>
      <c r="T43" s="964">
        <v>3720.59</v>
      </c>
      <c r="U43" s="964">
        <v>3720.59</v>
      </c>
      <c r="V43" s="964">
        <v>3720.59</v>
      </c>
    </row>
    <row r="44" spans="1:22" x14ac:dyDescent="0.25">
      <c r="A44" s="965">
        <v>4121500800</v>
      </c>
      <c r="B44" s="961">
        <v>2</v>
      </c>
      <c r="C44" s="961">
        <v>2</v>
      </c>
      <c r="D44" s="961" t="s">
        <v>6436</v>
      </c>
      <c r="E44" s="961" t="s">
        <v>6437</v>
      </c>
      <c r="F44" s="966" t="s">
        <v>6439</v>
      </c>
      <c r="G44" s="961" t="s">
        <v>741</v>
      </c>
      <c r="H44" s="961">
        <v>1</v>
      </c>
      <c r="I44" s="963">
        <v>35701</v>
      </c>
      <c r="J44" s="961">
        <v>1</v>
      </c>
      <c r="K44" s="961">
        <v>23</v>
      </c>
      <c r="L44" s="961">
        <v>1</v>
      </c>
      <c r="M44" s="961">
        <v>1</v>
      </c>
      <c r="N44" s="961" t="s">
        <v>6438</v>
      </c>
      <c r="O44" s="961">
        <v>13</v>
      </c>
      <c r="P44" s="964">
        <v>10000</v>
      </c>
      <c r="Q44" s="964"/>
      <c r="R44" s="964">
        <f t="shared" si="0"/>
        <v>10000</v>
      </c>
      <c r="S44" s="964"/>
      <c r="T44" s="964"/>
      <c r="U44" s="964"/>
      <c r="V44" s="964"/>
    </row>
    <row r="45" spans="1:22" x14ac:dyDescent="0.25">
      <c r="A45" s="965">
        <v>4121500800</v>
      </c>
      <c r="B45" s="961">
        <v>2</v>
      </c>
      <c r="C45" s="961">
        <v>2</v>
      </c>
      <c r="D45" s="961" t="s">
        <v>6436</v>
      </c>
      <c r="E45" s="961" t="s">
        <v>6437</v>
      </c>
      <c r="F45" s="966" t="s">
        <v>6439</v>
      </c>
      <c r="G45" s="961" t="s">
        <v>741</v>
      </c>
      <c r="H45" s="961">
        <v>1</v>
      </c>
      <c r="I45" s="963">
        <v>35702</v>
      </c>
      <c r="J45" s="961">
        <v>1</v>
      </c>
      <c r="K45" s="961">
        <v>23</v>
      </c>
      <c r="L45" s="961">
        <v>1</v>
      </c>
      <c r="M45" s="961">
        <v>1</v>
      </c>
      <c r="N45" s="961" t="s">
        <v>6438</v>
      </c>
      <c r="O45" s="961">
        <v>13</v>
      </c>
      <c r="P45" s="964">
        <v>5000</v>
      </c>
      <c r="Q45" s="964"/>
      <c r="R45" s="964">
        <f t="shared" si="0"/>
        <v>5000</v>
      </c>
      <c r="S45" s="964"/>
      <c r="T45" s="964"/>
      <c r="U45" s="964"/>
      <c r="V45" s="964"/>
    </row>
    <row r="46" spans="1:22" x14ac:dyDescent="0.25">
      <c r="A46" s="965">
        <v>4121500800</v>
      </c>
      <c r="B46" s="961">
        <v>2</v>
      </c>
      <c r="C46" s="961">
        <v>2</v>
      </c>
      <c r="D46" s="961" t="s">
        <v>6436</v>
      </c>
      <c r="E46" s="961" t="s">
        <v>6437</v>
      </c>
      <c r="F46" s="966" t="s">
        <v>6439</v>
      </c>
      <c r="G46" s="961" t="s">
        <v>741</v>
      </c>
      <c r="H46" s="961">
        <v>1</v>
      </c>
      <c r="I46" s="963">
        <v>37101</v>
      </c>
      <c r="J46" s="961">
        <v>1</v>
      </c>
      <c r="K46" s="961">
        <v>23</v>
      </c>
      <c r="L46" s="961">
        <v>1</v>
      </c>
      <c r="M46" s="961">
        <v>1</v>
      </c>
      <c r="N46" s="961" t="s">
        <v>6438</v>
      </c>
      <c r="O46" s="961">
        <v>13</v>
      </c>
      <c r="P46" s="964">
        <v>35000</v>
      </c>
      <c r="Q46" s="964"/>
      <c r="R46" s="964">
        <f t="shared" si="0"/>
        <v>35000</v>
      </c>
      <c r="S46" s="964">
        <v>22806</v>
      </c>
      <c r="T46" s="964">
        <v>22806</v>
      </c>
      <c r="U46" s="964">
        <v>22806</v>
      </c>
      <c r="V46" s="964">
        <v>22806</v>
      </c>
    </row>
    <row r="47" spans="1:22" x14ac:dyDescent="0.25">
      <c r="A47" s="965">
        <v>4121500800</v>
      </c>
      <c r="B47" s="961">
        <v>2</v>
      </c>
      <c r="C47" s="961">
        <v>2</v>
      </c>
      <c r="D47" s="961" t="s">
        <v>6436</v>
      </c>
      <c r="E47" s="961" t="s">
        <v>6437</v>
      </c>
      <c r="F47" s="966" t="s">
        <v>6439</v>
      </c>
      <c r="G47" s="961" t="s">
        <v>741</v>
      </c>
      <c r="H47" s="961">
        <v>1</v>
      </c>
      <c r="I47" s="963">
        <v>37201</v>
      </c>
      <c r="J47" s="961">
        <v>1</v>
      </c>
      <c r="K47" s="961">
        <v>23</v>
      </c>
      <c r="L47" s="961">
        <v>1</v>
      </c>
      <c r="M47" s="961">
        <v>1</v>
      </c>
      <c r="N47" s="961" t="s">
        <v>6438</v>
      </c>
      <c r="O47" s="961">
        <v>13</v>
      </c>
      <c r="P47" s="964">
        <v>2000</v>
      </c>
      <c r="Q47" s="964"/>
      <c r="R47" s="964">
        <f t="shared" si="0"/>
        <v>2000</v>
      </c>
      <c r="S47" s="964">
        <v>558.65</v>
      </c>
      <c r="T47" s="964">
        <v>558.65</v>
      </c>
      <c r="U47" s="964">
        <v>558.65</v>
      </c>
      <c r="V47" s="964">
        <v>558.65</v>
      </c>
    </row>
    <row r="48" spans="1:22" x14ac:dyDescent="0.25">
      <c r="A48" s="965">
        <v>4121500800</v>
      </c>
      <c r="B48" s="961">
        <v>2</v>
      </c>
      <c r="C48" s="961">
        <v>2</v>
      </c>
      <c r="D48" s="961" t="s">
        <v>6436</v>
      </c>
      <c r="E48" s="961" t="s">
        <v>6437</v>
      </c>
      <c r="F48" s="966" t="s">
        <v>6439</v>
      </c>
      <c r="G48" s="961" t="s">
        <v>741</v>
      </c>
      <c r="H48" s="961">
        <v>1</v>
      </c>
      <c r="I48" s="963">
        <v>37501</v>
      </c>
      <c r="J48" s="961">
        <v>1</v>
      </c>
      <c r="K48" s="961">
        <v>23</v>
      </c>
      <c r="L48" s="961">
        <v>1</v>
      </c>
      <c r="M48" s="961">
        <v>1</v>
      </c>
      <c r="N48" s="961" t="s">
        <v>6438</v>
      </c>
      <c r="O48" s="961">
        <v>13</v>
      </c>
      <c r="P48" s="964">
        <v>50000</v>
      </c>
      <c r="Q48" s="964"/>
      <c r="R48" s="964">
        <f t="shared" si="0"/>
        <v>50000</v>
      </c>
      <c r="S48" s="964">
        <v>23911.79</v>
      </c>
      <c r="T48" s="964">
        <v>23911.79</v>
      </c>
      <c r="U48" s="964">
        <v>23911.79</v>
      </c>
      <c r="V48" s="964">
        <v>23911.79</v>
      </c>
    </row>
    <row r="49" spans="1:22" x14ac:dyDescent="0.25">
      <c r="A49" s="965">
        <v>4121500800</v>
      </c>
      <c r="B49" s="961">
        <v>2</v>
      </c>
      <c r="C49" s="961">
        <v>2</v>
      </c>
      <c r="D49" s="961" t="s">
        <v>6436</v>
      </c>
      <c r="E49" s="961" t="s">
        <v>6437</v>
      </c>
      <c r="F49" s="966" t="s">
        <v>6439</v>
      </c>
      <c r="G49" s="961" t="s">
        <v>741</v>
      </c>
      <c r="H49" s="961">
        <v>1</v>
      </c>
      <c r="I49" s="963">
        <v>37502</v>
      </c>
      <c r="J49" s="961">
        <v>1</v>
      </c>
      <c r="K49" s="961">
        <v>23</v>
      </c>
      <c r="L49" s="961">
        <v>1</v>
      </c>
      <c r="M49" s="961">
        <v>1</v>
      </c>
      <c r="N49" s="961" t="s">
        <v>6438</v>
      </c>
      <c r="O49" s="961">
        <v>13</v>
      </c>
      <c r="P49" s="964">
        <v>60000</v>
      </c>
      <c r="Q49" s="964">
        <v>-34400</v>
      </c>
      <c r="R49" s="964">
        <f t="shared" si="0"/>
        <v>25600</v>
      </c>
      <c r="S49" s="964">
        <v>25300</v>
      </c>
      <c r="T49" s="964">
        <v>25300</v>
      </c>
      <c r="U49" s="964">
        <v>25300</v>
      </c>
      <c r="V49" s="964">
        <v>25300</v>
      </c>
    </row>
    <row r="50" spans="1:22" x14ac:dyDescent="0.25">
      <c r="A50" s="965">
        <v>4121500800</v>
      </c>
      <c r="B50" s="961">
        <v>2</v>
      </c>
      <c r="C50" s="961">
        <v>2</v>
      </c>
      <c r="D50" s="961" t="s">
        <v>6436</v>
      </c>
      <c r="E50" s="961" t="s">
        <v>6437</v>
      </c>
      <c r="F50" s="966" t="s">
        <v>6439</v>
      </c>
      <c r="G50" s="961" t="s">
        <v>741</v>
      </c>
      <c r="H50" s="961">
        <v>1</v>
      </c>
      <c r="I50" s="963">
        <v>37901</v>
      </c>
      <c r="J50" s="961">
        <v>1</v>
      </c>
      <c r="K50" s="961">
        <v>23</v>
      </c>
      <c r="L50" s="961">
        <v>1</v>
      </c>
      <c r="M50" s="961">
        <v>1</v>
      </c>
      <c r="N50" s="961" t="s">
        <v>6438</v>
      </c>
      <c r="O50" s="961">
        <v>13</v>
      </c>
      <c r="P50" s="964">
        <v>10000</v>
      </c>
      <c r="Q50" s="964"/>
      <c r="R50" s="964">
        <f t="shared" si="0"/>
        <v>10000</v>
      </c>
      <c r="S50" s="964">
        <v>9124</v>
      </c>
      <c r="T50" s="964">
        <v>9124</v>
      </c>
      <c r="U50" s="964">
        <v>8948</v>
      </c>
      <c r="V50" s="964">
        <v>8948</v>
      </c>
    </row>
    <row r="51" spans="1:22" x14ac:dyDescent="0.25">
      <c r="A51" s="965">
        <v>4121500800</v>
      </c>
      <c r="B51" s="961">
        <v>2</v>
      </c>
      <c r="C51" s="961">
        <v>2</v>
      </c>
      <c r="D51" s="961" t="s">
        <v>6436</v>
      </c>
      <c r="E51" s="961" t="s">
        <v>6437</v>
      </c>
      <c r="F51" s="966" t="s">
        <v>6439</v>
      </c>
      <c r="G51" s="961" t="s">
        <v>741</v>
      </c>
      <c r="H51" s="961">
        <v>1</v>
      </c>
      <c r="I51" s="963">
        <v>99101</v>
      </c>
      <c r="J51" s="961">
        <v>1</v>
      </c>
      <c r="K51" s="961">
        <v>23</v>
      </c>
      <c r="L51" s="961">
        <v>1</v>
      </c>
      <c r="M51" s="961">
        <v>1</v>
      </c>
      <c r="N51" s="961" t="s">
        <v>6438</v>
      </c>
      <c r="O51" s="961">
        <v>13</v>
      </c>
      <c r="P51" s="964"/>
      <c r="Q51" s="964"/>
      <c r="R51" s="964">
        <f t="shared" si="0"/>
        <v>0</v>
      </c>
      <c r="S51" s="964"/>
      <c r="T51" s="964"/>
      <c r="U51" s="964"/>
      <c r="V51" s="964"/>
    </row>
    <row r="52" spans="1:22" x14ac:dyDescent="0.25">
      <c r="A52" s="967">
        <v>4121500800</v>
      </c>
      <c r="B52" s="961">
        <v>2</v>
      </c>
      <c r="C52" s="961">
        <v>2</v>
      </c>
      <c r="D52" s="961" t="s">
        <v>6436</v>
      </c>
      <c r="E52" s="961" t="s">
        <v>6437</v>
      </c>
      <c r="F52" s="966" t="s">
        <v>6439</v>
      </c>
      <c r="G52" s="961" t="s">
        <v>741</v>
      </c>
      <c r="H52" s="961">
        <v>1</v>
      </c>
      <c r="I52" s="963" t="s">
        <v>6440</v>
      </c>
      <c r="J52" s="961">
        <v>1</v>
      </c>
      <c r="K52" s="961">
        <v>23</v>
      </c>
      <c r="L52" s="961">
        <v>1</v>
      </c>
      <c r="M52" s="961">
        <v>1</v>
      </c>
      <c r="N52" s="961" t="s">
        <v>6438</v>
      </c>
      <c r="O52" s="961">
        <v>13</v>
      </c>
      <c r="P52" s="964">
        <v>1033291.68</v>
      </c>
      <c r="Q52" s="964"/>
      <c r="R52" s="964">
        <f t="shared" si="0"/>
        <v>1033291.68</v>
      </c>
      <c r="S52" s="964">
        <v>1079670.03</v>
      </c>
      <c r="T52" s="964">
        <v>1079670.03</v>
      </c>
      <c r="U52" s="964">
        <v>1079670.03</v>
      </c>
      <c r="V52" s="964">
        <v>1058840.71</v>
      </c>
    </row>
    <row r="53" spans="1:22" x14ac:dyDescent="0.25">
      <c r="A53" s="965">
        <v>4121500800</v>
      </c>
      <c r="B53" s="961">
        <v>2</v>
      </c>
      <c r="C53" s="961">
        <v>2</v>
      </c>
      <c r="D53" s="961" t="s">
        <v>6436</v>
      </c>
      <c r="E53" s="961" t="s">
        <v>6437</v>
      </c>
      <c r="F53" s="966" t="s">
        <v>6439</v>
      </c>
      <c r="G53" s="961" t="s">
        <v>741</v>
      </c>
      <c r="H53" s="961">
        <v>1</v>
      </c>
      <c r="I53" s="963" t="s">
        <v>6441</v>
      </c>
      <c r="J53" s="961">
        <v>1</v>
      </c>
      <c r="K53" s="961">
        <v>23</v>
      </c>
      <c r="L53" s="961">
        <v>1</v>
      </c>
      <c r="M53" s="961">
        <v>1</v>
      </c>
      <c r="N53" s="961" t="s">
        <v>6438</v>
      </c>
      <c r="O53" s="961">
        <v>13</v>
      </c>
      <c r="P53" s="964">
        <v>104335.87</v>
      </c>
      <c r="Q53" s="964">
        <v>16401</v>
      </c>
      <c r="R53" s="964">
        <f t="shared" si="0"/>
        <v>120736.87</v>
      </c>
      <c r="S53" s="964">
        <v>104335.87</v>
      </c>
      <c r="T53" s="964">
        <v>96310.01</v>
      </c>
      <c r="U53" s="964">
        <v>96310.01</v>
      </c>
      <c r="V53" s="964">
        <v>96310.01</v>
      </c>
    </row>
    <row r="54" spans="1:22" x14ac:dyDescent="0.25">
      <c r="A54" s="965">
        <v>4121500800</v>
      </c>
      <c r="B54" s="961">
        <v>2</v>
      </c>
      <c r="C54" s="961">
        <v>2</v>
      </c>
      <c r="D54" s="961" t="s">
        <v>6436</v>
      </c>
      <c r="E54" s="961" t="s">
        <v>6437</v>
      </c>
      <c r="F54" s="966" t="s">
        <v>6439</v>
      </c>
      <c r="G54" s="961" t="s">
        <v>741</v>
      </c>
      <c r="H54" s="961">
        <v>1</v>
      </c>
      <c r="I54" s="963" t="s">
        <v>6442</v>
      </c>
      <c r="J54" s="961">
        <v>1</v>
      </c>
      <c r="K54" s="961">
        <v>23</v>
      </c>
      <c r="L54" s="961">
        <v>1</v>
      </c>
      <c r="M54" s="961">
        <v>1</v>
      </c>
      <c r="N54" s="961" t="s">
        <v>6438</v>
      </c>
      <c r="O54" s="961">
        <v>13</v>
      </c>
      <c r="P54" s="964">
        <v>47881.2</v>
      </c>
      <c r="Q54" s="964"/>
      <c r="R54" s="964">
        <f t="shared" si="0"/>
        <v>47881.2</v>
      </c>
      <c r="S54" s="964">
        <v>68057.88</v>
      </c>
      <c r="T54" s="964">
        <v>68057.88</v>
      </c>
      <c r="U54" s="964">
        <v>68057.88</v>
      </c>
      <c r="V54" s="964">
        <v>68057.88</v>
      </c>
    </row>
    <row r="55" spans="1:22" x14ac:dyDescent="0.25">
      <c r="A55" s="965">
        <v>4121500800</v>
      </c>
      <c r="B55" s="961">
        <v>2</v>
      </c>
      <c r="C55" s="961">
        <v>2</v>
      </c>
      <c r="D55" s="961" t="s">
        <v>6436</v>
      </c>
      <c r="E55" s="961" t="s">
        <v>6437</v>
      </c>
      <c r="F55" s="966" t="s">
        <v>6439</v>
      </c>
      <c r="G55" s="961" t="s">
        <v>741</v>
      </c>
      <c r="H55" s="961">
        <v>1</v>
      </c>
      <c r="I55" s="963" t="s">
        <v>6443</v>
      </c>
      <c r="J55" s="961">
        <v>1</v>
      </c>
      <c r="K55" s="961">
        <v>23</v>
      </c>
      <c r="L55" s="961">
        <v>1</v>
      </c>
      <c r="M55" s="961">
        <v>1</v>
      </c>
      <c r="N55" s="961" t="s">
        <v>6438</v>
      </c>
      <c r="O55" s="961">
        <v>13</v>
      </c>
      <c r="P55" s="964">
        <v>10372.200000000001</v>
      </c>
      <c r="Q55" s="964"/>
      <c r="R55" s="964">
        <f t="shared" si="0"/>
        <v>10372.200000000001</v>
      </c>
      <c r="S55" s="964">
        <v>10372.200000000001</v>
      </c>
      <c r="T55" s="964">
        <v>4668.3</v>
      </c>
      <c r="U55" s="964">
        <v>4668.3</v>
      </c>
      <c r="V55" s="964">
        <v>4668.3</v>
      </c>
    </row>
    <row r="56" spans="1:22" x14ac:dyDescent="0.25">
      <c r="A56" s="965">
        <v>4121500800</v>
      </c>
      <c r="B56" s="961">
        <v>2</v>
      </c>
      <c r="C56" s="961">
        <v>2</v>
      </c>
      <c r="D56" s="961" t="s">
        <v>6436</v>
      </c>
      <c r="E56" s="961" t="s">
        <v>6437</v>
      </c>
      <c r="F56" s="966" t="s">
        <v>6439</v>
      </c>
      <c r="G56" s="961" t="s">
        <v>741</v>
      </c>
      <c r="H56" s="961">
        <v>1</v>
      </c>
      <c r="I56" s="963" t="s">
        <v>6444</v>
      </c>
      <c r="J56" s="961">
        <v>1</v>
      </c>
      <c r="K56" s="961">
        <v>23</v>
      </c>
      <c r="L56" s="961">
        <v>1</v>
      </c>
      <c r="M56" s="961">
        <v>1</v>
      </c>
      <c r="N56" s="961" t="s">
        <v>6438</v>
      </c>
      <c r="O56" s="961">
        <v>13</v>
      </c>
      <c r="P56" s="964">
        <v>20744.400000000001</v>
      </c>
      <c r="Q56" s="964"/>
      <c r="R56" s="964">
        <f t="shared" si="0"/>
        <v>20744.400000000001</v>
      </c>
      <c r="S56" s="964">
        <v>20744.400000000001</v>
      </c>
      <c r="T56" s="964">
        <v>15751.05</v>
      </c>
      <c r="U56" s="964">
        <v>15751.05</v>
      </c>
      <c r="V56" s="964">
        <v>15751.05</v>
      </c>
    </row>
    <row r="57" spans="1:22" x14ac:dyDescent="0.25">
      <c r="A57" s="965">
        <v>4121500800</v>
      </c>
      <c r="B57" s="961">
        <v>2</v>
      </c>
      <c r="C57" s="961">
        <v>2</v>
      </c>
      <c r="D57" s="961" t="s">
        <v>6436</v>
      </c>
      <c r="E57" s="961" t="s">
        <v>6437</v>
      </c>
      <c r="F57" s="966" t="s">
        <v>6439</v>
      </c>
      <c r="G57" s="961" t="s">
        <v>741</v>
      </c>
      <c r="H57" s="961">
        <v>1</v>
      </c>
      <c r="I57" s="963" t="s">
        <v>6445</v>
      </c>
      <c r="J57" s="961">
        <v>1</v>
      </c>
      <c r="K57" s="961">
        <v>23</v>
      </c>
      <c r="L57" s="961">
        <v>1</v>
      </c>
      <c r="M57" s="961">
        <v>1</v>
      </c>
      <c r="N57" s="961" t="s">
        <v>6438</v>
      </c>
      <c r="O57" s="961">
        <v>13</v>
      </c>
      <c r="P57" s="964">
        <v>280244.15999999997</v>
      </c>
      <c r="Q57" s="964"/>
      <c r="R57" s="964">
        <f t="shared" si="0"/>
        <v>280244.15999999997</v>
      </c>
      <c r="S57" s="964">
        <v>297413.56</v>
      </c>
      <c r="T57" s="964">
        <v>297413.56</v>
      </c>
      <c r="U57" s="964">
        <v>297413.56</v>
      </c>
      <c r="V57" s="964">
        <v>297413.56</v>
      </c>
    </row>
    <row r="58" spans="1:22" x14ac:dyDescent="0.25">
      <c r="A58" s="965">
        <v>4121500800</v>
      </c>
      <c r="B58" s="961">
        <v>2</v>
      </c>
      <c r="C58" s="961">
        <v>2</v>
      </c>
      <c r="D58" s="961" t="s">
        <v>6436</v>
      </c>
      <c r="E58" s="961" t="s">
        <v>6437</v>
      </c>
      <c r="F58" s="966" t="s">
        <v>6439</v>
      </c>
      <c r="G58" s="961" t="s">
        <v>741</v>
      </c>
      <c r="H58" s="961">
        <v>1</v>
      </c>
      <c r="I58" s="963" t="s">
        <v>6446</v>
      </c>
      <c r="J58" s="961">
        <v>1</v>
      </c>
      <c r="K58" s="961">
        <v>23</v>
      </c>
      <c r="L58" s="961">
        <v>1</v>
      </c>
      <c r="M58" s="961">
        <v>1</v>
      </c>
      <c r="N58" s="961" t="s">
        <v>6438</v>
      </c>
      <c r="O58" s="961">
        <v>13</v>
      </c>
      <c r="P58" s="964">
        <v>703423.2</v>
      </c>
      <c r="Q58" s="964"/>
      <c r="R58" s="964">
        <f t="shared" si="0"/>
        <v>703423.2</v>
      </c>
      <c r="S58" s="964">
        <v>723111.49</v>
      </c>
      <c r="T58" s="964">
        <v>723111.49</v>
      </c>
      <c r="U58" s="964">
        <v>723111.49</v>
      </c>
      <c r="V58" s="964">
        <v>723111.49</v>
      </c>
    </row>
    <row r="59" spans="1:22" x14ac:dyDescent="0.25">
      <c r="A59" s="965">
        <v>4121500800</v>
      </c>
      <c r="B59" s="961">
        <v>2</v>
      </c>
      <c r="C59" s="961">
        <v>2</v>
      </c>
      <c r="D59" s="961" t="s">
        <v>6436</v>
      </c>
      <c r="E59" s="961" t="s">
        <v>6437</v>
      </c>
      <c r="F59" s="966" t="s">
        <v>6439</v>
      </c>
      <c r="G59" s="961" t="s">
        <v>741</v>
      </c>
      <c r="H59" s="961">
        <v>1</v>
      </c>
      <c r="I59" s="963" t="s">
        <v>6447</v>
      </c>
      <c r="J59" s="961">
        <v>1</v>
      </c>
      <c r="K59" s="961">
        <v>23</v>
      </c>
      <c r="L59" s="961">
        <v>1</v>
      </c>
      <c r="M59" s="961">
        <v>1</v>
      </c>
      <c r="N59" s="961" t="s">
        <v>6438</v>
      </c>
      <c r="O59" s="961">
        <v>13</v>
      </c>
      <c r="P59" s="964">
        <v>1056</v>
      </c>
      <c r="Q59" s="964"/>
      <c r="R59" s="964">
        <f t="shared" si="0"/>
        <v>1056</v>
      </c>
      <c r="S59" s="964">
        <v>1155</v>
      </c>
      <c r="T59" s="964">
        <v>1155</v>
      </c>
      <c r="U59" s="964">
        <v>1155</v>
      </c>
      <c r="V59" s="964">
        <v>1155</v>
      </c>
    </row>
    <row r="60" spans="1:22" x14ac:dyDescent="0.25">
      <c r="A60" s="965">
        <v>4121500800</v>
      </c>
      <c r="B60" s="961">
        <v>2</v>
      </c>
      <c r="C60" s="961">
        <v>2</v>
      </c>
      <c r="D60" s="961" t="s">
        <v>6436</v>
      </c>
      <c r="E60" s="961" t="s">
        <v>6437</v>
      </c>
      <c r="F60" s="966" t="s">
        <v>6439</v>
      </c>
      <c r="G60" s="961" t="s">
        <v>741</v>
      </c>
      <c r="H60" s="961">
        <v>1</v>
      </c>
      <c r="I60" s="963" t="s">
        <v>6448</v>
      </c>
      <c r="J60" s="961">
        <v>1</v>
      </c>
      <c r="K60" s="961">
        <v>23</v>
      </c>
      <c r="L60" s="961">
        <v>1</v>
      </c>
      <c r="M60" s="961">
        <v>1</v>
      </c>
      <c r="N60" s="961" t="s">
        <v>6438</v>
      </c>
      <c r="O60" s="961">
        <v>13</v>
      </c>
      <c r="P60" s="964">
        <v>162</v>
      </c>
      <c r="Q60" s="964"/>
      <c r="R60" s="964">
        <f t="shared" si="0"/>
        <v>162</v>
      </c>
      <c r="S60" s="964">
        <v>324</v>
      </c>
      <c r="T60" s="964">
        <v>324</v>
      </c>
      <c r="U60" s="964">
        <v>310.5</v>
      </c>
      <c r="V60" s="964">
        <v>310.5</v>
      </c>
    </row>
    <row r="61" spans="1:22" x14ac:dyDescent="0.25">
      <c r="A61" s="965">
        <v>4121500800</v>
      </c>
      <c r="B61" s="961">
        <v>2</v>
      </c>
      <c r="C61" s="961">
        <v>2</v>
      </c>
      <c r="D61" s="961" t="s">
        <v>6436</v>
      </c>
      <c r="E61" s="961" t="s">
        <v>6437</v>
      </c>
      <c r="F61" s="966" t="s">
        <v>6439</v>
      </c>
      <c r="G61" s="961" t="s">
        <v>741</v>
      </c>
      <c r="H61" s="961">
        <v>1</v>
      </c>
      <c r="I61" s="963" t="s">
        <v>6449</v>
      </c>
      <c r="J61" s="961">
        <v>1</v>
      </c>
      <c r="K61" s="961">
        <v>23</v>
      </c>
      <c r="L61" s="961">
        <v>1</v>
      </c>
      <c r="M61" s="961">
        <v>1</v>
      </c>
      <c r="N61" s="961" t="s">
        <v>6438</v>
      </c>
      <c r="O61" s="961">
        <v>13</v>
      </c>
      <c r="P61" s="964">
        <v>1348.56</v>
      </c>
      <c r="Q61" s="964"/>
      <c r="R61" s="964">
        <f t="shared" si="0"/>
        <v>1348.56</v>
      </c>
      <c r="S61" s="964">
        <v>2942.12</v>
      </c>
      <c r="T61" s="964">
        <v>2942.12</v>
      </c>
      <c r="U61" s="964">
        <v>2942.12</v>
      </c>
      <c r="V61" s="964">
        <v>2942.12</v>
      </c>
    </row>
    <row r="62" spans="1:22" x14ac:dyDescent="0.25">
      <c r="A62" s="965">
        <v>4121500800</v>
      </c>
      <c r="B62" s="961">
        <v>2</v>
      </c>
      <c r="C62" s="961">
        <v>2</v>
      </c>
      <c r="D62" s="961" t="s">
        <v>6436</v>
      </c>
      <c r="E62" s="961" t="s">
        <v>6437</v>
      </c>
      <c r="F62" s="966" t="s">
        <v>6439</v>
      </c>
      <c r="G62" s="961" t="s">
        <v>741</v>
      </c>
      <c r="H62" s="961">
        <v>1</v>
      </c>
      <c r="I62" s="963">
        <v>15404</v>
      </c>
      <c r="J62" s="961">
        <v>1</v>
      </c>
      <c r="K62" s="961">
        <v>23</v>
      </c>
      <c r="L62" s="961">
        <v>1</v>
      </c>
      <c r="M62" s="961">
        <v>1</v>
      </c>
      <c r="N62" s="961" t="s">
        <v>6438</v>
      </c>
      <c r="O62" s="961">
        <v>13</v>
      </c>
      <c r="P62" s="964">
        <v>7203.76</v>
      </c>
      <c r="Q62" s="964"/>
      <c r="R62" s="964">
        <f t="shared" si="0"/>
        <v>7203.76</v>
      </c>
      <c r="S62" s="964">
        <v>15716</v>
      </c>
      <c r="T62" s="964">
        <v>15716</v>
      </c>
      <c r="U62" s="964">
        <v>15716</v>
      </c>
      <c r="V62" s="964">
        <v>15716</v>
      </c>
    </row>
    <row r="63" spans="1:22" x14ac:dyDescent="0.25">
      <c r="A63" s="965">
        <v>4121500800</v>
      </c>
      <c r="B63" s="961">
        <v>2</v>
      </c>
      <c r="C63" s="961">
        <v>2</v>
      </c>
      <c r="D63" s="961" t="s">
        <v>6436</v>
      </c>
      <c r="E63" s="961" t="s">
        <v>6437</v>
      </c>
      <c r="F63" s="966" t="s">
        <v>6439</v>
      </c>
      <c r="G63" s="961" t="s">
        <v>741</v>
      </c>
      <c r="H63" s="961">
        <v>1</v>
      </c>
      <c r="I63" s="963">
        <v>15409</v>
      </c>
      <c r="J63" s="961">
        <v>1</v>
      </c>
      <c r="K63" s="961">
        <v>23</v>
      </c>
      <c r="L63" s="961">
        <v>1</v>
      </c>
      <c r="M63" s="961">
        <v>1</v>
      </c>
      <c r="N63" s="961" t="s">
        <v>6438</v>
      </c>
      <c r="O63" s="961">
        <v>13</v>
      </c>
      <c r="P63" s="964">
        <v>15720</v>
      </c>
      <c r="Q63" s="964"/>
      <c r="R63" s="964">
        <f t="shared" si="0"/>
        <v>15720</v>
      </c>
      <c r="S63" s="964">
        <v>31440</v>
      </c>
      <c r="T63" s="964">
        <v>31440</v>
      </c>
      <c r="U63" s="964">
        <v>31440</v>
      </c>
      <c r="V63" s="964">
        <v>31440</v>
      </c>
    </row>
    <row r="64" spans="1:22" x14ac:dyDescent="0.25">
      <c r="A64" s="965">
        <v>4121500800</v>
      </c>
      <c r="B64" s="961">
        <v>2</v>
      </c>
      <c r="C64" s="961">
        <v>2</v>
      </c>
      <c r="D64" s="961" t="s">
        <v>6436</v>
      </c>
      <c r="E64" s="961" t="s">
        <v>6437</v>
      </c>
      <c r="F64" s="966" t="s">
        <v>6439</v>
      </c>
      <c r="G64" s="961" t="s">
        <v>741</v>
      </c>
      <c r="H64" s="961">
        <v>1</v>
      </c>
      <c r="I64" s="963">
        <v>15417</v>
      </c>
      <c r="J64" s="961">
        <v>1</v>
      </c>
      <c r="K64" s="961">
        <v>23</v>
      </c>
      <c r="L64" s="961">
        <v>1</v>
      </c>
      <c r="M64" s="961">
        <v>1</v>
      </c>
      <c r="N64" s="961" t="s">
        <v>6438</v>
      </c>
      <c r="O64" s="961">
        <v>13</v>
      </c>
      <c r="P64" s="964">
        <v>8772</v>
      </c>
      <c r="Q64" s="964"/>
      <c r="R64" s="964">
        <f t="shared" si="0"/>
        <v>8772</v>
      </c>
      <c r="S64" s="964">
        <v>18384</v>
      </c>
      <c r="T64" s="964">
        <v>18384</v>
      </c>
      <c r="U64" s="964">
        <v>18384</v>
      </c>
      <c r="V64" s="964">
        <v>18384</v>
      </c>
    </row>
    <row r="65" spans="1:22" x14ac:dyDescent="0.25">
      <c r="A65" s="965">
        <v>4121500800</v>
      </c>
      <c r="B65" s="961">
        <v>2</v>
      </c>
      <c r="C65" s="961">
        <v>2</v>
      </c>
      <c r="D65" s="961" t="s">
        <v>6436</v>
      </c>
      <c r="E65" s="961" t="s">
        <v>6437</v>
      </c>
      <c r="F65" s="966" t="s">
        <v>6439</v>
      </c>
      <c r="G65" s="961" t="s">
        <v>741</v>
      </c>
      <c r="H65" s="961">
        <v>1</v>
      </c>
      <c r="I65" s="963">
        <v>15418</v>
      </c>
      <c r="J65" s="961">
        <v>1</v>
      </c>
      <c r="K65" s="961">
        <v>23</v>
      </c>
      <c r="L65" s="961">
        <v>1</v>
      </c>
      <c r="M65" s="961">
        <v>1</v>
      </c>
      <c r="N65" s="961" t="s">
        <v>6438</v>
      </c>
      <c r="O65" s="961">
        <v>13</v>
      </c>
      <c r="P65" s="964">
        <v>4322.26</v>
      </c>
      <c r="Q65" s="964"/>
      <c r="R65" s="964">
        <f t="shared" si="0"/>
        <v>4322.26</v>
      </c>
      <c r="S65" s="964">
        <v>9429.6</v>
      </c>
      <c r="T65" s="964">
        <v>9429.6</v>
      </c>
      <c r="U65" s="964">
        <v>9429.6</v>
      </c>
      <c r="V65" s="964">
        <v>9429.6</v>
      </c>
    </row>
    <row r="66" spans="1:22" x14ac:dyDescent="0.25">
      <c r="A66" s="965">
        <v>4121500800</v>
      </c>
      <c r="B66" s="961">
        <v>2</v>
      </c>
      <c r="C66" s="961">
        <v>2</v>
      </c>
      <c r="D66" s="961" t="s">
        <v>6436</v>
      </c>
      <c r="E66" s="961" t="s">
        <v>6437</v>
      </c>
      <c r="F66" s="966" t="s">
        <v>6439</v>
      </c>
      <c r="G66" s="961" t="s">
        <v>741</v>
      </c>
      <c r="H66" s="961">
        <v>1</v>
      </c>
      <c r="I66" s="963" t="s">
        <v>6450</v>
      </c>
      <c r="J66" s="961">
        <v>1</v>
      </c>
      <c r="K66" s="961">
        <v>23</v>
      </c>
      <c r="L66" s="961">
        <v>1</v>
      </c>
      <c r="M66" s="961">
        <v>1</v>
      </c>
      <c r="N66" s="961" t="s">
        <v>6438</v>
      </c>
      <c r="O66" s="961">
        <v>13</v>
      </c>
      <c r="P66" s="964">
        <v>9696</v>
      </c>
      <c r="Q66" s="964"/>
      <c r="R66" s="964">
        <f t="shared" si="0"/>
        <v>9696</v>
      </c>
      <c r="S66" s="964">
        <v>20232</v>
      </c>
      <c r="T66" s="964">
        <v>20232</v>
      </c>
      <c r="U66" s="964">
        <v>20232</v>
      </c>
      <c r="V66" s="964">
        <v>20232</v>
      </c>
    </row>
    <row r="67" spans="1:22" x14ac:dyDescent="0.25">
      <c r="A67" s="965">
        <v>4121500800</v>
      </c>
      <c r="B67" s="961">
        <v>2</v>
      </c>
      <c r="C67" s="961">
        <v>2</v>
      </c>
      <c r="D67" s="961" t="s">
        <v>6436</v>
      </c>
      <c r="E67" s="961" t="s">
        <v>6437</v>
      </c>
      <c r="F67" s="966" t="s">
        <v>6439</v>
      </c>
      <c r="G67" s="961" t="s">
        <v>741</v>
      </c>
      <c r="H67" s="961">
        <v>1</v>
      </c>
      <c r="I67" s="963">
        <v>15423</v>
      </c>
      <c r="J67" s="961">
        <v>1</v>
      </c>
      <c r="K67" s="961">
        <v>23</v>
      </c>
      <c r="L67" s="961">
        <v>1</v>
      </c>
      <c r="M67" s="961">
        <v>1</v>
      </c>
      <c r="N67" s="961" t="s">
        <v>6438</v>
      </c>
      <c r="O67" s="961">
        <v>13</v>
      </c>
      <c r="P67" s="964"/>
      <c r="Q67" s="964"/>
      <c r="R67" s="964">
        <f t="shared" si="0"/>
        <v>0</v>
      </c>
      <c r="S67" s="964">
        <v>1460</v>
      </c>
      <c r="T67" s="964">
        <v>1460</v>
      </c>
      <c r="U67" s="964">
        <v>1460</v>
      </c>
      <c r="V67" s="964">
        <v>1460</v>
      </c>
    </row>
    <row r="68" spans="1:22" x14ac:dyDescent="0.25">
      <c r="A68" s="965">
        <v>4121500800</v>
      </c>
      <c r="B68" s="961">
        <v>2</v>
      </c>
      <c r="C68" s="961">
        <v>2</v>
      </c>
      <c r="D68" s="961" t="s">
        <v>6436</v>
      </c>
      <c r="E68" s="961" t="s">
        <v>6437</v>
      </c>
      <c r="F68" s="966" t="s">
        <v>6439</v>
      </c>
      <c r="G68" s="961" t="s">
        <v>741</v>
      </c>
      <c r="H68" s="961">
        <v>1</v>
      </c>
      <c r="I68" s="963">
        <v>15424</v>
      </c>
      <c r="J68" s="961">
        <v>1</v>
      </c>
      <c r="K68" s="961">
        <v>23</v>
      </c>
      <c r="L68" s="961">
        <v>1</v>
      </c>
      <c r="M68" s="961">
        <v>1</v>
      </c>
      <c r="N68" s="961" t="s">
        <v>6438</v>
      </c>
      <c r="O68" s="961">
        <v>13</v>
      </c>
      <c r="P68" s="964">
        <v>630</v>
      </c>
      <c r="Q68" s="964"/>
      <c r="R68" s="964">
        <f t="shared" si="0"/>
        <v>630</v>
      </c>
      <c r="S68" s="964">
        <v>950</v>
      </c>
      <c r="T68" s="964">
        <v>950</v>
      </c>
      <c r="U68" s="964">
        <v>950</v>
      </c>
      <c r="V68" s="964">
        <v>950</v>
      </c>
    </row>
    <row r="69" spans="1:22" x14ac:dyDescent="0.25">
      <c r="A69" s="965">
        <v>4121500800</v>
      </c>
      <c r="B69" s="961">
        <v>2</v>
      </c>
      <c r="C69" s="961">
        <v>2</v>
      </c>
      <c r="D69" s="961" t="s">
        <v>6436</v>
      </c>
      <c r="E69" s="961" t="s">
        <v>6437</v>
      </c>
      <c r="F69" s="966" t="s">
        <v>6439</v>
      </c>
      <c r="G69" s="961" t="s">
        <v>741</v>
      </c>
      <c r="H69" s="961">
        <v>1</v>
      </c>
      <c r="I69" s="963">
        <v>15425</v>
      </c>
      <c r="J69" s="961">
        <v>1</v>
      </c>
      <c r="K69" s="961">
        <v>23</v>
      </c>
      <c r="L69" s="961">
        <v>1</v>
      </c>
      <c r="M69" s="961">
        <v>1</v>
      </c>
      <c r="N69" s="961" t="s">
        <v>6438</v>
      </c>
      <c r="O69" s="961">
        <v>13</v>
      </c>
      <c r="P69" s="964">
        <v>5004</v>
      </c>
      <c r="Q69" s="964"/>
      <c r="R69" s="964">
        <f t="shared" si="0"/>
        <v>5004</v>
      </c>
      <c r="S69" s="964">
        <v>11448</v>
      </c>
      <c r="T69" s="964">
        <v>11448</v>
      </c>
      <c r="U69" s="964">
        <v>11448</v>
      </c>
      <c r="V69" s="964">
        <v>11448</v>
      </c>
    </row>
    <row r="70" spans="1:22" x14ac:dyDescent="0.25">
      <c r="A70" s="965">
        <v>4121500800</v>
      </c>
      <c r="B70" s="961">
        <v>2</v>
      </c>
      <c r="C70" s="961">
        <v>2</v>
      </c>
      <c r="D70" s="961" t="s">
        <v>6436</v>
      </c>
      <c r="E70" s="961" t="s">
        <v>6437</v>
      </c>
      <c r="F70" s="966" t="s">
        <v>6439</v>
      </c>
      <c r="G70" s="961" t="s">
        <v>741</v>
      </c>
      <c r="H70" s="961">
        <v>1</v>
      </c>
      <c r="I70" s="963">
        <v>15427</v>
      </c>
      <c r="J70" s="961">
        <v>1</v>
      </c>
      <c r="K70" s="961">
        <v>23</v>
      </c>
      <c r="L70" s="961">
        <v>1</v>
      </c>
      <c r="M70" s="961">
        <v>1</v>
      </c>
      <c r="N70" s="961" t="s">
        <v>6438</v>
      </c>
      <c r="O70" s="961">
        <v>13</v>
      </c>
      <c r="P70" s="964">
        <v>1800</v>
      </c>
      <c r="Q70" s="964"/>
      <c r="R70" s="964">
        <f t="shared" si="0"/>
        <v>1800</v>
      </c>
      <c r="S70" s="964">
        <v>2700</v>
      </c>
      <c r="T70" s="964">
        <v>2700</v>
      </c>
      <c r="U70" s="964">
        <v>2700</v>
      </c>
      <c r="V70" s="964">
        <v>2700</v>
      </c>
    </row>
    <row r="71" spans="1:22" x14ac:dyDescent="0.25">
      <c r="A71" s="965">
        <v>4121500800</v>
      </c>
      <c r="B71" s="961">
        <v>2</v>
      </c>
      <c r="C71" s="961">
        <v>2</v>
      </c>
      <c r="D71" s="961" t="s">
        <v>6436</v>
      </c>
      <c r="E71" s="961" t="s">
        <v>6437</v>
      </c>
      <c r="F71" s="966" t="s">
        <v>6439</v>
      </c>
      <c r="G71" s="961" t="s">
        <v>741</v>
      </c>
      <c r="H71" s="961">
        <v>1</v>
      </c>
      <c r="I71" s="963">
        <v>15430</v>
      </c>
      <c r="J71" s="961">
        <v>1</v>
      </c>
      <c r="K71" s="961">
        <v>23</v>
      </c>
      <c r="L71" s="961">
        <v>1</v>
      </c>
      <c r="M71" s="961">
        <v>1</v>
      </c>
      <c r="N71" s="961" t="s">
        <v>6438</v>
      </c>
      <c r="O71" s="961">
        <v>13</v>
      </c>
      <c r="P71" s="964">
        <v>750</v>
      </c>
      <c r="Q71" s="964"/>
      <c r="R71" s="964">
        <f t="shared" si="0"/>
        <v>750</v>
      </c>
      <c r="S71" s="964">
        <v>1600</v>
      </c>
      <c r="T71" s="964">
        <v>1600</v>
      </c>
      <c r="U71" s="964">
        <v>1600</v>
      </c>
      <c r="V71" s="964">
        <v>1600</v>
      </c>
    </row>
    <row r="72" spans="1:22" x14ac:dyDescent="0.25">
      <c r="A72" s="965">
        <v>4121500800</v>
      </c>
      <c r="B72" s="961">
        <v>2</v>
      </c>
      <c r="C72" s="961">
        <v>2</v>
      </c>
      <c r="D72" s="961" t="s">
        <v>6436</v>
      </c>
      <c r="E72" s="961" t="s">
        <v>6437</v>
      </c>
      <c r="F72" s="966" t="s">
        <v>6439</v>
      </c>
      <c r="G72" s="961" t="s">
        <v>741</v>
      </c>
      <c r="H72" s="961">
        <v>1</v>
      </c>
      <c r="I72" s="963" t="s">
        <v>6451</v>
      </c>
      <c r="J72" s="961">
        <v>1</v>
      </c>
      <c r="K72" s="961">
        <v>23</v>
      </c>
      <c r="L72" s="961">
        <v>1</v>
      </c>
      <c r="M72" s="961">
        <v>1</v>
      </c>
      <c r="N72" s="961" t="s">
        <v>6438</v>
      </c>
      <c r="O72" s="961">
        <v>13</v>
      </c>
      <c r="P72" s="964">
        <v>324673.91999999998</v>
      </c>
      <c r="Q72" s="964"/>
      <c r="R72" s="964">
        <f t="shared" ref="R72:R137" si="1">SUM(P72:Q72)</f>
        <v>324673.91999999998</v>
      </c>
      <c r="S72" s="964">
        <v>349116.74</v>
      </c>
      <c r="T72" s="964">
        <v>349116.74</v>
      </c>
      <c r="U72" s="964">
        <f>305809.11+24914.19</f>
        <v>330723.3</v>
      </c>
      <c r="V72" s="964">
        <v>305809.11</v>
      </c>
    </row>
    <row r="73" spans="1:22" x14ac:dyDescent="0.25">
      <c r="A73" s="965">
        <v>4121500800</v>
      </c>
      <c r="B73" s="961">
        <v>2</v>
      </c>
      <c r="C73" s="961">
        <v>2</v>
      </c>
      <c r="D73" s="961" t="s">
        <v>6436</v>
      </c>
      <c r="E73" s="961" t="s">
        <v>6437</v>
      </c>
      <c r="F73" s="966" t="s">
        <v>6439</v>
      </c>
      <c r="G73" s="961" t="s">
        <v>741</v>
      </c>
      <c r="H73" s="961">
        <v>1</v>
      </c>
      <c r="I73" s="963">
        <v>17102</v>
      </c>
      <c r="J73" s="961">
        <v>1</v>
      </c>
      <c r="K73" s="961">
        <v>23</v>
      </c>
      <c r="L73" s="961">
        <v>1</v>
      </c>
      <c r="M73" s="961">
        <v>1</v>
      </c>
      <c r="N73" s="961" t="s">
        <v>6438</v>
      </c>
      <c r="O73" s="961">
        <v>13</v>
      </c>
      <c r="P73" s="964">
        <v>186000</v>
      </c>
      <c r="Q73" s="964"/>
      <c r="R73" s="964">
        <f t="shared" si="1"/>
        <v>186000</v>
      </c>
      <c r="S73" s="964">
        <v>186000</v>
      </c>
      <c r="T73" s="964">
        <v>113500</v>
      </c>
      <c r="U73" s="964">
        <v>113500</v>
      </c>
      <c r="V73" s="964">
        <v>113500</v>
      </c>
    </row>
    <row r="74" spans="1:22" x14ac:dyDescent="0.25">
      <c r="A74" s="965">
        <v>4121500800</v>
      </c>
      <c r="B74" s="961">
        <v>2</v>
      </c>
      <c r="C74" s="961">
        <v>2</v>
      </c>
      <c r="D74" s="961" t="s">
        <v>6436</v>
      </c>
      <c r="E74" s="961" t="s">
        <v>6437</v>
      </c>
      <c r="F74" s="966" t="s">
        <v>6439</v>
      </c>
      <c r="G74" s="961" t="s">
        <v>741</v>
      </c>
      <c r="H74" s="961">
        <v>1</v>
      </c>
      <c r="I74" s="963">
        <v>17104</v>
      </c>
      <c r="J74" s="961">
        <v>1</v>
      </c>
      <c r="K74" s="961">
        <v>23</v>
      </c>
      <c r="L74" s="961">
        <v>1</v>
      </c>
      <c r="M74" s="961">
        <v>1</v>
      </c>
      <c r="N74" s="961" t="s">
        <v>6438</v>
      </c>
      <c r="O74" s="961">
        <v>13</v>
      </c>
      <c r="P74" s="964"/>
      <c r="Q74" s="964"/>
      <c r="R74" s="964">
        <f t="shared" si="1"/>
        <v>0</v>
      </c>
      <c r="S74" s="964">
        <v>1760</v>
      </c>
      <c r="T74" s="964">
        <v>1760</v>
      </c>
      <c r="U74" s="964">
        <v>1760</v>
      </c>
      <c r="V74" s="964">
        <v>1760</v>
      </c>
    </row>
    <row r="75" spans="1:22" x14ac:dyDescent="0.25">
      <c r="A75" s="965">
        <v>4121500800</v>
      </c>
      <c r="B75" s="961">
        <v>2</v>
      </c>
      <c r="C75" s="961">
        <v>2</v>
      </c>
      <c r="D75" s="961" t="s">
        <v>6436</v>
      </c>
      <c r="E75" s="961" t="s">
        <v>6437</v>
      </c>
      <c r="F75" s="966" t="s">
        <v>6439</v>
      </c>
      <c r="G75" s="961" t="s">
        <v>741</v>
      </c>
      <c r="H75" s="961">
        <v>1</v>
      </c>
      <c r="I75" s="963">
        <v>17105</v>
      </c>
      <c r="J75" s="961">
        <v>1</v>
      </c>
      <c r="K75" s="961">
        <v>23</v>
      </c>
      <c r="L75" s="961">
        <v>1</v>
      </c>
      <c r="M75" s="961">
        <v>1</v>
      </c>
      <c r="N75" s="961" t="s">
        <v>6438</v>
      </c>
      <c r="O75" s="961">
        <v>13</v>
      </c>
      <c r="P75" s="964">
        <v>3520</v>
      </c>
      <c r="Q75" s="964"/>
      <c r="R75" s="964">
        <f t="shared" si="1"/>
        <v>3520</v>
      </c>
      <c r="S75" s="964">
        <v>20081.23</v>
      </c>
      <c r="T75" s="964">
        <v>20081.23</v>
      </c>
      <c r="U75" s="964">
        <v>20081.23</v>
      </c>
      <c r="V75" s="964">
        <v>20081.23</v>
      </c>
    </row>
    <row r="76" spans="1:22" x14ac:dyDescent="0.25">
      <c r="A76" s="961" t="s">
        <v>6452</v>
      </c>
      <c r="B76" s="961">
        <v>2</v>
      </c>
      <c r="C76" s="961">
        <v>2</v>
      </c>
      <c r="D76" s="961" t="s">
        <v>6436</v>
      </c>
      <c r="E76" s="961" t="s">
        <v>6437</v>
      </c>
      <c r="F76" s="966" t="s">
        <v>6453</v>
      </c>
      <c r="G76" s="961" t="s">
        <v>741</v>
      </c>
      <c r="H76" s="961">
        <v>1</v>
      </c>
      <c r="I76" s="963">
        <v>21101</v>
      </c>
      <c r="J76" s="961">
        <v>1</v>
      </c>
      <c r="K76" s="961">
        <v>23</v>
      </c>
      <c r="L76" s="961">
        <v>1</v>
      </c>
      <c r="M76" s="961">
        <v>1</v>
      </c>
      <c r="N76" s="961" t="s">
        <v>6438</v>
      </c>
      <c r="O76" s="961">
        <v>13</v>
      </c>
      <c r="P76" s="964">
        <v>10000</v>
      </c>
      <c r="Q76" s="964"/>
      <c r="R76" s="964">
        <f t="shared" si="1"/>
        <v>10000</v>
      </c>
      <c r="S76" s="964">
        <v>37249.279999999999</v>
      </c>
      <c r="T76" s="964">
        <v>37249.279999999999</v>
      </c>
      <c r="U76" s="964">
        <v>42093.9</v>
      </c>
      <c r="V76" s="964">
        <v>42093.9</v>
      </c>
    </row>
    <row r="77" spans="1:22" x14ac:dyDescent="0.25">
      <c r="A77" s="961" t="s">
        <v>6452</v>
      </c>
      <c r="B77" s="961">
        <v>2</v>
      </c>
      <c r="C77" s="961">
        <v>2</v>
      </c>
      <c r="D77" s="961" t="s">
        <v>6436</v>
      </c>
      <c r="E77" s="961" t="s">
        <v>6437</v>
      </c>
      <c r="F77" s="966" t="s">
        <v>6453</v>
      </c>
      <c r="G77" s="961" t="s">
        <v>741</v>
      </c>
      <c r="H77" s="961">
        <v>1</v>
      </c>
      <c r="I77" s="963">
        <v>21201</v>
      </c>
      <c r="J77" s="961">
        <v>1</v>
      </c>
      <c r="K77" s="961">
        <v>23</v>
      </c>
      <c r="L77" s="961">
        <v>1</v>
      </c>
      <c r="M77" s="961">
        <v>1</v>
      </c>
      <c r="N77" s="961" t="s">
        <v>6438</v>
      </c>
      <c r="O77" s="961">
        <v>13</v>
      </c>
      <c r="P77" s="964"/>
      <c r="Q77" s="964"/>
      <c r="R77" s="964">
        <f t="shared" si="1"/>
        <v>0</v>
      </c>
      <c r="S77" s="964">
        <v>97.01</v>
      </c>
      <c r="T77" s="964">
        <v>97.01</v>
      </c>
      <c r="U77" s="964">
        <v>97.01</v>
      </c>
      <c r="V77" s="964">
        <v>97.01</v>
      </c>
    </row>
    <row r="78" spans="1:22" x14ac:dyDescent="0.25">
      <c r="A78" s="961" t="s">
        <v>6452</v>
      </c>
      <c r="B78" s="961">
        <v>2</v>
      </c>
      <c r="C78" s="961">
        <v>2</v>
      </c>
      <c r="D78" s="961" t="s">
        <v>6436</v>
      </c>
      <c r="E78" s="961" t="s">
        <v>6437</v>
      </c>
      <c r="F78" s="966" t="s">
        <v>6453</v>
      </c>
      <c r="G78" s="961" t="s">
        <v>741</v>
      </c>
      <c r="H78" s="961">
        <v>1</v>
      </c>
      <c r="I78" s="963">
        <v>21401</v>
      </c>
      <c r="J78" s="961">
        <v>1</v>
      </c>
      <c r="K78" s="961">
        <v>23</v>
      </c>
      <c r="L78" s="961">
        <v>1</v>
      </c>
      <c r="M78" s="961">
        <v>1</v>
      </c>
      <c r="N78" s="961" t="s">
        <v>6438</v>
      </c>
      <c r="O78" s="961">
        <v>13</v>
      </c>
      <c r="P78" s="964">
        <v>8000</v>
      </c>
      <c r="Q78" s="964"/>
      <c r="R78" s="964">
        <f t="shared" si="1"/>
        <v>8000</v>
      </c>
      <c r="S78" s="964">
        <v>11013.04</v>
      </c>
      <c r="T78" s="964">
        <v>11013.04</v>
      </c>
      <c r="U78" s="964">
        <v>11013.04</v>
      </c>
      <c r="V78" s="964">
        <v>11013.04</v>
      </c>
    </row>
    <row r="79" spans="1:22" x14ac:dyDescent="0.25">
      <c r="A79" s="961" t="s">
        <v>6452</v>
      </c>
      <c r="B79" s="961">
        <v>2</v>
      </c>
      <c r="C79" s="961">
        <v>2</v>
      </c>
      <c r="D79" s="961" t="s">
        <v>6436</v>
      </c>
      <c r="E79" s="961" t="s">
        <v>6437</v>
      </c>
      <c r="F79" s="966" t="s">
        <v>6453</v>
      </c>
      <c r="G79" s="961" t="s">
        <v>741</v>
      </c>
      <c r="H79" s="961">
        <v>1</v>
      </c>
      <c r="I79" s="963">
        <v>21601</v>
      </c>
      <c r="J79" s="961">
        <v>1</v>
      </c>
      <c r="K79" s="961">
        <v>23</v>
      </c>
      <c r="L79" s="961">
        <v>1</v>
      </c>
      <c r="M79" s="961">
        <v>1</v>
      </c>
      <c r="N79" s="961" t="s">
        <v>6438</v>
      </c>
      <c r="O79" s="961">
        <v>13</v>
      </c>
      <c r="P79" s="964">
        <v>1000</v>
      </c>
      <c r="Q79" s="964"/>
      <c r="R79" s="964">
        <f t="shared" si="1"/>
        <v>1000</v>
      </c>
      <c r="S79" s="964"/>
      <c r="T79" s="964"/>
      <c r="U79" s="964"/>
      <c r="V79" s="964"/>
    </row>
    <row r="80" spans="1:22" x14ac:dyDescent="0.25">
      <c r="A80" s="961" t="s">
        <v>6452</v>
      </c>
      <c r="B80" s="961">
        <v>2</v>
      </c>
      <c r="C80" s="961">
        <v>2</v>
      </c>
      <c r="D80" s="961" t="s">
        <v>6436</v>
      </c>
      <c r="E80" s="961" t="s">
        <v>6437</v>
      </c>
      <c r="F80" s="966" t="s">
        <v>6453</v>
      </c>
      <c r="G80" s="961" t="s">
        <v>741</v>
      </c>
      <c r="H80" s="961">
        <v>1</v>
      </c>
      <c r="I80" s="963">
        <v>21801</v>
      </c>
      <c r="J80" s="961">
        <v>1</v>
      </c>
      <c r="K80" s="961">
        <v>23</v>
      </c>
      <c r="L80" s="961">
        <v>1</v>
      </c>
      <c r="M80" s="961">
        <v>1</v>
      </c>
      <c r="N80" s="961" t="s">
        <v>6438</v>
      </c>
      <c r="O80" s="961">
        <v>13</v>
      </c>
      <c r="P80" s="964">
        <v>3000</v>
      </c>
      <c r="Q80" s="964"/>
      <c r="R80" s="964">
        <f t="shared" si="1"/>
        <v>3000</v>
      </c>
      <c r="S80" s="964">
        <v>3238</v>
      </c>
      <c r="T80" s="964">
        <v>3238</v>
      </c>
      <c r="U80" s="964">
        <v>3238</v>
      </c>
      <c r="V80" s="964">
        <v>3238</v>
      </c>
    </row>
    <row r="81" spans="1:22" x14ac:dyDescent="0.25">
      <c r="A81" s="961" t="s">
        <v>6452</v>
      </c>
      <c r="B81" s="961">
        <v>2</v>
      </c>
      <c r="C81" s="961">
        <v>2</v>
      </c>
      <c r="D81" s="961" t="s">
        <v>6436</v>
      </c>
      <c r="E81" s="961" t="s">
        <v>6437</v>
      </c>
      <c r="F81" s="966" t="s">
        <v>6453</v>
      </c>
      <c r="G81" s="961" t="s">
        <v>741</v>
      </c>
      <c r="H81" s="961">
        <v>1</v>
      </c>
      <c r="I81" s="963">
        <v>22101</v>
      </c>
      <c r="J81" s="961">
        <v>1</v>
      </c>
      <c r="K81" s="961">
        <v>23</v>
      </c>
      <c r="L81" s="961">
        <v>1</v>
      </c>
      <c r="M81" s="961">
        <v>1</v>
      </c>
      <c r="N81" s="961" t="s">
        <v>6438</v>
      </c>
      <c r="O81" s="961">
        <v>13</v>
      </c>
      <c r="P81" s="964">
        <v>7500</v>
      </c>
      <c r="Q81" s="964">
        <v>2320</v>
      </c>
      <c r="R81" s="964">
        <f t="shared" si="1"/>
        <v>9820</v>
      </c>
      <c r="S81" s="964">
        <v>14895.97</v>
      </c>
      <c r="T81" s="964">
        <v>14895.97</v>
      </c>
      <c r="U81" s="964">
        <v>14895.97</v>
      </c>
      <c r="V81" s="964">
        <v>14895.97</v>
      </c>
    </row>
    <row r="82" spans="1:22" x14ac:dyDescent="0.25">
      <c r="A82" s="961" t="s">
        <v>6452</v>
      </c>
      <c r="B82" s="961">
        <v>2</v>
      </c>
      <c r="C82" s="961">
        <v>2</v>
      </c>
      <c r="D82" s="961" t="s">
        <v>6436</v>
      </c>
      <c r="E82" s="961" t="s">
        <v>6437</v>
      </c>
      <c r="F82" s="966" t="s">
        <v>6453</v>
      </c>
      <c r="G82" s="961" t="s">
        <v>741</v>
      </c>
      <c r="H82" s="961">
        <v>1</v>
      </c>
      <c r="I82" s="963">
        <v>22106</v>
      </c>
      <c r="J82" s="961">
        <v>1</v>
      </c>
      <c r="K82" s="961">
        <v>23</v>
      </c>
      <c r="L82" s="961">
        <v>1</v>
      </c>
      <c r="M82" s="961">
        <v>1</v>
      </c>
      <c r="N82" s="961" t="s">
        <v>6438</v>
      </c>
      <c r="O82" s="961">
        <v>13</v>
      </c>
      <c r="P82" s="964">
        <v>700</v>
      </c>
      <c r="Q82" s="964">
        <v>1834.9899999999998</v>
      </c>
      <c r="R82" s="964">
        <f t="shared" si="1"/>
        <v>2534.9899999999998</v>
      </c>
      <c r="S82" s="964"/>
      <c r="T82" s="964"/>
      <c r="U82" s="964"/>
      <c r="V82" s="964"/>
    </row>
    <row r="83" spans="1:22" x14ac:dyDescent="0.25">
      <c r="A83" s="961" t="s">
        <v>6452</v>
      </c>
      <c r="B83" s="961">
        <v>2</v>
      </c>
      <c r="C83" s="961">
        <v>2</v>
      </c>
      <c r="D83" s="961" t="s">
        <v>6436</v>
      </c>
      <c r="E83" s="961" t="s">
        <v>6437</v>
      </c>
      <c r="F83" s="966" t="s">
        <v>6453</v>
      </c>
      <c r="G83" s="961" t="s">
        <v>741</v>
      </c>
      <c r="H83" s="961">
        <v>1</v>
      </c>
      <c r="I83" s="963">
        <v>22301</v>
      </c>
      <c r="J83" s="961">
        <v>1</v>
      </c>
      <c r="K83" s="961">
        <v>23</v>
      </c>
      <c r="L83" s="961">
        <v>1</v>
      </c>
      <c r="M83" s="961">
        <v>1</v>
      </c>
      <c r="N83" s="961" t="s">
        <v>6438</v>
      </c>
      <c r="O83" s="961">
        <v>13</v>
      </c>
      <c r="P83" s="964">
        <v>500</v>
      </c>
      <c r="Q83" s="964"/>
      <c r="R83" s="964">
        <f t="shared" si="1"/>
        <v>500</v>
      </c>
      <c r="S83" s="964"/>
      <c r="T83" s="964"/>
      <c r="U83" s="964"/>
      <c r="V83" s="964"/>
    </row>
    <row r="84" spans="1:22" x14ac:dyDescent="0.25">
      <c r="A84" s="961" t="s">
        <v>6452</v>
      </c>
      <c r="B84" s="961">
        <v>2</v>
      </c>
      <c r="C84" s="961">
        <v>2</v>
      </c>
      <c r="D84" s="961" t="s">
        <v>6436</v>
      </c>
      <c r="E84" s="961" t="s">
        <v>6437</v>
      </c>
      <c r="F84" s="966" t="s">
        <v>6453</v>
      </c>
      <c r="G84" s="961" t="s">
        <v>741</v>
      </c>
      <c r="H84" s="961">
        <v>1</v>
      </c>
      <c r="I84" s="963">
        <v>24601</v>
      </c>
      <c r="J84" s="961">
        <v>1</v>
      </c>
      <c r="K84" s="961">
        <v>23</v>
      </c>
      <c r="L84" s="961">
        <v>1</v>
      </c>
      <c r="M84" s="961">
        <v>1</v>
      </c>
      <c r="N84" s="961" t="s">
        <v>6438</v>
      </c>
      <c r="O84" s="961">
        <v>13</v>
      </c>
      <c r="P84" s="964">
        <v>900</v>
      </c>
      <c r="Q84" s="964"/>
      <c r="R84" s="964">
        <f t="shared" si="1"/>
        <v>900</v>
      </c>
      <c r="S84" s="964"/>
      <c r="T84" s="964"/>
      <c r="U84" s="964"/>
      <c r="V84" s="964"/>
    </row>
    <row r="85" spans="1:22" x14ac:dyDescent="0.25">
      <c r="A85" s="961" t="s">
        <v>6452</v>
      </c>
      <c r="B85" s="961">
        <v>2</v>
      </c>
      <c r="C85" s="961">
        <v>2</v>
      </c>
      <c r="D85" s="961" t="s">
        <v>6436</v>
      </c>
      <c r="E85" s="961" t="s">
        <v>6437</v>
      </c>
      <c r="F85" s="966" t="s">
        <v>6453</v>
      </c>
      <c r="G85" s="961" t="s">
        <v>741</v>
      </c>
      <c r="H85" s="961">
        <v>1</v>
      </c>
      <c r="I85" s="963">
        <v>26101</v>
      </c>
      <c r="J85" s="961">
        <v>1</v>
      </c>
      <c r="K85" s="961">
        <v>23</v>
      </c>
      <c r="L85" s="961">
        <v>1</v>
      </c>
      <c r="M85" s="961">
        <v>1</v>
      </c>
      <c r="N85" s="961" t="s">
        <v>6438</v>
      </c>
      <c r="O85" s="961">
        <v>13</v>
      </c>
      <c r="P85" s="964">
        <v>40000</v>
      </c>
      <c r="Q85" s="964">
        <v>55927.59</v>
      </c>
      <c r="R85" s="964">
        <f t="shared" si="1"/>
        <v>95927.59</v>
      </c>
      <c r="S85" s="964">
        <v>95927.59</v>
      </c>
      <c r="T85" s="964">
        <v>95927.59</v>
      </c>
      <c r="U85" s="964">
        <v>95927.59</v>
      </c>
      <c r="V85" s="964">
        <v>95927.59</v>
      </c>
    </row>
    <row r="86" spans="1:22" x14ac:dyDescent="0.25">
      <c r="A86" s="961" t="s">
        <v>6452</v>
      </c>
      <c r="B86" s="961">
        <v>2</v>
      </c>
      <c r="C86" s="961">
        <v>2</v>
      </c>
      <c r="D86" s="961" t="s">
        <v>6436</v>
      </c>
      <c r="E86" s="961" t="s">
        <v>6437</v>
      </c>
      <c r="F86" s="966" t="s">
        <v>6453</v>
      </c>
      <c r="G86" s="961" t="s">
        <v>741</v>
      </c>
      <c r="H86" s="961">
        <v>1</v>
      </c>
      <c r="I86" s="963">
        <v>26102</v>
      </c>
      <c r="J86" s="961">
        <v>1</v>
      </c>
      <c r="K86" s="961">
        <v>23</v>
      </c>
      <c r="L86" s="961">
        <v>1</v>
      </c>
      <c r="M86" s="961">
        <v>1</v>
      </c>
      <c r="N86" s="961" t="s">
        <v>6438</v>
      </c>
      <c r="O86" s="961">
        <v>13</v>
      </c>
      <c r="P86" s="964">
        <v>1500</v>
      </c>
      <c r="Q86" s="964">
        <v>700</v>
      </c>
      <c r="R86" s="964">
        <f t="shared" si="1"/>
        <v>2200</v>
      </c>
      <c r="S86" s="964">
        <v>3365.58</v>
      </c>
      <c r="T86" s="964">
        <v>3365.58</v>
      </c>
      <c r="U86" s="964">
        <v>3365.58</v>
      </c>
      <c r="V86" s="964">
        <v>3365.58</v>
      </c>
    </row>
    <row r="87" spans="1:22" x14ac:dyDescent="0.25">
      <c r="A87" s="961" t="s">
        <v>6452</v>
      </c>
      <c r="B87" s="961">
        <v>2</v>
      </c>
      <c r="C87" s="961">
        <v>2</v>
      </c>
      <c r="D87" s="961" t="s">
        <v>6436</v>
      </c>
      <c r="E87" s="961" t="s">
        <v>6437</v>
      </c>
      <c r="F87" s="966" t="s">
        <v>6453</v>
      </c>
      <c r="G87" s="961" t="s">
        <v>741</v>
      </c>
      <c r="H87" s="961">
        <v>1</v>
      </c>
      <c r="I87" s="963">
        <v>29201</v>
      </c>
      <c r="J87" s="961">
        <v>1</v>
      </c>
      <c r="K87" s="961">
        <v>23</v>
      </c>
      <c r="L87" s="961">
        <v>1</v>
      </c>
      <c r="M87" s="961">
        <v>1</v>
      </c>
      <c r="N87" s="961" t="s">
        <v>6438</v>
      </c>
      <c r="O87" s="961">
        <v>13</v>
      </c>
      <c r="P87" s="964">
        <v>550</v>
      </c>
      <c r="Q87" s="964"/>
      <c r="R87" s="964">
        <f t="shared" si="1"/>
        <v>550</v>
      </c>
      <c r="S87" s="964">
        <v>760.64</v>
      </c>
      <c r="T87" s="964">
        <v>760.64</v>
      </c>
      <c r="U87" s="964">
        <v>760.64</v>
      </c>
      <c r="V87" s="964">
        <v>760.64</v>
      </c>
    </row>
    <row r="88" spans="1:22" x14ac:dyDescent="0.25">
      <c r="A88" s="961" t="s">
        <v>6452</v>
      </c>
      <c r="B88" s="961">
        <v>2</v>
      </c>
      <c r="C88" s="961">
        <v>2</v>
      </c>
      <c r="D88" s="961" t="s">
        <v>6436</v>
      </c>
      <c r="E88" s="961" t="s">
        <v>6437</v>
      </c>
      <c r="F88" s="966" t="s">
        <v>6453</v>
      </c>
      <c r="G88" s="961" t="s">
        <v>741</v>
      </c>
      <c r="H88" s="961">
        <v>1</v>
      </c>
      <c r="I88" s="963">
        <v>29301</v>
      </c>
      <c r="J88" s="961">
        <v>1</v>
      </c>
      <c r="K88" s="961">
        <v>23</v>
      </c>
      <c r="L88" s="961">
        <v>1</v>
      </c>
      <c r="M88" s="961">
        <v>1</v>
      </c>
      <c r="N88" s="961" t="s">
        <v>6438</v>
      </c>
      <c r="O88" s="961">
        <v>13</v>
      </c>
      <c r="P88" s="964">
        <v>500</v>
      </c>
      <c r="Q88" s="964"/>
      <c r="R88" s="964">
        <f t="shared" si="1"/>
        <v>500</v>
      </c>
      <c r="S88" s="964"/>
      <c r="T88" s="964"/>
      <c r="U88" s="964"/>
      <c r="V88" s="964"/>
    </row>
    <row r="89" spans="1:22" x14ac:dyDescent="0.25">
      <c r="A89" s="961" t="s">
        <v>6452</v>
      </c>
      <c r="B89" s="961">
        <v>2</v>
      </c>
      <c r="C89" s="961">
        <v>2</v>
      </c>
      <c r="D89" s="961" t="s">
        <v>6436</v>
      </c>
      <c r="E89" s="961" t="s">
        <v>6437</v>
      </c>
      <c r="F89" s="966" t="s">
        <v>6453</v>
      </c>
      <c r="G89" s="961" t="s">
        <v>741</v>
      </c>
      <c r="H89" s="961">
        <v>1</v>
      </c>
      <c r="I89" s="963">
        <v>29401</v>
      </c>
      <c r="J89" s="961">
        <v>1</v>
      </c>
      <c r="K89" s="961">
        <v>23</v>
      </c>
      <c r="L89" s="961">
        <v>1</v>
      </c>
      <c r="M89" s="961">
        <v>1</v>
      </c>
      <c r="N89" s="961" t="s">
        <v>6438</v>
      </c>
      <c r="O89" s="961">
        <v>13</v>
      </c>
      <c r="P89" s="964">
        <v>800</v>
      </c>
      <c r="Q89" s="964">
        <v>1600</v>
      </c>
      <c r="R89" s="964">
        <f t="shared" si="1"/>
        <v>2400</v>
      </c>
      <c r="S89" s="964">
        <v>2948</v>
      </c>
      <c r="T89" s="964">
        <v>2948</v>
      </c>
      <c r="U89" s="964">
        <v>2948</v>
      </c>
      <c r="V89" s="964">
        <v>2948</v>
      </c>
    </row>
    <row r="90" spans="1:22" x14ac:dyDescent="0.25">
      <c r="A90" s="961" t="s">
        <v>6452</v>
      </c>
      <c r="B90" s="961">
        <v>2</v>
      </c>
      <c r="C90" s="961">
        <v>2</v>
      </c>
      <c r="D90" s="961" t="s">
        <v>6436</v>
      </c>
      <c r="E90" s="961" t="s">
        <v>6437</v>
      </c>
      <c r="F90" s="966" t="s">
        <v>6453</v>
      </c>
      <c r="G90" s="961" t="s">
        <v>741</v>
      </c>
      <c r="H90" s="961">
        <v>1</v>
      </c>
      <c r="I90" s="963">
        <v>29601</v>
      </c>
      <c r="J90" s="961">
        <v>1</v>
      </c>
      <c r="K90" s="961">
        <v>23</v>
      </c>
      <c r="L90" s="961">
        <v>1</v>
      </c>
      <c r="M90" s="961">
        <v>1</v>
      </c>
      <c r="N90" s="961" t="s">
        <v>6438</v>
      </c>
      <c r="O90" s="961">
        <v>13</v>
      </c>
      <c r="P90" s="964">
        <v>15000</v>
      </c>
      <c r="Q90" s="964">
        <v>-13320</v>
      </c>
      <c r="R90" s="964">
        <f t="shared" si="1"/>
        <v>1680</v>
      </c>
      <c r="S90" s="964">
        <v>3133.46</v>
      </c>
      <c r="T90" s="964">
        <v>3133.46</v>
      </c>
      <c r="U90" s="964">
        <v>3133.9</v>
      </c>
      <c r="V90" s="964">
        <v>3133.9</v>
      </c>
    </row>
    <row r="91" spans="1:22" x14ac:dyDescent="0.25">
      <c r="A91" s="961" t="s">
        <v>6452</v>
      </c>
      <c r="B91" s="961">
        <v>2</v>
      </c>
      <c r="C91" s="961">
        <v>2</v>
      </c>
      <c r="D91" s="961" t="s">
        <v>6436</v>
      </c>
      <c r="E91" s="961" t="s">
        <v>6437</v>
      </c>
      <c r="F91" s="966" t="s">
        <v>6453</v>
      </c>
      <c r="G91" s="961" t="s">
        <v>741</v>
      </c>
      <c r="H91" s="961">
        <v>1</v>
      </c>
      <c r="I91" s="963">
        <v>31801</v>
      </c>
      <c r="J91" s="961">
        <v>1</v>
      </c>
      <c r="K91" s="961">
        <v>23</v>
      </c>
      <c r="L91" s="961">
        <v>1</v>
      </c>
      <c r="M91" s="961">
        <v>1</v>
      </c>
      <c r="N91" s="961" t="s">
        <v>6438</v>
      </c>
      <c r="O91" s="961">
        <v>13</v>
      </c>
      <c r="P91" s="964">
        <v>10600</v>
      </c>
      <c r="Q91" s="964">
        <v>-10000</v>
      </c>
      <c r="R91" s="964">
        <f t="shared" si="1"/>
        <v>600</v>
      </c>
      <c r="S91" s="964">
        <v>580.70000000000005</v>
      </c>
      <c r="T91" s="964">
        <v>580.70000000000005</v>
      </c>
      <c r="U91" s="964">
        <v>580.70000000000005</v>
      </c>
      <c r="V91" s="964">
        <v>580.70000000000005</v>
      </c>
    </row>
    <row r="92" spans="1:22" x14ac:dyDescent="0.25">
      <c r="A92" s="961" t="s">
        <v>6452</v>
      </c>
      <c r="B92" s="961">
        <v>2</v>
      </c>
      <c r="C92" s="961">
        <v>2</v>
      </c>
      <c r="D92" s="961" t="s">
        <v>6436</v>
      </c>
      <c r="E92" s="961" t="s">
        <v>6437</v>
      </c>
      <c r="F92" s="966" t="s">
        <v>6453</v>
      </c>
      <c r="G92" s="961" t="s">
        <v>741</v>
      </c>
      <c r="H92" s="961">
        <v>1</v>
      </c>
      <c r="I92" s="963">
        <v>32301</v>
      </c>
      <c r="J92" s="961">
        <v>1</v>
      </c>
      <c r="K92" s="961">
        <v>23</v>
      </c>
      <c r="L92" s="961">
        <v>1</v>
      </c>
      <c r="M92" s="961">
        <v>1</v>
      </c>
      <c r="N92" s="961" t="s">
        <v>6438</v>
      </c>
      <c r="O92" s="961">
        <v>13</v>
      </c>
      <c r="P92" s="964"/>
      <c r="Q92" s="964">
        <v>283272</v>
      </c>
      <c r="R92" s="964">
        <f>P92+Q92</f>
        <v>283272</v>
      </c>
      <c r="S92" s="964">
        <v>283272</v>
      </c>
      <c r="T92" s="964">
        <v>283272</v>
      </c>
      <c r="U92" s="964">
        <v>283272</v>
      </c>
      <c r="V92" s="964">
        <v>283272</v>
      </c>
    </row>
    <row r="93" spans="1:22" x14ac:dyDescent="0.25">
      <c r="A93" s="961" t="s">
        <v>6452</v>
      </c>
      <c r="B93" s="961">
        <v>2</v>
      </c>
      <c r="C93" s="961">
        <v>2</v>
      </c>
      <c r="D93" s="961" t="s">
        <v>6436</v>
      </c>
      <c r="E93" s="961" t="s">
        <v>6437</v>
      </c>
      <c r="F93" s="966" t="s">
        <v>6453</v>
      </c>
      <c r="G93" s="961" t="s">
        <v>741</v>
      </c>
      <c r="H93" s="961">
        <v>1</v>
      </c>
      <c r="I93" s="963">
        <v>33101</v>
      </c>
      <c r="J93" s="961">
        <v>1</v>
      </c>
      <c r="K93" s="961">
        <v>23</v>
      </c>
      <c r="L93" s="961">
        <v>1</v>
      </c>
      <c r="M93" s="961">
        <v>1</v>
      </c>
      <c r="N93" s="961" t="s">
        <v>6438</v>
      </c>
      <c r="O93" s="961">
        <v>13</v>
      </c>
      <c r="P93" s="964"/>
      <c r="Q93" s="964"/>
      <c r="R93" s="964">
        <f>P93+Q93</f>
        <v>0</v>
      </c>
      <c r="S93" s="964">
        <v>2041.1</v>
      </c>
      <c r="T93" s="964">
        <v>2041.1</v>
      </c>
      <c r="U93" s="964">
        <v>2041.1</v>
      </c>
      <c r="V93" s="964">
        <v>2041.1</v>
      </c>
    </row>
    <row r="94" spans="1:22" x14ac:dyDescent="0.25">
      <c r="A94" s="961" t="s">
        <v>6452</v>
      </c>
      <c r="B94" s="961">
        <v>2</v>
      </c>
      <c r="C94" s="961">
        <v>2</v>
      </c>
      <c r="D94" s="961" t="s">
        <v>6436</v>
      </c>
      <c r="E94" s="961" t="s">
        <v>6437</v>
      </c>
      <c r="F94" s="966" t="s">
        <v>6453</v>
      </c>
      <c r="G94" s="961" t="s">
        <v>741</v>
      </c>
      <c r="H94" s="961">
        <v>1</v>
      </c>
      <c r="I94" s="963">
        <v>33603</v>
      </c>
      <c r="J94" s="961">
        <v>1</v>
      </c>
      <c r="K94" s="961">
        <v>23</v>
      </c>
      <c r="L94" s="961">
        <v>1</v>
      </c>
      <c r="M94" s="961">
        <v>1</v>
      </c>
      <c r="N94" s="961" t="s">
        <v>6438</v>
      </c>
      <c r="O94" s="961">
        <v>13</v>
      </c>
      <c r="P94" s="964">
        <v>30000</v>
      </c>
      <c r="Q94" s="964">
        <v>-15123</v>
      </c>
      <c r="R94" s="964">
        <f t="shared" si="1"/>
        <v>14877</v>
      </c>
      <c r="S94" s="964">
        <v>14877</v>
      </c>
      <c r="T94" s="964">
        <v>14877</v>
      </c>
      <c r="U94" s="964">
        <v>14877</v>
      </c>
      <c r="V94" s="964">
        <v>14877</v>
      </c>
    </row>
    <row r="95" spans="1:22" x14ac:dyDescent="0.25">
      <c r="A95" s="961" t="s">
        <v>6452</v>
      </c>
      <c r="B95" s="961">
        <v>2</v>
      </c>
      <c r="C95" s="961">
        <v>2</v>
      </c>
      <c r="D95" s="961" t="s">
        <v>6436</v>
      </c>
      <c r="E95" s="961" t="s">
        <v>6437</v>
      </c>
      <c r="F95" s="966" t="s">
        <v>6453</v>
      </c>
      <c r="G95" s="961" t="s">
        <v>741</v>
      </c>
      <c r="H95" s="961">
        <v>1</v>
      </c>
      <c r="I95" s="963">
        <v>34401</v>
      </c>
      <c r="J95" s="961">
        <v>1</v>
      </c>
      <c r="K95" s="961">
        <v>23</v>
      </c>
      <c r="L95" s="961">
        <v>1</v>
      </c>
      <c r="M95" s="961">
        <v>1</v>
      </c>
      <c r="N95" s="961" t="s">
        <v>6438</v>
      </c>
      <c r="O95" s="961">
        <v>13</v>
      </c>
      <c r="P95" s="964">
        <v>500</v>
      </c>
      <c r="Q95" s="964">
        <v>10000</v>
      </c>
      <c r="R95" s="964">
        <f t="shared" si="1"/>
        <v>10500</v>
      </c>
      <c r="S95" s="964">
        <v>13851.9</v>
      </c>
      <c r="T95" s="964">
        <v>13851.9</v>
      </c>
      <c r="U95" s="964">
        <v>13851.9</v>
      </c>
      <c r="V95" s="964">
        <v>13851.9</v>
      </c>
    </row>
    <row r="96" spans="1:22" x14ac:dyDescent="0.25">
      <c r="A96" s="961" t="s">
        <v>6452</v>
      </c>
      <c r="B96" s="961">
        <v>2</v>
      </c>
      <c r="C96" s="961">
        <v>2</v>
      </c>
      <c r="D96" s="961" t="s">
        <v>6436</v>
      </c>
      <c r="E96" s="961" t="s">
        <v>6437</v>
      </c>
      <c r="F96" s="966" t="s">
        <v>6453</v>
      </c>
      <c r="G96" s="961" t="s">
        <v>741</v>
      </c>
      <c r="H96" s="961">
        <v>1</v>
      </c>
      <c r="I96" s="963">
        <v>34701</v>
      </c>
      <c r="J96" s="961">
        <v>1</v>
      </c>
      <c r="K96" s="961">
        <v>23</v>
      </c>
      <c r="L96" s="961">
        <v>1</v>
      </c>
      <c r="M96" s="961">
        <v>1</v>
      </c>
      <c r="N96" s="961" t="s">
        <v>6438</v>
      </c>
      <c r="O96" s="961">
        <v>13</v>
      </c>
      <c r="P96" s="964"/>
      <c r="Q96" s="964">
        <v>154</v>
      </c>
      <c r="R96" s="964">
        <f t="shared" si="1"/>
        <v>154</v>
      </c>
      <c r="S96" s="964">
        <v>154</v>
      </c>
      <c r="T96" s="964">
        <v>154</v>
      </c>
      <c r="U96" s="964">
        <v>154</v>
      </c>
      <c r="V96" s="964">
        <v>154</v>
      </c>
    </row>
    <row r="97" spans="1:22" x14ac:dyDescent="0.25">
      <c r="A97" s="961" t="s">
        <v>6452</v>
      </c>
      <c r="B97" s="961">
        <v>2</v>
      </c>
      <c r="C97" s="961">
        <v>2</v>
      </c>
      <c r="D97" s="961" t="s">
        <v>6436</v>
      </c>
      <c r="E97" s="961" t="s">
        <v>6437</v>
      </c>
      <c r="F97" s="966" t="s">
        <v>6453</v>
      </c>
      <c r="G97" s="961" t="s">
        <v>741</v>
      </c>
      <c r="H97" s="961">
        <v>1</v>
      </c>
      <c r="I97" s="963">
        <v>35101</v>
      </c>
      <c r="J97" s="961">
        <v>1</v>
      </c>
      <c r="K97" s="961">
        <v>23</v>
      </c>
      <c r="L97" s="961">
        <v>1</v>
      </c>
      <c r="M97" s="961">
        <v>1</v>
      </c>
      <c r="N97" s="961" t="s">
        <v>6438</v>
      </c>
      <c r="O97" s="961">
        <v>13</v>
      </c>
      <c r="P97" s="964">
        <v>5300</v>
      </c>
      <c r="Q97" s="964">
        <v>-154</v>
      </c>
      <c r="R97" s="964">
        <f t="shared" si="1"/>
        <v>5146</v>
      </c>
      <c r="S97" s="964">
        <v>3054</v>
      </c>
      <c r="T97" s="964">
        <v>3054</v>
      </c>
      <c r="U97" s="964">
        <v>3054</v>
      </c>
      <c r="V97" s="964">
        <v>3054</v>
      </c>
    </row>
    <row r="98" spans="1:22" x14ac:dyDescent="0.25">
      <c r="A98" s="961" t="s">
        <v>6452</v>
      </c>
      <c r="B98" s="961">
        <v>2</v>
      </c>
      <c r="C98" s="961">
        <v>2</v>
      </c>
      <c r="D98" s="961" t="s">
        <v>6436</v>
      </c>
      <c r="E98" s="961" t="s">
        <v>6437</v>
      </c>
      <c r="F98" s="966" t="s">
        <v>6453</v>
      </c>
      <c r="G98" s="961" t="s">
        <v>741</v>
      </c>
      <c r="H98" s="961">
        <v>1</v>
      </c>
      <c r="I98" s="963">
        <v>35501</v>
      </c>
      <c r="J98" s="961">
        <v>1</v>
      </c>
      <c r="K98" s="961">
        <v>23</v>
      </c>
      <c r="L98" s="961">
        <v>1</v>
      </c>
      <c r="M98" s="961">
        <v>1</v>
      </c>
      <c r="N98" s="961" t="s">
        <v>6438</v>
      </c>
      <c r="O98" s="961">
        <v>13</v>
      </c>
      <c r="P98" s="964">
        <v>15000</v>
      </c>
      <c r="Q98" s="964">
        <v>-13500</v>
      </c>
      <c r="R98" s="964">
        <f t="shared" si="1"/>
        <v>1500</v>
      </c>
      <c r="S98" s="964">
        <v>1293.04</v>
      </c>
      <c r="T98" s="964">
        <v>1293.04</v>
      </c>
      <c r="U98" s="964">
        <v>1293.04</v>
      </c>
      <c r="V98" s="964">
        <v>1293.04</v>
      </c>
    </row>
    <row r="99" spans="1:22" x14ac:dyDescent="0.25">
      <c r="A99" s="961" t="s">
        <v>6452</v>
      </c>
      <c r="B99" s="961">
        <v>2</v>
      </c>
      <c r="C99" s="961">
        <v>2</v>
      </c>
      <c r="D99" s="961" t="s">
        <v>6436</v>
      </c>
      <c r="E99" s="961" t="s">
        <v>6437</v>
      </c>
      <c r="F99" s="966" t="s">
        <v>6453</v>
      </c>
      <c r="G99" s="961" t="s">
        <v>741</v>
      </c>
      <c r="H99" s="961">
        <v>1</v>
      </c>
      <c r="I99" s="963">
        <v>37101</v>
      </c>
      <c r="J99" s="961">
        <v>1</v>
      </c>
      <c r="K99" s="961">
        <v>23</v>
      </c>
      <c r="L99" s="961">
        <v>1</v>
      </c>
      <c r="M99" s="961">
        <v>1</v>
      </c>
      <c r="N99" s="961" t="s">
        <v>6438</v>
      </c>
      <c r="O99" s="961">
        <v>13</v>
      </c>
      <c r="P99" s="964">
        <v>70000</v>
      </c>
      <c r="Q99" s="964">
        <v>-33272</v>
      </c>
      <c r="R99" s="964">
        <f t="shared" si="1"/>
        <v>36728</v>
      </c>
      <c r="S99" s="964">
        <v>9633</v>
      </c>
      <c r="T99" s="964">
        <v>9633</v>
      </c>
      <c r="U99" s="964">
        <v>20551</v>
      </c>
      <c r="V99" s="964">
        <v>20551</v>
      </c>
    </row>
    <row r="100" spans="1:22" x14ac:dyDescent="0.25">
      <c r="A100" s="961" t="s">
        <v>6452</v>
      </c>
      <c r="B100" s="961">
        <v>2</v>
      </c>
      <c r="C100" s="961">
        <v>2</v>
      </c>
      <c r="D100" s="961" t="s">
        <v>6436</v>
      </c>
      <c r="E100" s="961" t="s">
        <v>6437</v>
      </c>
      <c r="F100" s="966" t="s">
        <v>6453</v>
      </c>
      <c r="G100" s="961" t="s">
        <v>741</v>
      </c>
      <c r="H100" s="961">
        <v>1</v>
      </c>
      <c r="I100" s="963">
        <v>37104</v>
      </c>
      <c r="J100" s="961">
        <v>1</v>
      </c>
      <c r="K100" s="961">
        <v>23</v>
      </c>
      <c r="L100" s="961">
        <v>1</v>
      </c>
      <c r="M100" s="961">
        <v>1</v>
      </c>
      <c r="N100" s="961" t="s">
        <v>6438</v>
      </c>
      <c r="O100" s="961">
        <v>13</v>
      </c>
      <c r="P100" s="964">
        <v>40000</v>
      </c>
      <c r="Q100" s="964">
        <v>-40000</v>
      </c>
      <c r="R100" s="964">
        <f t="shared" si="1"/>
        <v>0</v>
      </c>
      <c r="S100" s="964"/>
      <c r="T100" s="964"/>
      <c r="U100" s="964"/>
      <c r="V100" s="964"/>
    </row>
    <row r="101" spans="1:22" x14ac:dyDescent="0.25">
      <c r="A101" s="961" t="s">
        <v>6452</v>
      </c>
      <c r="B101" s="961">
        <v>2</v>
      </c>
      <c r="C101" s="961">
        <v>2</v>
      </c>
      <c r="D101" s="961" t="s">
        <v>6436</v>
      </c>
      <c r="E101" s="961" t="s">
        <v>6437</v>
      </c>
      <c r="F101" s="966" t="s">
        <v>6453</v>
      </c>
      <c r="G101" s="961" t="s">
        <v>741</v>
      </c>
      <c r="H101" s="961">
        <v>1</v>
      </c>
      <c r="I101" s="963">
        <v>37501</v>
      </c>
      <c r="J101" s="961">
        <v>1</v>
      </c>
      <c r="K101" s="961">
        <v>23</v>
      </c>
      <c r="L101" s="961">
        <v>1</v>
      </c>
      <c r="M101" s="961">
        <v>1</v>
      </c>
      <c r="N101" s="961" t="s">
        <v>6438</v>
      </c>
      <c r="O101" s="961">
        <v>13</v>
      </c>
      <c r="P101" s="964">
        <v>70000</v>
      </c>
      <c r="Q101" s="964">
        <v>-51100</v>
      </c>
      <c r="R101" s="964">
        <f t="shared" si="1"/>
        <v>18900</v>
      </c>
      <c r="S101" s="964">
        <v>18900</v>
      </c>
      <c r="T101" s="964">
        <v>18900</v>
      </c>
      <c r="U101" s="964">
        <v>18900</v>
      </c>
      <c r="V101" s="964">
        <v>18900</v>
      </c>
    </row>
    <row r="102" spans="1:22" x14ac:dyDescent="0.25">
      <c r="A102" s="961" t="s">
        <v>6452</v>
      </c>
      <c r="B102" s="961">
        <v>2</v>
      </c>
      <c r="C102" s="961">
        <v>2</v>
      </c>
      <c r="D102" s="961" t="s">
        <v>6436</v>
      </c>
      <c r="E102" s="961" t="s">
        <v>6437</v>
      </c>
      <c r="F102" s="966" t="s">
        <v>6453</v>
      </c>
      <c r="G102" s="961" t="s">
        <v>741</v>
      </c>
      <c r="H102" s="961">
        <v>1</v>
      </c>
      <c r="I102" s="963">
        <v>37502</v>
      </c>
      <c r="J102" s="961">
        <v>1</v>
      </c>
      <c r="K102" s="961">
        <v>23</v>
      </c>
      <c r="L102" s="961">
        <v>1</v>
      </c>
      <c r="M102" s="961">
        <v>1</v>
      </c>
      <c r="N102" s="961" t="s">
        <v>6438</v>
      </c>
      <c r="O102" s="961">
        <v>13</v>
      </c>
      <c r="P102" s="964">
        <v>50000</v>
      </c>
      <c r="Q102" s="964">
        <v>-29200</v>
      </c>
      <c r="R102" s="964">
        <f t="shared" si="1"/>
        <v>20800</v>
      </c>
      <c r="S102" s="964">
        <v>20800</v>
      </c>
      <c r="T102" s="964">
        <v>20800</v>
      </c>
      <c r="U102" s="964">
        <v>20800</v>
      </c>
      <c r="V102" s="964">
        <v>20800</v>
      </c>
    </row>
    <row r="103" spans="1:22" x14ac:dyDescent="0.25">
      <c r="A103" s="961" t="s">
        <v>6452</v>
      </c>
      <c r="B103" s="961">
        <v>2</v>
      </c>
      <c r="C103" s="961">
        <v>2</v>
      </c>
      <c r="D103" s="961" t="s">
        <v>6436</v>
      </c>
      <c r="E103" s="961" t="s">
        <v>6437</v>
      </c>
      <c r="F103" s="966" t="s">
        <v>6453</v>
      </c>
      <c r="G103" s="961" t="s">
        <v>741</v>
      </c>
      <c r="H103" s="961">
        <v>1</v>
      </c>
      <c r="I103" s="963">
        <v>37601</v>
      </c>
      <c r="J103" s="961">
        <v>1</v>
      </c>
      <c r="K103" s="961">
        <v>23</v>
      </c>
      <c r="L103" s="961">
        <v>1</v>
      </c>
      <c r="M103" s="961">
        <v>1</v>
      </c>
      <c r="N103" s="961" t="s">
        <v>6438</v>
      </c>
      <c r="O103" s="961">
        <v>13</v>
      </c>
      <c r="P103" s="964">
        <v>30000</v>
      </c>
      <c r="Q103" s="964">
        <v>-19486</v>
      </c>
      <c r="R103" s="964">
        <f t="shared" si="1"/>
        <v>10514</v>
      </c>
      <c r="S103" s="964">
        <v>10513.26</v>
      </c>
      <c r="T103" s="964">
        <v>10513.26</v>
      </c>
      <c r="U103" s="964">
        <v>10513.26</v>
      </c>
      <c r="V103" s="964">
        <v>10513.26</v>
      </c>
    </row>
    <row r="104" spans="1:22" x14ac:dyDescent="0.25">
      <c r="A104" s="961" t="s">
        <v>6452</v>
      </c>
      <c r="B104" s="961">
        <v>2</v>
      </c>
      <c r="C104" s="961">
        <v>2</v>
      </c>
      <c r="D104" s="961" t="s">
        <v>6436</v>
      </c>
      <c r="E104" s="961" t="s">
        <v>6437</v>
      </c>
      <c r="F104" s="966" t="s">
        <v>6453</v>
      </c>
      <c r="G104" s="961" t="s">
        <v>741</v>
      </c>
      <c r="H104" s="961">
        <v>1</v>
      </c>
      <c r="I104" s="963">
        <v>37901</v>
      </c>
      <c r="J104" s="961">
        <v>1</v>
      </c>
      <c r="K104" s="961">
        <v>23</v>
      </c>
      <c r="L104" s="961">
        <v>1</v>
      </c>
      <c r="M104" s="961">
        <v>1</v>
      </c>
      <c r="N104" s="961" t="s">
        <v>6438</v>
      </c>
      <c r="O104" s="961">
        <v>13</v>
      </c>
      <c r="P104" s="964">
        <v>12000</v>
      </c>
      <c r="Q104" s="964">
        <v>-7000</v>
      </c>
      <c r="R104" s="964">
        <f t="shared" si="1"/>
        <v>5000</v>
      </c>
      <c r="S104" s="964">
        <v>4136</v>
      </c>
      <c r="T104" s="964">
        <v>4136</v>
      </c>
      <c r="U104" s="964">
        <v>4106</v>
      </c>
      <c r="V104" s="964">
        <v>4106</v>
      </c>
    </row>
    <row r="105" spans="1:22" x14ac:dyDescent="0.25">
      <c r="A105" s="961" t="s">
        <v>6452</v>
      </c>
      <c r="B105" s="961">
        <v>2</v>
      </c>
      <c r="C105" s="961">
        <v>2</v>
      </c>
      <c r="D105" s="961" t="s">
        <v>6436</v>
      </c>
      <c r="E105" s="961" t="s">
        <v>6437</v>
      </c>
      <c r="F105" s="966" t="s">
        <v>6453</v>
      </c>
      <c r="G105" s="961" t="s">
        <v>741</v>
      </c>
      <c r="H105" s="961">
        <v>1</v>
      </c>
      <c r="I105" s="963">
        <v>38301</v>
      </c>
      <c r="J105" s="961">
        <v>1</v>
      </c>
      <c r="K105" s="961">
        <v>23</v>
      </c>
      <c r="L105" s="961">
        <v>1</v>
      </c>
      <c r="M105" s="961">
        <v>1</v>
      </c>
      <c r="N105" s="961" t="s">
        <v>6438</v>
      </c>
      <c r="O105" s="961">
        <v>13</v>
      </c>
      <c r="P105" s="964">
        <v>10000</v>
      </c>
      <c r="Q105" s="964">
        <v>-1434.08</v>
      </c>
      <c r="R105" s="964">
        <f t="shared" si="1"/>
        <v>8565.92</v>
      </c>
      <c r="S105" s="964">
        <v>8294</v>
      </c>
      <c r="T105" s="964">
        <v>8294</v>
      </c>
      <c r="U105" s="964">
        <v>8294</v>
      </c>
      <c r="V105" s="964">
        <v>8294</v>
      </c>
    </row>
    <row r="106" spans="1:22" x14ac:dyDescent="0.25">
      <c r="A106" s="961" t="s">
        <v>6452</v>
      </c>
      <c r="B106" s="961">
        <v>2</v>
      </c>
      <c r="C106" s="961">
        <v>2</v>
      </c>
      <c r="D106" s="961" t="s">
        <v>6436</v>
      </c>
      <c r="E106" s="961" t="s">
        <v>6437</v>
      </c>
      <c r="F106" s="966" t="s">
        <v>6453</v>
      </c>
      <c r="G106" s="961" t="s">
        <v>741</v>
      </c>
      <c r="H106" s="961">
        <v>1</v>
      </c>
      <c r="I106" s="963">
        <v>39201</v>
      </c>
      <c r="J106" s="961">
        <v>1</v>
      </c>
      <c r="K106" s="961">
        <v>23</v>
      </c>
      <c r="L106" s="961">
        <v>1</v>
      </c>
      <c r="M106" s="961">
        <v>1</v>
      </c>
      <c r="N106" s="961" t="s">
        <v>6438</v>
      </c>
      <c r="O106" s="961">
        <v>13</v>
      </c>
      <c r="P106" s="964"/>
      <c r="Q106" s="964"/>
      <c r="R106" s="964">
        <f t="shared" si="1"/>
        <v>0</v>
      </c>
      <c r="S106" s="964">
        <v>23618</v>
      </c>
      <c r="T106" s="964">
        <v>23618</v>
      </c>
      <c r="U106" s="964">
        <v>23618</v>
      </c>
      <c r="V106" s="964">
        <v>23618</v>
      </c>
    </row>
    <row r="107" spans="1:22" x14ac:dyDescent="0.25">
      <c r="A107" s="961" t="s">
        <v>6452</v>
      </c>
      <c r="B107" s="961">
        <v>2</v>
      </c>
      <c r="C107" s="961">
        <v>2</v>
      </c>
      <c r="D107" s="961" t="s">
        <v>6436</v>
      </c>
      <c r="E107" s="961" t="s">
        <v>6437</v>
      </c>
      <c r="F107" s="966" t="s">
        <v>6453</v>
      </c>
      <c r="G107" s="961" t="s">
        <v>741</v>
      </c>
      <c r="H107" s="961">
        <v>1</v>
      </c>
      <c r="I107" s="963">
        <v>39501</v>
      </c>
      <c r="J107" s="961">
        <v>1</v>
      </c>
      <c r="K107" s="961">
        <v>23</v>
      </c>
      <c r="L107" s="961">
        <v>1</v>
      </c>
      <c r="M107" s="961">
        <v>1</v>
      </c>
      <c r="N107" s="961" t="s">
        <v>6438</v>
      </c>
      <c r="O107" s="961">
        <v>13</v>
      </c>
      <c r="P107" s="964"/>
      <c r="Q107" s="964">
        <v>17665</v>
      </c>
      <c r="R107" s="964">
        <f t="shared" si="1"/>
        <v>17665</v>
      </c>
      <c r="S107" s="964">
        <v>0</v>
      </c>
      <c r="T107" s="964">
        <v>0</v>
      </c>
      <c r="U107" s="964">
        <v>0</v>
      </c>
      <c r="V107" s="964">
        <v>0</v>
      </c>
    </row>
    <row r="108" spans="1:22" x14ac:dyDescent="0.25">
      <c r="A108" s="961" t="s">
        <v>6452</v>
      </c>
      <c r="B108" s="961">
        <v>2</v>
      </c>
      <c r="C108" s="961">
        <v>2</v>
      </c>
      <c r="D108" s="961" t="s">
        <v>6436</v>
      </c>
      <c r="E108" s="961" t="s">
        <v>6437</v>
      </c>
      <c r="F108" s="966" t="s">
        <v>6453</v>
      </c>
      <c r="G108" s="961" t="s">
        <v>741</v>
      </c>
      <c r="H108" s="961">
        <v>1</v>
      </c>
      <c r="I108" s="963">
        <v>51501</v>
      </c>
      <c r="J108" s="961">
        <v>2</v>
      </c>
      <c r="K108" s="961">
        <v>23</v>
      </c>
      <c r="L108" s="961">
        <v>1</v>
      </c>
      <c r="M108" s="961">
        <v>1</v>
      </c>
      <c r="N108" s="961" t="s">
        <v>6438</v>
      </c>
      <c r="O108" s="961">
        <v>13</v>
      </c>
      <c r="P108" s="964"/>
      <c r="Q108" s="964">
        <v>33689</v>
      </c>
      <c r="R108" s="964">
        <f t="shared" si="1"/>
        <v>33689</v>
      </c>
      <c r="S108" s="964">
        <v>33689</v>
      </c>
      <c r="T108" s="964">
        <v>33689</v>
      </c>
      <c r="U108" s="964">
        <v>33689</v>
      </c>
      <c r="V108" s="964">
        <v>33689</v>
      </c>
    </row>
    <row r="109" spans="1:22" x14ac:dyDescent="0.25">
      <c r="A109" s="961" t="s">
        <v>6452</v>
      </c>
      <c r="B109" s="961">
        <v>2</v>
      </c>
      <c r="C109" s="961">
        <v>2</v>
      </c>
      <c r="D109" s="961" t="s">
        <v>6436</v>
      </c>
      <c r="E109" s="961" t="s">
        <v>6437</v>
      </c>
      <c r="F109" s="966" t="s">
        <v>6453</v>
      </c>
      <c r="G109" s="961" t="s">
        <v>741</v>
      </c>
      <c r="H109" s="961">
        <v>1</v>
      </c>
      <c r="I109" s="963" t="s">
        <v>6440</v>
      </c>
      <c r="J109" s="961">
        <v>1</v>
      </c>
      <c r="K109" s="961">
        <v>23</v>
      </c>
      <c r="L109" s="961">
        <v>1</v>
      </c>
      <c r="M109" s="961">
        <v>1</v>
      </c>
      <c r="N109" s="961" t="s">
        <v>6438</v>
      </c>
      <c r="O109" s="961">
        <v>13</v>
      </c>
      <c r="P109" s="964">
        <v>1036442.88</v>
      </c>
      <c r="Q109" s="964"/>
      <c r="R109" s="964">
        <f t="shared" si="1"/>
        <v>1036442.88</v>
      </c>
      <c r="S109" s="964">
        <v>1036442.88</v>
      </c>
      <c r="T109" s="964">
        <v>766050.83</v>
      </c>
      <c r="U109" s="964">
        <v>766050.83</v>
      </c>
      <c r="V109" s="964">
        <v>766050.83</v>
      </c>
    </row>
    <row r="110" spans="1:22" x14ac:dyDescent="0.25">
      <c r="A110" s="961" t="s">
        <v>6452</v>
      </c>
      <c r="B110" s="961">
        <v>2</v>
      </c>
      <c r="C110" s="961">
        <v>2</v>
      </c>
      <c r="D110" s="961" t="s">
        <v>6436</v>
      </c>
      <c r="E110" s="961" t="s">
        <v>6437</v>
      </c>
      <c r="F110" s="966" t="s">
        <v>6453</v>
      </c>
      <c r="G110" s="961" t="s">
        <v>741</v>
      </c>
      <c r="H110" s="961">
        <v>1</v>
      </c>
      <c r="I110" s="963" t="s">
        <v>6441</v>
      </c>
      <c r="J110" s="961">
        <v>1</v>
      </c>
      <c r="K110" s="961">
        <v>23</v>
      </c>
      <c r="L110" s="961">
        <v>1</v>
      </c>
      <c r="M110" s="961">
        <v>1</v>
      </c>
      <c r="N110" s="961" t="s">
        <v>6438</v>
      </c>
      <c r="O110" s="961">
        <v>13</v>
      </c>
      <c r="P110" s="964">
        <v>120101.14</v>
      </c>
      <c r="Q110" s="964"/>
      <c r="R110" s="964">
        <f t="shared" si="1"/>
        <v>120101.14</v>
      </c>
      <c r="S110" s="964">
        <v>187666.85</v>
      </c>
      <c r="T110" s="964">
        <v>187666.85</v>
      </c>
      <c r="U110" s="964">
        <v>181922.17</v>
      </c>
      <c r="V110" s="964">
        <v>181922.17</v>
      </c>
    </row>
    <row r="111" spans="1:22" x14ac:dyDescent="0.25">
      <c r="A111" s="961" t="s">
        <v>6452</v>
      </c>
      <c r="B111" s="961">
        <v>2</v>
      </c>
      <c r="C111" s="961">
        <v>2</v>
      </c>
      <c r="D111" s="961" t="s">
        <v>6436</v>
      </c>
      <c r="E111" s="961" t="s">
        <v>6437</v>
      </c>
      <c r="F111" s="966" t="s">
        <v>6453</v>
      </c>
      <c r="G111" s="961" t="s">
        <v>741</v>
      </c>
      <c r="H111" s="961">
        <v>1</v>
      </c>
      <c r="I111" s="963" t="s">
        <v>6442</v>
      </c>
      <c r="J111" s="961">
        <v>1</v>
      </c>
      <c r="K111" s="961">
        <v>23</v>
      </c>
      <c r="L111" s="961">
        <v>1</v>
      </c>
      <c r="M111" s="961">
        <v>1</v>
      </c>
      <c r="N111" s="961" t="s">
        <v>6438</v>
      </c>
      <c r="O111" s="961">
        <v>13</v>
      </c>
      <c r="P111" s="964">
        <v>24584.16</v>
      </c>
      <c r="Q111" s="964"/>
      <c r="R111" s="964">
        <f t="shared" si="1"/>
        <v>24584.16</v>
      </c>
      <c r="S111" s="964">
        <v>32683.14</v>
      </c>
      <c r="T111" s="964">
        <v>32683.14</v>
      </c>
      <c r="U111" s="964">
        <v>32009.87</v>
      </c>
      <c r="V111" s="964">
        <v>32009.87</v>
      </c>
    </row>
    <row r="112" spans="1:22" x14ac:dyDescent="0.25">
      <c r="A112" s="961" t="s">
        <v>6452</v>
      </c>
      <c r="B112" s="961">
        <v>2</v>
      </c>
      <c r="C112" s="961">
        <v>2</v>
      </c>
      <c r="D112" s="961" t="s">
        <v>6436</v>
      </c>
      <c r="E112" s="961" t="s">
        <v>6437</v>
      </c>
      <c r="F112" s="966" t="s">
        <v>6453</v>
      </c>
      <c r="G112" s="961" t="s">
        <v>741</v>
      </c>
      <c r="H112" s="961">
        <v>1</v>
      </c>
      <c r="I112" s="963" t="s">
        <v>6443</v>
      </c>
      <c r="J112" s="961">
        <v>1</v>
      </c>
      <c r="K112" s="961">
        <v>23</v>
      </c>
      <c r="L112" s="961">
        <v>1</v>
      </c>
      <c r="M112" s="961">
        <v>1</v>
      </c>
      <c r="N112" s="961" t="s">
        <v>6438</v>
      </c>
      <c r="O112" s="961">
        <v>13</v>
      </c>
      <c r="P112" s="964">
        <v>10372.200000000001</v>
      </c>
      <c r="Q112" s="964"/>
      <c r="R112" s="964">
        <f t="shared" si="1"/>
        <v>10372.200000000001</v>
      </c>
      <c r="S112" s="964">
        <v>10372.200000000001</v>
      </c>
      <c r="T112" s="964">
        <v>4668.3</v>
      </c>
      <c r="U112" s="964">
        <v>4668.3</v>
      </c>
      <c r="V112" s="964">
        <v>4668.3</v>
      </c>
    </row>
    <row r="113" spans="1:22" x14ac:dyDescent="0.25">
      <c r="A113" s="961" t="s">
        <v>6452</v>
      </c>
      <c r="B113" s="961">
        <v>2</v>
      </c>
      <c r="C113" s="961">
        <v>2</v>
      </c>
      <c r="D113" s="961" t="s">
        <v>6436</v>
      </c>
      <c r="E113" s="961" t="s">
        <v>6437</v>
      </c>
      <c r="F113" s="966" t="s">
        <v>6453</v>
      </c>
      <c r="G113" s="961" t="s">
        <v>741</v>
      </c>
      <c r="H113" s="961">
        <v>1</v>
      </c>
      <c r="I113" s="963" t="s">
        <v>6444</v>
      </c>
      <c r="J113" s="961">
        <v>1</v>
      </c>
      <c r="K113" s="961">
        <v>23</v>
      </c>
      <c r="L113" s="961">
        <v>1</v>
      </c>
      <c r="M113" s="961">
        <v>1</v>
      </c>
      <c r="N113" s="961" t="s">
        <v>6438</v>
      </c>
      <c r="O113" s="961">
        <v>13</v>
      </c>
      <c r="P113" s="964">
        <v>20744.400000000001</v>
      </c>
      <c r="Q113" s="964">
        <v>-20744.400000000001</v>
      </c>
      <c r="R113" s="964">
        <f t="shared" si="1"/>
        <v>0</v>
      </c>
      <c r="S113" s="964">
        <v>20744.400000000001</v>
      </c>
      <c r="T113" s="964">
        <v>9461.1</v>
      </c>
      <c r="U113" s="964">
        <v>9461.1</v>
      </c>
      <c r="V113" s="964">
        <v>9461.1</v>
      </c>
    </row>
    <row r="114" spans="1:22" x14ac:dyDescent="0.25">
      <c r="A114" s="961" t="s">
        <v>6452</v>
      </c>
      <c r="B114" s="961">
        <v>2</v>
      </c>
      <c r="C114" s="961">
        <v>2</v>
      </c>
      <c r="D114" s="961" t="s">
        <v>6436</v>
      </c>
      <c r="E114" s="961" t="s">
        <v>6437</v>
      </c>
      <c r="F114" s="966" t="s">
        <v>6453</v>
      </c>
      <c r="G114" s="961" t="s">
        <v>741</v>
      </c>
      <c r="H114" s="961">
        <v>1</v>
      </c>
      <c r="I114" s="963" t="s">
        <v>6445</v>
      </c>
      <c r="J114" s="961">
        <v>1</v>
      </c>
      <c r="K114" s="961">
        <v>23</v>
      </c>
      <c r="L114" s="961">
        <v>1</v>
      </c>
      <c r="M114" s="961">
        <v>1</v>
      </c>
      <c r="N114" s="961" t="s">
        <v>6438</v>
      </c>
      <c r="O114" s="961">
        <v>13</v>
      </c>
      <c r="P114" s="964">
        <v>330432.24</v>
      </c>
      <c r="Q114" s="964"/>
      <c r="R114" s="964">
        <f t="shared" si="1"/>
        <v>330432.24</v>
      </c>
      <c r="S114" s="964">
        <v>330432.24</v>
      </c>
      <c r="T114" s="964">
        <v>239372.66</v>
      </c>
      <c r="U114" s="964">
        <v>239372.66</v>
      </c>
      <c r="V114" s="964">
        <v>239372.66</v>
      </c>
    </row>
    <row r="115" spans="1:22" x14ac:dyDescent="0.25">
      <c r="A115" s="961" t="s">
        <v>6452</v>
      </c>
      <c r="B115" s="961">
        <v>2</v>
      </c>
      <c r="C115" s="961">
        <v>2</v>
      </c>
      <c r="D115" s="961" t="s">
        <v>6436</v>
      </c>
      <c r="E115" s="961" t="s">
        <v>6437</v>
      </c>
      <c r="F115" s="966" t="s">
        <v>6453</v>
      </c>
      <c r="G115" s="961" t="s">
        <v>741</v>
      </c>
      <c r="H115" s="961">
        <v>1</v>
      </c>
      <c r="I115" s="963" t="s">
        <v>6446</v>
      </c>
      <c r="J115" s="961">
        <v>1</v>
      </c>
      <c r="K115" s="961">
        <v>23</v>
      </c>
      <c r="L115" s="961">
        <v>1</v>
      </c>
      <c r="M115" s="961">
        <v>1</v>
      </c>
      <c r="N115" s="961" t="s">
        <v>6438</v>
      </c>
      <c r="O115" s="961">
        <v>13</v>
      </c>
      <c r="P115" s="964">
        <v>813253.92</v>
      </c>
      <c r="Q115" s="964"/>
      <c r="R115" s="964">
        <f t="shared" si="1"/>
        <v>813253.92</v>
      </c>
      <c r="S115" s="964">
        <v>813253.92</v>
      </c>
      <c r="T115" s="964">
        <v>590653.72</v>
      </c>
      <c r="U115" s="964">
        <v>580339.86</v>
      </c>
      <c r="V115" s="964">
        <v>580339.86</v>
      </c>
    </row>
    <row r="116" spans="1:22" x14ac:dyDescent="0.25">
      <c r="A116" s="961" t="s">
        <v>6452</v>
      </c>
      <c r="B116" s="961">
        <v>2</v>
      </c>
      <c r="C116" s="961">
        <v>2</v>
      </c>
      <c r="D116" s="961" t="s">
        <v>6436</v>
      </c>
      <c r="E116" s="961" t="s">
        <v>6437</v>
      </c>
      <c r="F116" s="966" t="s">
        <v>6453</v>
      </c>
      <c r="G116" s="961" t="s">
        <v>741</v>
      </c>
      <c r="H116" s="961">
        <v>1</v>
      </c>
      <c r="I116" s="963" t="s">
        <v>6447</v>
      </c>
      <c r="J116" s="961">
        <v>1</v>
      </c>
      <c r="K116" s="961">
        <v>23</v>
      </c>
      <c r="L116" s="961">
        <v>1</v>
      </c>
      <c r="M116" s="961">
        <v>1</v>
      </c>
      <c r="N116" s="961" t="s">
        <v>6438</v>
      </c>
      <c r="O116" s="961">
        <v>13</v>
      </c>
      <c r="P116" s="964">
        <v>1056</v>
      </c>
      <c r="Q116" s="964"/>
      <c r="R116" s="964">
        <f t="shared" si="1"/>
        <v>1056</v>
      </c>
      <c r="S116" s="964">
        <v>1056</v>
      </c>
      <c r="T116" s="964">
        <v>715</v>
      </c>
      <c r="U116" s="964">
        <v>715</v>
      </c>
      <c r="V116" s="964">
        <v>715</v>
      </c>
    </row>
    <row r="117" spans="1:22" x14ac:dyDescent="0.25">
      <c r="A117" s="965" t="s">
        <v>6452</v>
      </c>
      <c r="B117" s="961">
        <v>2</v>
      </c>
      <c r="C117" s="961">
        <v>2</v>
      </c>
      <c r="D117" s="961" t="s">
        <v>6436</v>
      </c>
      <c r="E117" s="961" t="s">
        <v>6437</v>
      </c>
      <c r="F117" s="966" t="s">
        <v>6453</v>
      </c>
      <c r="G117" s="961" t="s">
        <v>741</v>
      </c>
      <c r="H117" s="961">
        <v>1</v>
      </c>
      <c r="I117" s="963">
        <v>15101</v>
      </c>
      <c r="J117" s="961">
        <v>1</v>
      </c>
      <c r="K117" s="961">
        <v>23</v>
      </c>
      <c r="L117" s="961">
        <v>1</v>
      </c>
      <c r="M117" s="961">
        <v>1</v>
      </c>
      <c r="N117" s="961" t="s">
        <v>6438</v>
      </c>
      <c r="O117" s="961">
        <v>13</v>
      </c>
      <c r="P117" s="964">
        <v>2175.12</v>
      </c>
      <c r="Q117" s="964"/>
      <c r="R117" s="964">
        <f t="shared" si="1"/>
        <v>2175.12</v>
      </c>
      <c r="S117" s="964">
        <v>2175.12</v>
      </c>
      <c r="T117" s="964">
        <v>2078.29</v>
      </c>
      <c r="U117" s="964">
        <v>2078.29</v>
      </c>
      <c r="V117" s="964">
        <v>2078.29</v>
      </c>
    </row>
    <row r="118" spans="1:22" x14ac:dyDescent="0.25">
      <c r="A118" s="965" t="s">
        <v>6452</v>
      </c>
      <c r="B118" s="961">
        <v>2</v>
      </c>
      <c r="C118" s="961">
        <v>2</v>
      </c>
      <c r="D118" s="961" t="s">
        <v>6436</v>
      </c>
      <c r="E118" s="961" t="s">
        <v>6437</v>
      </c>
      <c r="F118" s="966" t="s">
        <v>6453</v>
      </c>
      <c r="G118" s="961" t="s">
        <v>741</v>
      </c>
      <c r="H118" s="961">
        <v>1</v>
      </c>
      <c r="I118" s="963">
        <v>15404</v>
      </c>
      <c r="J118" s="961">
        <v>1</v>
      </c>
      <c r="K118" s="961">
        <v>23</v>
      </c>
      <c r="L118" s="961">
        <v>1</v>
      </c>
      <c r="M118" s="961">
        <v>1</v>
      </c>
      <c r="N118" s="961" t="s">
        <v>6438</v>
      </c>
      <c r="O118" s="961">
        <v>13</v>
      </c>
      <c r="P118" s="964">
        <v>11619.53</v>
      </c>
      <c r="Q118" s="964"/>
      <c r="R118" s="964">
        <f t="shared" si="1"/>
        <v>11619.53</v>
      </c>
      <c r="S118" s="964">
        <v>12084.32</v>
      </c>
      <c r="T118" s="964">
        <v>12084.32</v>
      </c>
      <c r="U118" s="964">
        <v>12084.32</v>
      </c>
      <c r="V118" s="964">
        <v>12084.32</v>
      </c>
    </row>
    <row r="119" spans="1:22" x14ac:dyDescent="0.25">
      <c r="A119" s="961" t="s">
        <v>6452</v>
      </c>
      <c r="B119" s="961">
        <v>2</v>
      </c>
      <c r="C119" s="961">
        <v>2</v>
      </c>
      <c r="D119" s="961" t="s">
        <v>6436</v>
      </c>
      <c r="E119" s="961" t="s">
        <v>6437</v>
      </c>
      <c r="F119" s="966" t="s">
        <v>6453</v>
      </c>
      <c r="G119" s="961" t="s">
        <v>741</v>
      </c>
      <c r="H119" s="961">
        <v>1</v>
      </c>
      <c r="I119" s="963">
        <v>15409</v>
      </c>
      <c r="J119" s="961">
        <v>1</v>
      </c>
      <c r="K119" s="961">
        <v>23</v>
      </c>
      <c r="L119" s="961">
        <v>1</v>
      </c>
      <c r="M119" s="961">
        <v>1</v>
      </c>
      <c r="N119" s="961" t="s">
        <v>6438</v>
      </c>
      <c r="O119" s="961">
        <v>13</v>
      </c>
      <c r="P119" s="964">
        <v>31440</v>
      </c>
      <c r="Q119" s="964"/>
      <c r="R119" s="964">
        <f t="shared" si="1"/>
        <v>31440</v>
      </c>
      <c r="S119" s="964">
        <v>31440</v>
      </c>
      <c r="T119" s="964">
        <v>31440</v>
      </c>
      <c r="U119" s="964">
        <v>31440</v>
      </c>
      <c r="V119" s="964">
        <v>31440</v>
      </c>
    </row>
    <row r="120" spans="1:22" x14ac:dyDescent="0.25">
      <c r="A120" s="961" t="s">
        <v>6452</v>
      </c>
      <c r="B120" s="961">
        <v>2</v>
      </c>
      <c r="C120" s="961">
        <v>2</v>
      </c>
      <c r="D120" s="961" t="s">
        <v>6436</v>
      </c>
      <c r="E120" s="961" t="s">
        <v>6437</v>
      </c>
      <c r="F120" s="966" t="s">
        <v>6453</v>
      </c>
      <c r="G120" s="961" t="s">
        <v>741</v>
      </c>
      <c r="H120" s="961">
        <v>1</v>
      </c>
      <c r="I120" s="963">
        <v>15416</v>
      </c>
      <c r="J120" s="961">
        <v>1</v>
      </c>
      <c r="K120" s="961">
        <v>23</v>
      </c>
      <c r="L120" s="961">
        <v>1</v>
      </c>
      <c r="M120" s="961">
        <v>1</v>
      </c>
      <c r="N120" s="961" t="s">
        <v>6438</v>
      </c>
      <c r="O120" s="961">
        <v>13</v>
      </c>
      <c r="P120" s="964">
        <v>1425</v>
      </c>
      <c r="Q120" s="964"/>
      <c r="R120" s="964">
        <f t="shared" si="1"/>
        <v>1425</v>
      </c>
      <c r="S120" s="964">
        <v>1450</v>
      </c>
      <c r="T120" s="964">
        <v>1450</v>
      </c>
      <c r="U120" s="964">
        <v>1450</v>
      </c>
      <c r="V120" s="964">
        <v>1450</v>
      </c>
    </row>
    <row r="121" spans="1:22" x14ac:dyDescent="0.25">
      <c r="A121" s="961" t="s">
        <v>6452</v>
      </c>
      <c r="B121" s="961">
        <v>2</v>
      </c>
      <c r="C121" s="961">
        <v>2</v>
      </c>
      <c r="D121" s="961" t="s">
        <v>6436</v>
      </c>
      <c r="E121" s="961" t="s">
        <v>6437</v>
      </c>
      <c r="F121" s="966" t="s">
        <v>6453</v>
      </c>
      <c r="G121" s="961" t="s">
        <v>741</v>
      </c>
      <c r="H121" s="961">
        <v>1</v>
      </c>
      <c r="I121" s="963">
        <v>15417</v>
      </c>
      <c r="J121" s="961">
        <v>1</v>
      </c>
      <c r="K121" s="961">
        <v>23</v>
      </c>
      <c r="L121" s="961">
        <v>1</v>
      </c>
      <c r="M121" s="961">
        <v>1</v>
      </c>
      <c r="N121" s="961" t="s">
        <v>6438</v>
      </c>
      <c r="O121" s="961">
        <v>13</v>
      </c>
      <c r="P121" s="964">
        <v>17544</v>
      </c>
      <c r="Q121" s="964"/>
      <c r="R121" s="964">
        <f t="shared" si="1"/>
        <v>17544</v>
      </c>
      <c r="S121" s="964">
        <v>18384</v>
      </c>
      <c r="T121" s="964">
        <v>18384</v>
      </c>
      <c r="U121" s="964">
        <v>18384</v>
      </c>
      <c r="V121" s="964">
        <v>18384</v>
      </c>
    </row>
    <row r="122" spans="1:22" x14ac:dyDescent="0.25">
      <c r="A122" s="961" t="s">
        <v>6452</v>
      </c>
      <c r="B122" s="961">
        <v>2</v>
      </c>
      <c r="C122" s="961">
        <v>2</v>
      </c>
      <c r="D122" s="961" t="s">
        <v>6436</v>
      </c>
      <c r="E122" s="961" t="s">
        <v>6437</v>
      </c>
      <c r="F122" s="966" t="s">
        <v>6453</v>
      </c>
      <c r="G122" s="961" t="s">
        <v>741</v>
      </c>
      <c r="H122" s="961">
        <v>1</v>
      </c>
      <c r="I122" s="963">
        <v>15418</v>
      </c>
      <c r="J122" s="961">
        <v>1</v>
      </c>
      <c r="K122" s="961">
        <v>23</v>
      </c>
      <c r="L122" s="961">
        <v>1</v>
      </c>
      <c r="M122" s="961">
        <v>1</v>
      </c>
      <c r="N122" s="961" t="s">
        <v>6438</v>
      </c>
      <c r="O122" s="961">
        <v>13</v>
      </c>
      <c r="P122" s="964">
        <v>6971.72</v>
      </c>
      <c r="Q122" s="964"/>
      <c r="R122" s="964">
        <f t="shared" si="1"/>
        <v>6971.72</v>
      </c>
      <c r="S122" s="964">
        <v>7250.59</v>
      </c>
      <c r="T122" s="964">
        <v>7250.59</v>
      </c>
      <c r="U122" s="964">
        <v>7250.59</v>
      </c>
      <c r="V122" s="964">
        <v>7250.59</v>
      </c>
    </row>
    <row r="123" spans="1:22" x14ac:dyDescent="0.25">
      <c r="A123" s="961" t="s">
        <v>6452</v>
      </c>
      <c r="B123" s="961">
        <v>2</v>
      </c>
      <c r="C123" s="961">
        <v>2</v>
      </c>
      <c r="D123" s="961" t="s">
        <v>6436</v>
      </c>
      <c r="E123" s="961" t="s">
        <v>6437</v>
      </c>
      <c r="F123" s="966" t="s">
        <v>6453</v>
      </c>
      <c r="G123" s="961" t="s">
        <v>741</v>
      </c>
      <c r="H123" s="961">
        <v>1</v>
      </c>
      <c r="I123" s="963" t="s">
        <v>6450</v>
      </c>
      <c r="J123" s="961">
        <v>1</v>
      </c>
      <c r="K123" s="961">
        <v>23</v>
      </c>
      <c r="L123" s="961">
        <v>1</v>
      </c>
      <c r="M123" s="961">
        <v>1</v>
      </c>
      <c r="N123" s="961" t="s">
        <v>6438</v>
      </c>
      <c r="O123" s="961">
        <v>13</v>
      </c>
      <c r="P123" s="964">
        <v>19392</v>
      </c>
      <c r="Q123" s="964"/>
      <c r="R123" s="964">
        <f t="shared" si="1"/>
        <v>19392</v>
      </c>
      <c r="S123" s="964">
        <v>20232</v>
      </c>
      <c r="T123" s="964">
        <v>20232</v>
      </c>
      <c r="U123" s="964">
        <v>20232</v>
      </c>
      <c r="V123" s="964">
        <v>20232</v>
      </c>
    </row>
    <row r="124" spans="1:22" x14ac:dyDescent="0.25">
      <c r="A124" s="961" t="s">
        <v>6452</v>
      </c>
      <c r="B124" s="961">
        <v>2</v>
      </c>
      <c r="C124" s="961">
        <v>2</v>
      </c>
      <c r="D124" s="961" t="s">
        <v>6436</v>
      </c>
      <c r="E124" s="961" t="s">
        <v>6437</v>
      </c>
      <c r="F124" s="966" t="s">
        <v>6453</v>
      </c>
      <c r="G124" s="961" t="s">
        <v>741</v>
      </c>
      <c r="H124" s="961">
        <v>1</v>
      </c>
      <c r="I124" s="963">
        <v>15423</v>
      </c>
      <c r="J124" s="961">
        <v>1</v>
      </c>
      <c r="K124" s="961">
        <v>23</v>
      </c>
      <c r="L124" s="961">
        <v>1</v>
      </c>
      <c r="M124" s="961">
        <v>1</v>
      </c>
      <c r="N124" s="961" t="s">
        <v>6438</v>
      </c>
      <c r="O124" s="961">
        <v>13</v>
      </c>
      <c r="P124" s="964">
        <v>1260</v>
      </c>
      <c r="Q124" s="964"/>
      <c r="R124" s="964">
        <f t="shared" si="1"/>
        <v>1260</v>
      </c>
      <c r="S124" s="964">
        <v>1460</v>
      </c>
      <c r="T124" s="964">
        <v>1460</v>
      </c>
      <c r="U124" s="964">
        <v>1460</v>
      </c>
      <c r="V124" s="964">
        <v>1460</v>
      </c>
    </row>
    <row r="125" spans="1:22" x14ac:dyDescent="0.25">
      <c r="A125" s="961" t="s">
        <v>6452</v>
      </c>
      <c r="B125" s="961">
        <v>2</v>
      </c>
      <c r="C125" s="961">
        <v>2</v>
      </c>
      <c r="D125" s="961" t="s">
        <v>6436</v>
      </c>
      <c r="E125" s="961" t="s">
        <v>6437</v>
      </c>
      <c r="F125" s="966" t="s">
        <v>6453</v>
      </c>
      <c r="G125" s="961" t="s">
        <v>741</v>
      </c>
      <c r="H125" s="961">
        <v>1</v>
      </c>
      <c r="I125" s="963">
        <v>15424</v>
      </c>
      <c r="J125" s="961">
        <v>1</v>
      </c>
      <c r="K125" s="961">
        <v>23</v>
      </c>
      <c r="L125" s="961">
        <v>1</v>
      </c>
      <c r="M125" s="961">
        <v>1</v>
      </c>
      <c r="N125" s="961" t="s">
        <v>6438</v>
      </c>
      <c r="O125" s="961">
        <v>13</v>
      </c>
      <c r="P125" s="964">
        <v>900</v>
      </c>
      <c r="Q125" s="964"/>
      <c r="R125" s="964">
        <f t="shared" si="1"/>
        <v>900</v>
      </c>
      <c r="S125" s="964">
        <v>950</v>
      </c>
      <c r="T125" s="964">
        <v>950</v>
      </c>
      <c r="U125" s="964">
        <v>950</v>
      </c>
      <c r="V125" s="964">
        <v>950</v>
      </c>
    </row>
    <row r="126" spans="1:22" x14ac:dyDescent="0.25">
      <c r="A126" s="961" t="s">
        <v>6452</v>
      </c>
      <c r="B126" s="961">
        <v>2</v>
      </c>
      <c r="C126" s="961">
        <v>2</v>
      </c>
      <c r="D126" s="961" t="s">
        <v>6436</v>
      </c>
      <c r="E126" s="961" t="s">
        <v>6437</v>
      </c>
      <c r="F126" s="966" t="s">
        <v>6453</v>
      </c>
      <c r="G126" s="961" t="s">
        <v>741</v>
      </c>
      <c r="H126" s="961">
        <v>1</v>
      </c>
      <c r="I126" s="963">
        <v>15425</v>
      </c>
      <c r="J126" s="961">
        <v>1</v>
      </c>
      <c r="K126" s="961">
        <v>23</v>
      </c>
      <c r="L126" s="961">
        <v>1</v>
      </c>
      <c r="M126" s="961">
        <v>1</v>
      </c>
      <c r="N126" s="961" t="s">
        <v>6438</v>
      </c>
      <c r="O126" s="961">
        <v>13</v>
      </c>
      <c r="P126" s="964">
        <v>10008</v>
      </c>
      <c r="Q126" s="964"/>
      <c r="R126" s="964">
        <f t="shared" si="1"/>
        <v>10008</v>
      </c>
      <c r="S126" s="964">
        <v>11448</v>
      </c>
      <c r="T126" s="964">
        <v>11448</v>
      </c>
      <c r="U126" s="964">
        <v>11448</v>
      </c>
      <c r="V126" s="964">
        <v>11448</v>
      </c>
    </row>
    <row r="127" spans="1:22" x14ac:dyDescent="0.25">
      <c r="A127" s="961" t="s">
        <v>6452</v>
      </c>
      <c r="B127" s="961">
        <v>2</v>
      </c>
      <c r="C127" s="961">
        <v>2</v>
      </c>
      <c r="D127" s="961" t="s">
        <v>6436</v>
      </c>
      <c r="E127" s="961" t="s">
        <v>6437</v>
      </c>
      <c r="F127" s="966" t="s">
        <v>6453</v>
      </c>
      <c r="G127" s="961" t="s">
        <v>741</v>
      </c>
      <c r="H127" s="961">
        <v>1</v>
      </c>
      <c r="I127" s="963">
        <v>15427</v>
      </c>
      <c r="J127" s="961">
        <v>1</v>
      </c>
      <c r="K127" s="961">
        <v>23</v>
      </c>
      <c r="L127" s="961">
        <v>1</v>
      </c>
      <c r="M127" s="961">
        <v>1</v>
      </c>
      <c r="N127" s="961" t="s">
        <v>6438</v>
      </c>
      <c r="O127" s="961">
        <v>13</v>
      </c>
      <c r="P127" s="964">
        <v>3600</v>
      </c>
      <c r="Q127" s="964"/>
      <c r="R127" s="964">
        <f t="shared" si="1"/>
        <v>3600</v>
      </c>
      <c r="S127" s="964">
        <v>3600</v>
      </c>
      <c r="T127" s="964">
        <v>3600</v>
      </c>
      <c r="U127" s="964">
        <v>3600</v>
      </c>
      <c r="V127" s="964">
        <v>3600</v>
      </c>
    </row>
    <row r="128" spans="1:22" x14ac:dyDescent="0.25">
      <c r="A128" s="961" t="s">
        <v>6452</v>
      </c>
      <c r="B128" s="961">
        <v>2</v>
      </c>
      <c r="C128" s="961">
        <v>2</v>
      </c>
      <c r="D128" s="961" t="s">
        <v>6436</v>
      </c>
      <c r="E128" s="961" t="s">
        <v>6437</v>
      </c>
      <c r="F128" s="966" t="s">
        <v>6453</v>
      </c>
      <c r="G128" s="961" t="s">
        <v>741</v>
      </c>
      <c r="H128" s="961">
        <v>1</v>
      </c>
      <c r="I128" s="963">
        <v>15430</v>
      </c>
      <c r="J128" s="961">
        <v>1</v>
      </c>
      <c r="K128" s="961">
        <v>23</v>
      </c>
      <c r="L128" s="961">
        <v>1</v>
      </c>
      <c r="M128" s="961">
        <v>1</v>
      </c>
      <c r="N128" s="961" t="s">
        <v>6438</v>
      </c>
      <c r="O128" s="961">
        <v>13</v>
      </c>
      <c r="P128" s="964">
        <v>1500</v>
      </c>
      <c r="Q128" s="964"/>
      <c r="R128" s="964">
        <f t="shared" si="1"/>
        <v>1500</v>
      </c>
      <c r="S128" s="964">
        <v>1600</v>
      </c>
      <c r="T128" s="964">
        <v>1600</v>
      </c>
      <c r="U128" s="964">
        <v>1600</v>
      </c>
      <c r="V128" s="964">
        <v>1600</v>
      </c>
    </row>
    <row r="129" spans="1:22" x14ac:dyDescent="0.25">
      <c r="A129" s="961" t="s">
        <v>6452</v>
      </c>
      <c r="B129" s="961">
        <v>2</v>
      </c>
      <c r="C129" s="961">
        <v>2</v>
      </c>
      <c r="D129" s="961" t="s">
        <v>6436</v>
      </c>
      <c r="E129" s="961" t="s">
        <v>6437</v>
      </c>
      <c r="F129" s="966" t="s">
        <v>6453</v>
      </c>
      <c r="G129" s="961" t="s">
        <v>741</v>
      </c>
      <c r="H129" s="961">
        <v>1</v>
      </c>
      <c r="I129" s="963" t="s">
        <v>6451</v>
      </c>
      <c r="J129" s="961">
        <v>1</v>
      </c>
      <c r="K129" s="961">
        <v>23</v>
      </c>
      <c r="L129" s="961">
        <v>1</v>
      </c>
      <c r="M129" s="961">
        <v>1</v>
      </c>
      <c r="N129" s="961" t="s">
        <v>6438</v>
      </c>
      <c r="O129" s="961">
        <v>13</v>
      </c>
      <c r="P129" s="964">
        <v>279065.89333333302</v>
      </c>
      <c r="Q129" s="964"/>
      <c r="R129" s="964">
        <f t="shared" si="1"/>
        <v>279065.89333333302</v>
      </c>
      <c r="S129" s="964">
        <v>517435.48</v>
      </c>
      <c r="T129" s="964">
        <v>517435.48</v>
      </c>
      <c r="U129" s="964">
        <v>517435.48</v>
      </c>
      <c r="V129" s="964">
        <v>235477.75</v>
      </c>
    </row>
    <row r="130" spans="1:22" x14ac:dyDescent="0.25">
      <c r="A130" s="961" t="s">
        <v>6452</v>
      </c>
      <c r="B130" s="961">
        <v>2</v>
      </c>
      <c r="C130" s="961">
        <v>2</v>
      </c>
      <c r="D130" s="961" t="s">
        <v>6436</v>
      </c>
      <c r="E130" s="961" t="s">
        <v>6437</v>
      </c>
      <c r="F130" s="966" t="s">
        <v>6453</v>
      </c>
      <c r="G130" s="961" t="s">
        <v>741</v>
      </c>
      <c r="H130" s="961">
        <v>1</v>
      </c>
      <c r="I130" s="963" t="s">
        <v>6454</v>
      </c>
      <c r="J130" s="961">
        <v>1</v>
      </c>
      <c r="K130" s="961">
        <v>23</v>
      </c>
      <c r="L130" s="961">
        <v>1</v>
      </c>
      <c r="M130" s="961">
        <v>1</v>
      </c>
      <c r="N130" s="961" t="s">
        <v>6438</v>
      </c>
      <c r="O130" s="961">
        <v>13</v>
      </c>
      <c r="P130" s="964">
        <v>409200</v>
      </c>
      <c r="Q130" s="964"/>
      <c r="R130" s="964">
        <f t="shared" si="1"/>
        <v>409200</v>
      </c>
      <c r="S130" s="964">
        <v>409200</v>
      </c>
      <c r="T130" s="964">
        <v>270241.65999999997</v>
      </c>
      <c r="U130" s="964">
        <v>270241.65999999997</v>
      </c>
      <c r="V130" s="964">
        <v>270241.65999999997</v>
      </c>
    </row>
    <row r="131" spans="1:22" x14ac:dyDescent="0.25">
      <c r="A131" s="961" t="s">
        <v>6452</v>
      </c>
      <c r="B131" s="961">
        <v>2</v>
      </c>
      <c r="C131" s="961">
        <v>2</v>
      </c>
      <c r="D131" s="961" t="s">
        <v>6436</v>
      </c>
      <c r="E131" s="961" t="s">
        <v>6437</v>
      </c>
      <c r="F131" s="966" t="s">
        <v>6453</v>
      </c>
      <c r="G131" s="961" t="s">
        <v>741</v>
      </c>
      <c r="H131" s="961">
        <v>1</v>
      </c>
      <c r="I131" s="963">
        <v>17104</v>
      </c>
      <c r="J131" s="961">
        <v>1</v>
      </c>
      <c r="K131" s="961">
        <v>23</v>
      </c>
      <c r="L131" s="961">
        <v>1</v>
      </c>
      <c r="M131" s="961">
        <v>1</v>
      </c>
      <c r="N131" s="961" t="s">
        <v>6438</v>
      </c>
      <c r="O131" s="961">
        <v>13</v>
      </c>
      <c r="P131" s="964">
        <v>7040</v>
      </c>
      <c r="Q131" s="964"/>
      <c r="R131" s="964">
        <f t="shared" si="1"/>
        <v>7040</v>
      </c>
      <c r="S131" s="964">
        <v>7040</v>
      </c>
      <c r="T131" s="964">
        <v>7040</v>
      </c>
      <c r="U131" s="964">
        <v>7040</v>
      </c>
      <c r="V131" s="964">
        <v>7040</v>
      </c>
    </row>
    <row r="132" spans="1:22" x14ac:dyDescent="0.25">
      <c r="A132" s="961" t="s">
        <v>6452</v>
      </c>
      <c r="B132" s="961">
        <v>2</v>
      </c>
      <c r="C132" s="961">
        <v>2</v>
      </c>
      <c r="D132" s="961" t="s">
        <v>6436</v>
      </c>
      <c r="E132" s="961" t="s">
        <v>6437</v>
      </c>
      <c r="F132" s="966" t="s">
        <v>6453</v>
      </c>
      <c r="G132" s="961" t="s">
        <v>741</v>
      </c>
      <c r="H132" s="961">
        <v>1</v>
      </c>
      <c r="I132" s="963">
        <v>17105</v>
      </c>
      <c r="J132" s="961">
        <v>1</v>
      </c>
      <c r="K132" s="961">
        <v>23</v>
      </c>
      <c r="L132" s="961">
        <v>1</v>
      </c>
      <c r="M132" s="961">
        <v>1</v>
      </c>
      <c r="N132" s="961" t="s">
        <v>6438</v>
      </c>
      <c r="O132" s="961">
        <v>13</v>
      </c>
      <c r="P132" s="964">
        <v>31074</v>
      </c>
      <c r="Q132" s="964"/>
      <c r="R132" s="964">
        <f t="shared" si="1"/>
        <v>31074</v>
      </c>
      <c r="S132" s="964">
        <v>32316.959999999999</v>
      </c>
      <c r="T132" s="964">
        <v>32316.959999999999</v>
      </c>
      <c r="U132" s="964">
        <v>32316.959999999999</v>
      </c>
      <c r="V132" s="964">
        <v>32316.959999999999</v>
      </c>
    </row>
    <row r="133" spans="1:22" x14ac:dyDescent="0.25">
      <c r="A133" s="961" t="s">
        <v>6452</v>
      </c>
      <c r="B133" s="961">
        <v>2</v>
      </c>
      <c r="C133" s="961">
        <v>2</v>
      </c>
      <c r="D133" s="961" t="s">
        <v>6436</v>
      </c>
      <c r="E133" s="961" t="s">
        <v>6437</v>
      </c>
      <c r="F133" s="966" t="s">
        <v>6453</v>
      </c>
      <c r="G133" s="961" t="s">
        <v>741</v>
      </c>
      <c r="H133" s="961">
        <v>1</v>
      </c>
      <c r="I133" s="963">
        <v>99101</v>
      </c>
      <c r="J133" s="961">
        <v>1</v>
      </c>
      <c r="K133" s="961">
        <v>23</v>
      </c>
      <c r="L133" s="961">
        <v>1</v>
      </c>
      <c r="M133" s="961">
        <v>1</v>
      </c>
      <c r="N133" s="961" t="s">
        <v>6438</v>
      </c>
      <c r="O133" s="961">
        <v>13</v>
      </c>
      <c r="P133" s="964"/>
      <c r="Q133" s="964"/>
      <c r="R133" s="964">
        <f t="shared" si="1"/>
        <v>0</v>
      </c>
      <c r="S133" s="964"/>
      <c r="T133" s="964"/>
      <c r="U133" s="964"/>
      <c r="V133" s="964"/>
    </row>
    <row r="134" spans="1:22" x14ac:dyDescent="0.25">
      <c r="A134" s="961" t="s">
        <v>6435</v>
      </c>
      <c r="B134" s="961">
        <v>2</v>
      </c>
      <c r="C134" s="961">
        <v>2</v>
      </c>
      <c r="D134" s="961" t="s">
        <v>6436</v>
      </c>
      <c r="E134" s="961" t="s">
        <v>6437</v>
      </c>
      <c r="F134" s="962">
        <v>287</v>
      </c>
      <c r="G134" s="961" t="s">
        <v>741</v>
      </c>
      <c r="H134" s="961">
        <v>1</v>
      </c>
      <c r="I134" s="963">
        <v>22106</v>
      </c>
      <c r="J134" s="961">
        <v>1</v>
      </c>
      <c r="K134" s="961">
        <v>23</v>
      </c>
      <c r="L134" s="961">
        <v>1</v>
      </c>
      <c r="M134" s="961">
        <v>1</v>
      </c>
      <c r="N134" s="961" t="s">
        <v>6438</v>
      </c>
      <c r="O134" s="961">
        <v>13</v>
      </c>
      <c r="P134" s="964">
        <v>20000</v>
      </c>
      <c r="Q134" s="964"/>
      <c r="R134" s="964">
        <f t="shared" si="1"/>
        <v>20000</v>
      </c>
      <c r="S134" s="964">
        <v>19825</v>
      </c>
      <c r="T134" s="964">
        <v>19825</v>
      </c>
      <c r="U134" s="964">
        <v>19825</v>
      </c>
      <c r="V134" s="964">
        <v>19825</v>
      </c>
    </row>
    <row r="135" spans="1:22" x14ac:dyDescent="0.25">
      <c r="A135" s="961" t="s">
        <v>6435</v>
      </c>
      <c r="B135" s="961">
        <v>2</v>
      </c>
      <c r="C135" s="961">
        <v>2</v>
      </c>
      <c r="D135" s="961" t="s">
        <v>6436</v>
      </c>
      <c r="E135" s="961" t="s">
        <v>6437</v>
      </c>
      <c r="F135" s="962">
        <v>287</v>
      </c>
      <c r="G135" s="961" t="s">
        <v>741</v>
      </c>
      <c r="H135" s="961">
        <v>1</v>
      </c>
      <c r="I135" s="963">
        <v>22301</v>
      </c>
      <c r="J135" s="961">
        <v>1</v>
      </c>
      <c r="K135" s="961">
        <v>23</v>
      </c>
      <c r="L135" s="961">
        <v>1</v>
      </c>
      <c r="M135" s="961">
        <v>1</v>
      </c>
      <c r="N135" s="961" t="s">
        <v>6438</v>
      </c>
      <c r="O135" s="961">
        <v>13</v>
      </c>
      <c r="P135" s="964">
        <v>800</v>
      </c>
      <c r="Q135" s="964"/>
      <c r="R135" s="964">
        <f t="shared" si="1"/>
        <v>800</v>
      </c>
      <c r="S135" s="964">
        <v>1199</v>
      </c>
      <c r="T135" s="968">
        <v>1199</v>
      </c>
      <c r="U135" s="964">
        <v>1199</v>
      </c>
      <c r="V135" s="964">
        <v>1199</v>
      </c>
    </row>
    <row r="136" spans="1:22" x14ac:dyDescent="0.25">
      <c r="A136" s="961" t="s">
        <v>6435</v>
      </c>
      <c r="B136" s="961">
        <v>2</v>
      </c>
      <c r="C136" s="961">
        <v>2</v>
      </c>
      <c r="D136" s="961" t="s">
        <v>6436</v>
      </c>
      <c r="E136" s="961" t="s">
        <v>6437</v>
      </c>
      <c r="F136" s="962">
        <v>287</v>
      </c>
      <c r="G136" s="961" t="s">
        <v>741</v>
      </c>
      <c r="H136" s="961">
        <v>1</v>
      </c>
      <c r="I136" s="963">
        <v>23901</v>
      </c>
      <c r="J136" s="961">
        <v>1</v>
      </c>
      <c r="K136" s="961">
        <v>23</v>
      </c>
      <c r="L136" s="961">
        <v>1</v>
      </c>
      <c r="M136" s="961">
        <v>1</v>
      </c>
      <c r="N136" s="961" t="s">
        <v>6438</v>
      </c>
      <c r="O136" s="961">
        <v>13</v>
      </c>
      <c r="P136" s="964"/>
      <c r="Q136" s="964"/>
      <c r="R136" s="964">
        <f t="shared" si="1"/>
        <v>0</v>
      </c>
      <c r="S136" s="964"/>
      <c r="T136" s="964"/>
      <c r="U136" s="964"/>
      <c r="V136" s="964"/>
    </row>
    <row r="137" spans="1:22" x14ac:dyDescent="0.25">
      <c r="A137" s="961" t="s">
        <v>6435</v>
      </c>
      <c r="B137" s="961">
        <v>2</v>
      </c>
      <c r="C137" s="961">
        <v>2</v>
      </c>
      <c r="D137" s="961" t="s">
        <v>6436</v>
      </c>
      <c r="E137" s="961" t="s">
        <v>6437</v>
      </c>
      <c r="F137" s="962">
        <v>287</v>
      </c>
      <c r="G137" s="961" t="s">
        <v>741</v>
      </c>
      <c r="H137" s="961">
        <v>1</v>
      </c>
      <c r="I137" s="963">
        <v>24601</v>
      </c>
      <c r="J137" s="961">
        <v>1</v>
      </c>
      <c r="K137" s="961">
        <v>23</v>
      </c>
      <c r="L137" s="961">
        <v>1</v>
      </c>
      <c r="M137" s="961">
        <v>1</v>
      </c>
      <c r="N137" s="961" t="s">
        <v>6438</v>
      </c>
      <c r="O137" s="961">
        <v>13</v>
      </c>
      <c r="P137" s="964">
        <v>10000</v>
      </c>
      <c r="Q137" s="964"/>
      <c r="R137" s="964">
        <f t="shared" si="1"/>
        <v>10000</v>
      </c>
      <c r="S137" s="964">
        <v>8531.01</v>
      </c>
      <c r="T137" s="964">
        <v>8531.01</v>
      </c>
      <c r="U137" s="964">
        <v>8531.01</v>
      </c>
      <c r="V137" s="964">
        <v>8531.01</v>
      </c>
    </row>
    <row r="138" spans="1:22" x14ac:dyDescent="0.25">
      <c r="A138" s="961" t="s">
        <v>6435</v>
      </c>
      <c r="B138" s="961">
        <v>2</v>
      </c>
      <c r="C138" s="961">
        <v>2</v>
      </c>
      <c r="D138" s="961" t="s">
        <v>6436</v>
      </c>
      <c r="E138" s="961" t="s">
        <v>6437</v>
      </c>
      <c r="F138" s="962">
        <v>287</v>
      </c>
      <c r="G138" s="961" t="s">
        <v>741</v>
      </c>
      <c r="H138" s="961">
        <v>1</v>
      </c>
      <c r="I138" s="963">
        <v>24801</v>
      </c>
      <c r="J138" s="961">
        <v>1</v>
      </c>
      <c r="K138" s="961">
        <v>23</v>
      </c>
      <c r="L138" s="961">
        <v>1</v>
      </c>
      <c r="M138" s="961">
        <v>1</v>
      </c>
      <c r="N138" s="961" t="s">
        <v>6438</v>
      </c>
      <c r="O138" s="961">
        <v>13</v>
      </c>
      <c r="P138" s="964"/>
      <c r="Q138" s="964"/>
      <c r="R138" s="964">
        <f t="shared" ref="R138:R207" si="2">SUM(P138:Q138)</f>
        <v>0</v>
      </c>
      <c r="S138" s="964"/>
      <c r="T138" s="964"/>
      <c r="U138" s="964"/>
      <c r="V138" s="964"/>
    </row>
    <row r="139" spans="1:22" x14ac:dyDescent="0.25">
      <c r="A139" s="961" t="s">
        <v>6435</v>
      </c>
      <c r="B139" s="961">
        <v>2</v>
      </c>
      <c r="C139" s="961">
        <v>2</v>
      </c>
      <c r="D139" s="961" t="s">
        <v>6436</v>
      </c>
      <c r="E139" s="961" t="s">
        <v>6437</v>
      </c>
      <c r="F139" s="962">
        <v>287</v>
      </c>
      <c r="G139" s="961" t="s">
        <v>741</v>
      </c>
      <c r="H139" s="961">
        <v>1</v>
      </c>
      <c r="I139" s="963">
        <v>25301</v>
      </c>
      <c r="J139" s="961">
        <v>1</v>
      </c>
      <c r="K139" s="961">
        <v>23</v>
      </c>
      <c r="L139" s="961">
        <v>1</v>
      </c>
      <c r="M139" s="961">
        <v>1</v>
      </c>
      <c r="N139" s="961" t="s">
        <v>6438</v>
      </c>
      <c r="O139" s="961">
        <v>13</v>
      </c>
      <c r="P139" s="964">
        <v>2500</v>
      </c>
      <c r="Q139" s="964">
        <v>-1260.81</v>
      </c>
      <c r="R139" s="964">
        <f t="shared" si="2"/>
        <v>1239.19</v>
      </c>
      <c r="S139" s="964"/>
      <c r="T139" s="964"/>
      <c r="U139" s="964"/>
      <c r="V139" s="964"/>
    </row>
    <row r="140" spans="1:22" x14ac:dyDescent="0.25">
      <c r="A140" s="961" t="s">
        <v>6435</v>
      </c>
      <c r="B140" s="961">
        <v>2</v>
      </c>
      <c r="C140" s="961">
        <v>2</v>
      </c>
      <c r="D140" s="961" t="s">
        <v>6436</v>
      </c>
      <c r="E140" s="961" t="s">
        <v>6437</v>
      </c>
      <c r="F140" s="962">
        <v>287</v>
      </c>
      <c r="G140" s="961" t="s">
        <v>741</v>
      </c>
      <c r="H140" s="961">
        <v>1</v>
      </c>
      <c r="I140" s="963">
        <v>26101</v>
      </c>
      <c r="J140" s="961">
        <v>1</v>
      </c>
      <c r="K140" s="961">
        <v>23</v>
      </c>
      <c r="L140" s="961">
        <v>1</v>
      </c>
      <c r="M140" s="961">
        <v>1</v>
      </c>
      <c r="N140" s="961" t="s">
        <v>6438</v>
      </c>
      <c r="O140" s="961">
        <v>13</v>
      </c>
      <c r="P140" s="964">
        <v>110000</v>
      </c>
      <c r="Q140" s="964">
        <v>-22250</v>
      </c>
      <c r="R140" s="964">
        <f t="shared" si="2"/>
        <v>87750</v>
      </c>
      <c r="S140" s="964">
        <v>95514.67</v>
      </c>
      <c r="T140" s="964">
        <v>95514.67</v>
      </c>
      <c r="U140" s="964">
        <v>94133.239999999991</v>
      </c>
      <c r="V140" s="964">
        <v>94133.239999999991</v>
      </c>
    </row>
    <row r="141" spans="1:22" x14ac:dyDescent="0.25">
      <c r="A141" s="961" t="s">
        <v>6435</v>
      </c>
      <c r="B141" s="961">
        <v>2</v>
      </c>
      <c r="C141" s="961">
        <v>2</v>
      </c>
      <c r="D141" s="961" t="s">
        <v>6436</v>
      </c>
      <c r="E141" s="961" t="s">
        <v>6437</v>
      </c>
      <c r="F141" s="962">
        <v>287</v>
      </c>
      <c r="G141" s="961" t="s">
        <v>741</v>
      </c>
      <c r="H141" s="961">
        <v>1</v>
      </c>
      <c r="I141" s="963">
        <v>26102</v>
      </c>
      <c r="J141" s="961">
        <v>1</v>
      </c>
      <c r="K141" s="961">
        <v>23</v>
      </c>
      <c r="L141" s="961">
        <v>1</v>
      </c>
      <c r="M141" s="961">
        <v>1</v>
      </c>
      <c r="N141" s="961" t="s">
        <v>6438</v>
      </c>
      <c r="O141" s="961">
        <v>13</v>
      </c>
      <c r="P141" s="964">
        <v>4500</v>
      </c>
      <c r="Q141" s="964">
        <v>4500</v>
      </c>
      <c r="R141" s="964">
        <f t="shared" si="2"/>
        <v>9000</v>
      </c>
      <c r="S141" s="964">
        <v>8905.32</v>
      </c>
      <c r="T141" s="964">
        <v>8905.32</v>
      </c>
      <c r="U141" s="964">
        <v>8905.32</v>
      </c>
      <c r="V141" s="964">
        <v>8905.32</v>
      </c>
    </row>
    <row r="142" spans="1:22" x14ac:dyDescent="0.25">
      <c r="A142" s="961" t="s">
        <v>6435</v>
      </c>
      <c r="B142" s="961">
        <v>2</v>
      </c>
      <c r="C142" s="961">
        <v>2</v>
      </c>
      <c r="D142" s="961" t="s">
        <v>6436</v>
      </c>
      <c r="E142" s="961" t="s">
        <v>6437</v>
      </c>
      <c r="F142" s="962">
        <v>287</v>
      </c>
      <c r="G142" s="961" t="s">
        <v>741</v>
      </c>
      <c r="H142" s="961">
        <v>1</v>
      </c>
      <c r="I142" s="963">
        <v>27201</v>
      </c>
      <c r="J142" s="961">
        <v>1</v>
      </c>
      <c r="K142" s="961">
        <v>23</v>
      </c>
      <c r="L142" s="961">
        <v>1</v>
      </c>
      <c r="M142" s="961">
        <v>1</v>
      </c>
      <c r="N142" s="961" t="s">
        <v>6438</v>
      </c>
      <c r="O142" s="961">
        <v>13</v>
      </c>
      <c r="P142" s="964"/>
      <c r="Q142" s="964"/>
      <c r="R142" s="964">
        <f t="shared" si="2"/>
        <v>0</v>
      </c>
      <c r="S142" s="964"/>
      <c r="T142" s="964"/>
      <c r="U142" s="964"/>
      <c r="V142" s="964"/>
    </row>
    <row r="143" spans="1:22" x14ac:dyDescent="0.25">
      <c r="A143" s="961" t="s">
        <v>6435</v>
      </c>
      <c r="B143" s="961">
        <v>2</v>
      </c>
      <c r="C143" s="961">
        <v>2</v>
      </c>
      <c r="D143" s="961" t="s">
        <v>6436</v>
      </c>
      <c r="E143" s="961" t="s">
        <v>6437</v>
      </c>
      <c r="F143" s="962">
        <v>287</v>
      </c>
      <c r="G143" s="961" t="s">
        <v>741</v>
      </c>
      <c r="H143" s="961">
        <v>1</v>
      </c>
      <c r="I143" s="963">
        <v>28301</v>
      </c>
      <c r="J143" s="961">
        <v>1</v>
      </c>
      <c r="K143" s="961">
        <v>23</v>
      </c>
      <c r="L143" s="961">
        <v>1</v>
      </c>
      <c r="M143" s="961">
        <v>1</v>
      </c>
      <c r="N143" s="961" t="s">
        <v>6438</v>
      </c>
      <c r="O143" s="961">
        <v>13</v>
      </c>
      <c r="P143" s="964">
        <v>6500</v>
      </c>
      <c r="Q143" s="964">
        <v>-5400</v>
      </c>
      <c r="R143" s="964">
        <f t="shared" si="2"/>
        <v>1100</v>
      </c>
      <c r="S143" s="964"/>
      <c r="T143" s="964"/>
      <c r="U143" s="964"/>
      <c r="V143" s="964"/>
    </row>
    <row r="144" spans="1:22" x14ac:dyDescent="0.25">
      <c r="A144" s="961" t="s">
        <v>6435</v>
      </c>
      <c r="B144" s="961">
        <v>2</v>
      </c>
      <c r="C144" s="961">
        <v>2</v>
      </c>
      <c r="D144" s="961" t="s">
        <v>6436</v>
      </c>
      <c r="E144" s="961" t="s">
        <v>6437</v>
      </c>
      <c r="F144" s="962">
        <v>287</v>
      </c>
      <c r="G144" s="961" t="s">
        <v>741</v>
      </c>
      <c r="H144" s="961">
        <v>1</v>
      </c>
      <c r="I144" s="963">
        <v>29101</v>
      </c>
      <c r="J144" s="961">
        <v>1</v>
      </c>
      <c r="K144" s="961">
        <v>23</v>
      </c>
      <c r="L144" s="961">
        <v>1</v>
      </c>
      <c r="M144" s="961">
        <v>1</v>
      </c>
      <c r="N144" s="961" t="s">
        <v>6438</v>
      </c>
      <c r="O144" s="961">
        <v>13</v>
      </c>
      <c r="P144" s="964"/>
      <c r="Q144" s="964">
        <v>3400</v>
      </c>
      <c r="R144" s="964">
        <f t="shared" si="2"/>
        <v>3400</v>
      </c>
      <c r="S144" s="964">
        <v>7018.81</v>
      </c>
      <c r="T144" s="964">
        <v>7018.81</v>
      </c>
      <c r="U144" s="964">
        <v>7018.81</v>
      </c>
      <c r="V144" s="964">
        <v>7018.81</v>
      </c>
    </row>
    <row r="145" spans="1:22" x14ac:dyDescent="0.25">
      <c r="A145" s="961" t="s">
        <v>6435</v>
      </c>
      <c r="B145" s="961">
        <v>2</v>
      </c>
      <c r="C145" s="961">
        <v>2</v>
      </c>
      <c r="D145" s="961" t="s">
        <v>6436</v>
      </c>
      <c r="E145" s="961" t="s">
        <v>6437</v>
      </c>
      <c r="F145" s="962">
        <v>287</v>
      </c>
      <c r="G145" s="961" t="s">
        <v>741</v>
      </c>
      <c r="H145" s="961">
        <v>1</v>
      </c>
      <c r="I145" s="963">
        <v>29201</v>
      </c>
      <c r="J145" s="961">
        <v>1</v>
      </c>
      <c r="K145" s="961">
        <v>23</v>
      </c>
      <c r="L145" s="961">
        <v>1</v>
      </c>
      <c r="M145" s="961">
        <v>1</v>
      </c>
      <c r="N145" s="961" t="s">
        <v>6438</v>
      </c>
      <c r="O145" s="961">
        <v>13</v>
      </c>
      <c r="P145" s="964">
        <v>30000</v>
      </c>
      <c r="Q145" s="964">
        <v>4500</v>
      </c>
      <c r="R145" s="964">
        <f t="shared" si="2"/>
        <v>34500</v>
      </c>
      <c r="S145" s="964">
        <v>32447</v>
      </c>
      <c r="T145" s="964">
        <v>32447</v>
      </c>
      <c r="U145" s="964">
        <v>32447</v>
      </c>
      <c r="V145" s="964">
        <v>32447</v>
      </c>
    </row>
    <row r="146" spans="1:22" x14ac:dyDescent="0.25">
      <c r="A146" s="961" t="s">
        <v>6435</v>
      </c>
      <c r="B146" s="961">
        <v>2</v>
      </c>
      <c r="C146" s="961">
        <v>2</v>
      </c>
      <c r="D146" s="961" t="s">
        <v>6436</v>
      </c>
      <c r="E146" s="961" t="s">
        <v>6437</v>
      </c>
      <c r="F146" s="962">
        <v>287</v>
      </c>
      <c r="G146" s="961" t="s">
        <v>741</v>
      </c>
      <c r="H146" s="961">
        <v>1</v>
      </c>
      <c r="I146" s="963">
        <v>29301</v>
      </c>
      <c r="J146" s="961">
        <v>1</v>
      </c>
      <c r="K146" s="961">
        <v>23</v>
      </c>
      <c r="L146" s="961">
        <v>1</v>
      </c>
      <c r="M146" s="961">
        <v>1</v>
      </c>
      <c r="N146" s="961" t="s">
        <v>6438</v>
      </c>
      <c r="O146" s="961">
        <v>13</v>
      </c>
      <c r="P146" s="964">
        <v>15000</v>
      </c>
      <c r="Q146" s="964"/>
      <c r="R146" s="964">
        <f t="shared" si="2"/>
        <v>15000</v>
      </c>
      <c r="S146" s="964">
        <v>16093.99</v>
      </c>
      <c r="T146" s="964">
        <v>16093.99</v>
      </c>
      <c r="U146" s="964">
        <v>16093.99</v>
      </c>
      <c r="V146" s="964">
        <v>16093.99</v>
      </c>
    </row>
    <row r="147" spans="1:22" x14ac:dyDescent="0.25">
      <c r="A147" s="961" t="s">
        <v>6435</v>
      </c>
      <c r="B147" s="961">
        <v>2</v>
      </c>
      <c r="C147" s="961">
        <v>2</v>
      </c>
      <c r="D147" s="961" t="s">
        <v>6436</v>
      </c>
      <c r="E147" s="961" t="s">
        <v>6437</v>
      </c>
      <c r="F147" s="962">
        <v>287</v>
      </c>
      <c r="G147" s="961" t="s">
        <v>741</v>
      </c>
      <c r="H147" s="961">
        <v>1</v>
      </c>
      <c r="I147" s="963">
        <v>29401</v>
      </c>
      <c r="J147" s="961">
        <v>1</v>
      </c>
      <c r="K147" s="961">
        <v>23</v>
      </c>
      <c r="L147" s="961">
        <v>1</v>
      </c>
      <c r="M147" s="961">
        <v>1</v>
      </c>
      <c r="N147" s="961" t="s">
        <v>6438</v>
      </c>
      <c r="O147" s="961">
        <v>13</v>
      </c>
      <c r="P147" s="964">
        <v>10000</v>
      </c>
      <c r="Q147" s="964">
        <v>109260.81</v>
      </c>
      <c r="R147" s="964">
        <f t="shared" si="2"/>
        <v>119260.81</v>
      </c>
      <c r="S147" s="964">
        <v>122770.82</v>
      </c>
      <c r="T147" s="964">
        <v>122770.82</v>
      </c>
      <c r="U147" s="964">
        <v>122770.82</v>
      </c>
      <c r="V147" s="964">
        <v>122770.82</v>
      </c>
    </row>
    <row r="148" spans="1:22" x14ac:dyDescent="0.25">
      <c r="A148" s="961" t="s">
        <v>6435</v>
      </c>
      <c r="B148" s="961">
        <v>2</v>
      </c>
      <c r="C148" s="961">
        <v>2</v>
      </c>
      <c r="D148" s="961" t="s">
        <v>6436</v>
      </c>
      <c r="E148" s="961" t="s">
        <v>6437</v>
      </c>
      <c r="F148" s="962">
        <v>287</v>
      </c>
      <c r="G148" s="961" t="s">
        <v>741</v>
      </c>
      <c r="H148" s="961">
        <v>1</v>
      </c>
      <c r="I148" s="963">
        <v>29601</v>
      </c>
      <c r="J148" s="961">
        <v>1</v>
      </c>
      <c r="K148" s="961">
        <v>23</v>
      </c>
      <c r="L148" s="961">
        <v>1</v>
      </c>
      <c r="M148" s="961">
        <v>1</v>
      </c>
      <c r="N148" s="961" t="s">
        <v>6438</v>
      </c>
      <c r="O148" s="961">
        <v>13</v>
      </c>
      <c r="P148" s="964">
        <v>24000</v>
      </c>
      <c r="Q148" s="964">
        <f>16760869.56-1413027</f>
        <v>15347842.560000001</v>
      </c>
      <c r="R148" s="964">
        <f t="shared" si="2"/>
        <v>15371842.560000001</v>
      </c>
      <c r="S148" s="964">
        <f>38383.01+424867</f>
        <v>463250.01</v>
      </c>
      <c r="T148" s="964">
        <v>38383.01</v>
      </c>
      <c r="U148" s="964">
        <v>38383.01</v>
      </c>
      <c r="V148" s="964">
        <v>38383.01</v>
      </c>
    </row>
    <row r="149" spans="1:22" x14ac:dyDescent="0.25">
      <c r="A149" s="961" t="s">
        <v>6435</v>
      </c>
      <c r="B149" s="961">
        <v>2</v>
      </c>
      <c r="C149" s="961">
        <v>2</v>
      </c>
      <c r="D149" s="961" t="s">
        <v>6436</v>
      </c>
      <c r="E149" s="961" t="s">
        <v>6437</v>
      </c>
      <c r="F149" s="962">
        <v>287</v>
      </c>
      <c r="G149" s="961" t="s">
        <v>741</v>
      </c>
      <c r="H149" s="961">
        <v>1</v>
      </c>
      <c r="I149" s="963">
        <v>31101</v>
      </c>
      <c r="J149" s="961">
        <v>1</v>
      </c>
      <c r="K149" s="961">
        <v>23</v>
      </c>
      <c r="L149" s="961">
        <v>1</v>
      </c>
      <c r="M149" s="961">
        <v>1</v>
      </c>
      <c r="N149" s="961" t="s">
        <v>6438</v>
      </c>
      <c r="O149" s="961">
        <v>13</v>
      </c>
      <c r="P149" s="964">
        <v>40550000</v>
      </c>
      <c r="Q149" s="964">
        <v>-39990118</v>
      </c>
      <c r="R149" s="964">
        <f t="shared" si="2"/>
        <v>559882</v>
      </c>
      <c r="S149" s="964">
        <v>559882</v>
      </c>
      <c r="T149" s="964">
        <v>559882</v>
      </c>
      <c r="U149" s="964">
        <v>544638</v>
      </c>
      <c r="V149" s="964">
        <v>544638</v>
      </c>
    </row>
    <row r="150" spans="1:22" x14ac:dyDescent="0.25">
      <c r="A150" s="961" t="s">
        <v>6435</v>
      </c>
      <c r="B150" s="961">
        <v>2</v>
      </c>
      <c r="C150" s="961">
        <v>2</v>
      </c>
      <c r="D150" s="961" t="s">
        <v>6436</v>
      </c>
      <c r="E150" s="961" t="s">
        <v>6437</v>
      </c>
      <c r="F150" s="962">
        <v>287</v>
      </c>
      <c r="G150" s="961" t="s">
        <v>741</v>
      </c>
      <c r="H150" s="961">
        <v>1</v>
      </c>
      <c r="I150" s="963">
        <v>31301</v>
      </c>
      <c r="J150" s="961">
        <v>1</v>
      </c>
      <c r="K150" s="961">
        <v>23</v>
      </c>
      <c r="L150" s="961">
        <v>1</v>
      </c>
      <c r="M150" s="961">
        <v>1</v>
      </c>
      <c r="N150" s="961" t="s">
        <v>6438</v>
      </c>
      <c r="O150" s="961">
        <v>13</v>
      </c>
      <c r="P150" s="964">
        <v>25000</v>
      </c>
      <c r="Q150" s="964">
        <v>60095</v>
      </c>
      <c r="R150" s="964">
        <f t="shared" si="2"/>
        <v>85095</v>
      </c>
      <c r="S150" s="964">
        <v>85095</v>
      </c>
      <c r="T150" s="964">
        <v>85095</v>
      </c>
      <c r="U150" s="964">
        <v>85095</v>
      </c>
      <c r="V150" s="964">
        <f>85104-9</f>
        <v>85095</v>
      </c>
    </row>
    <row r="151" spans="1:22" x14ac:dyDescent="0.25">
      <c r="A151" s="961" t="s">
        <v>6435</v>
      </c>
      <c r="B151" s="961">
        <v>2</v>
      </c>
      <c r="C151" s="961">
        <v>2</v>
      </c>
      <c r="D151" s="961" t="s">
        <v>6436</v>
      </c>
      <c r="E151" s="961" t="s">
        <v>6437</v>
      </c>
      <c r="F151" s="962">
        <v>287</v>
      </c>
      <c r="G151" s="961" t="s">
        <v>741</v>
      </c>
      <c r="H151" s="961">
        <v>1</v>
      </c>
      <c r="I151" s="963">
        <v>31401</v>
      </c>
      <c r="J151" s="961">
        <v>1</v>
      </c>
      <c r="K151" s="961">
        <v>23</v>
      </c>
      <c r="L151" s="961">
        <v>1</v>
      </c>
      <c r="M151" s="961">
        <v>1</v>
      </c>
      <c r="N151" s="961" t="s">
        <v>6438</v>
      </c>
      <c r="O151" s="961">
        <v>13</v>
      </c>
      <c r="P151" s="964">
        <v>300000</v>
      </c>
      <c r="Q151" s="964">
        <v>-75571.88</v>
      </c>
      <c r="R151" s="964">
        <f t="shared" si="2"/>
        <v>224428.12</v>
      </c>
      <c r="S151" s="964">
        <v>224428.12</v>
      </c>
      <c r="T151" s="964">
        <v>224428.12</v>
      </c>
      <c r="U151" s="964">
        <v>224428.12</v>
      </c>
      <c r="V151" s="964">
        <v>224428.12</v>
      </c>
    </row>
    <row r="152" spans="1:22" x14ac:dyDescent="0.25">
      <c r="A152" s="961" t="s">
        <v>6435</v>
      </c>
      <c r="B152" s="961">
        <v>2</v>
      </c>
      <c r="C152" s="961">
        <v>2</v>
      </c>
      <c r="D152" s="961" t="s">
        <v>6436</v>
      </c>
      <c r="E152" s="961" t="s">
        <v>6437</v>
      </c>
      <c r="F152" s="962">
        <v>287</v>
      </c>
      <c r="G152" s="961" t="s">
        <v>741</v>
      </c>
      <c r="H152" s="961">
        <v>1</v>
      </c>
      <c r="I152" s="963">
        <v>31701</v>
      </c>
      <c r="J152" s="961">
        <v>1</v>
      </c>
      <c r="K152" s="961">
        <v>23</v>
      </c>
      <c r="L152" s="961">
        <v>1</v>
      </c>
      <c r="M152" s="961">
        <v>1</v>
      </c>
      <c r="N152" s="961" t="s">
        <v>6438</v>
      </c>
      <c r="O152" s="961">
        <v>13</v>
      </c>
      <c r="P152" s="964">
        <v>60000</v>
      </c>
      <c r="Q152" s="964">
        <v>-25677.599999999999</v>
      </c>
      <c r="R152" s="964">
        <f t="shared" si="2"/>
        <v>34322.400000000001</v>
      </c>
      <c r="S152" s="964">
        <v>31241.8</v>
      </c>
      <c r="T152" s="964">
        <v>31241.8</v>
      </c>
      <c r="U152" s="964">
        <v>34322.400000000001</v>
      </c>
      <c r="V152" s="964">
        <v>34322.400000000001</v>
      </c>
    </row>
    <row r="153" spans="1:22" x14ac:dyDescent="0.25">
      <c r="A153" s="961" t="s">
        <v>6435</v>
      </c>
      <c r="B153" s="961">
        <v>2</v>
      </c>
      <c r="C153" s="961">
        <v>2</v>
      </c>
      <c r="D153" s="961" t="s">
        <v>6436</v>
      </c>
      <c r="E153" s="961" t="s">
        <v>6437</v>
      </c>
      <c r="F153" s="962">
        <v>287</v>
      </c>
      <c r="G153" s="961" t="s">
        <v>741</v>
      </c>
      <c r="H153" s="961">
        <v>1</v>
      </c>
      <c r="I153" s="963">
        <v>31801</v>
      </c>
      <c r="J153" s="961">
        <v>1</v>
      </c>
      <c r="K153" s="961">
        <v>23</v>
      </c>
      <c r="L153" s="961">
        <v>1</v>
      </c>
      <c r="M153" s="961">
        <v>1</v>
      </c>
      <c r="N153" s="961" t="s">
        <v>6438</v>
      </c>
      <c r="O153" s="961">
        <v>13</v>
      </c>
      <c r="P153" s="964">
        <v>6000</v>
      </c>
      <c r="Q153" s="964">
        <v>-6000</v>
      </c>
      <c r="R153" s="964">
        <f t="shared" si="2"/>
        <v>0</v>
      </c>
      <c r="S153" s="964"/>
      <c r="T153" s="964"/>
      <c r="U153" s="964"/>
      <c r="V153" s="964"/>
    </row>
    <row r="154" spans="1:22" x14ac:dyDescent="0.25">
      <c r="A154" s="961" t="s">
        <v>6435</v>
      </c>
      <c r="B154" s="961">
        <v>2</v>
      </c>
      <c r="C154" s="961">
        <v>2</v>
      </c>
      <c r="D154" s="961" t="s">
        <v>6436</v>
      </c>
      <c r="E154" s="961" t="s">
        <v>6437</v>
      </c>
      <c r="F154" s="962">
        <v>287</v>
      </c>
      <c r="G154" s="961" t="s">
        <v>741</v>
      </c>
      <c r="H154" s="961">
        <v>1</v>
      </c>
      <c r="I154" s="963">
        <v>32301</v>
      </c>
      <c r="J154" s="961">
        <v>1</v>
      </c>
      <c r="K154" s="961">
        <v>23</v>
      </c>
      <c r="L154" s="961">
        <v>1</v>
      </c>
      <c r="M154" s="961">
        <v>1</v>
      </c>
      <c r="N154" s="961" t="s">
        <v>6438</v>
      </c>
      <c r="O154" s="961">
        <v>13</v>
      </c>
      <c r="P154" s="964"/>
      <c r="Q154" s="964">
        <v>20677</v>
      </c>
      <c r="R154" s="964">
        <f>P154+Q154</f>
        <v>20677</v>
      </c>
      <c r="S154" s="964">
        <v>20677</v>
      </c>
      <c r="T154" s="964">
        <v>20677</v>
      </c>
      <c r="U154" s="964">
        <v>20677</v>
      </c>
      <c r="V154" s="964">
        <v>20677</v>
      </c>
    </row>
    <row r="155" spans="1:22" x14ac:dyDescent="0.25">
      <c r="A155" s="961" t="s">
        <v>6435</v>
      </c>
      <c r="B155" s="961">
        <v>2</v>
      </c>
      <c r="C155" s="961">
        <v>2</v>
      </c>
      <c r="D155" s="961" t="s">
        <v>6436</v>
      </c>
      <c r="E155" s="961" t="s">
        <v>6437</v>
      </c>
      <c r="F155" s="962">
        <v>287</v>
      </c>
      <c r="G155" s="961" t="s">
        <v>741</v>
      </c>
      <c r="H155" s="961">
        <v>1</v>
      </c>
      <c r="I155" s="963">
        <v>32601</v>
      </c>
      <c r="J155" s="961">
        <v>1</v>
      </c>
      <c r="K155" s="961">
        <v>23</v>
      </c>
      <c r="L155" s="961">
        <v>1</v>
      </c>
      <c r="M155" s="961">
        <v>1</v>
      </c>
      <c r="N155" s="961" t="s">
        <v>6438</v>
      </c>
      <c r="O155" s="961">
        <v>13</v>
      </c>
      <c r="P155" s="964"/>
      <c r="Q155" s="964">
        <v>26000</v>
      </c>
      <c r="R155" s="964">
        <f>P155+Q155</f>
        <v>26000</v>
      </c>
      <c r="S155" s="964">
        <v>25802.43</v>
      </c>
      <c r="T155" s="964">
        <v>25802.43</v>
      </c>
      <c r="U155" s="964">
        <v>25802.43</v>
      </c>
      <c r="V155" s="964">
        <v>25802.43</v>
      </c>
    </row>
    <row r="156" spans="1:22" x14ac:dyDescent="0.25">
      <c r="A156" s="961" t="s">
        <v>6435</v>
      </c>
      <c r="B156" s="961">
        <v>2</v>
      </c>
      <c r="C156" s="961">
        <v>2</v>
      </c>
      <c r="D156" s="961" t="s">
        <v>6436</v>
      </c>
      <c r="E156" s="961" t="s">
        <v>6437</v>
      </c>
      <c r="F156" s="962">
        <v>287</v>
      </c>
      <c r="G156" s="961" t="s">
        <v>741</v>
      </c>
      <c r="H156" s="961">
        <v>1</v>
      </c>
      <c r="I156" s="963">
        <v>33101</v>
      </c>
      <c r="J156" s="961">
        <v>1</v>
      </c>
      <c r="K156" s="961">
        <v>23</v>
      </c>
      <c r="L156" s="961">
        <v>1</v>
      </c>
      <c r="M156" s="961">
        <v>1</v>
      </c>
      <c r="N156" s="961" t="s">
        <v>6438</v>
      </c>
      <c r="O156" s="961">
        <v>13</v>
      </c>
      <c r="P156" s="964">
        <v>300000</v>
      </c>
      <c r="Q156" s="964">
        <v>733785.58</v>
      </c>
      <c r="R156" s="964">
        <f t="shared" si="2"/>
        <v>1033785.58</v>
      </c>
      <c r="S156" s="964">
        <v>730800</v>
      </c>
      <c r="T156" s="964">
        <v>730800</v>
      </c>
      <c r="U156" s="964">
        <v>730800</v>
      </c>
      <c r="V156" s="964">
        <v>730800</v>
      </c>
    </row>
    <row r="157" spans="1:22" x14ac:dyDescent="0.25">
      <c r="A157" s="961" t="s">
        <v>6435</v>
      </c>
      <c r="B157" s="961">
        <v>2</v>
      </c>
      <c r="C157" s="961">
        <v>2</v>
      </c>
      <c r="D157" s="961" t="s">
        <v>6436</v>
      </c>
      <c r="E157" s="961" t="s">
        <v>6437</v>
      </c>
      <c r="F157" s="962">
        <v>287</v>
      </c>
      <c r="G157" s="961" t="s">
        <v>741</v>
      </c>
      <c r="H157" s="961">
        <v>1</v>
      </c>
      <c r="I157" s="963">
        <v>33201</v>
      </c>
      <c r="J157" s="961">
        <v>1</v>
      </c>
      <c r="K157" s="961">
        <v>23</v>
      </c>
      <c r="L157" s="961">
        <v>1</v>
      </c>
      <c r="M157" s="961">
        <v>1</v>
      </c>
      <c r="N157" s="961" t="s">
        <v>6438</v>
      </c>
      <c r="O157" s="961">
        <v>13</v>
      </c>
      <c r="P157" s="964">
        <v>200000</v>
      </c>
      <c r="Q157" s="964">
        <v>-200000</v>
      </c>
      <c r="R157" s="964">
        <f t="shared" si="2"/>
        <v>0</v>
      </c>
      <c r="S157" s="964"/>
      <c r="T157" s="964"/>
      <c r="U157" s="964"/>
      <c r="V157" s="964"/>
    </row>
    <row r="158" spans="1:22" x14ac:dyDescent="0.25">
      <c r="A158" s="961" t="s">
        <v>6435</v>
      </c>
      <c r="B158" s="961">
        <v>2</v>
      </c>
      <c r="C158" s="961">
        <v>2</v>
      </c>
      <c r="D158" s="961" t="s">
        <v>6436</v>
      </c>
      <c r="E158" s="961" t="s">
        <v>6437</v>
      </c>
      <c r="F158" s="962">
        <v>287</v>
      </c>
      <c r="G158" s="961" t="s">
        <v>741</v>
      </c>
      <c r="H158" s="961">
        <v>1</v>
      </c>
      <c r="I158" s="963">
        <v>33301</v>
      </c>
      <c r="J158" s="961">
        <v>1</v>
      </c>
      <c r="K158" s="961">
        <v>23</v>
      </c>
      <c r="L158" s="961">
        <v>1</v>
      </c>
      <c r="M158" s="961">
        <v>1</v>
      </c>
      <c r="N158" s="961" t="s">
        <v>6438</v>
      </c>
      <c r="O158" s="961">
        <v>13</v>
      </c>
      <c r="P158" s="964">
        <v>285000</v>
      </c>
      <c r="Q158" s="964">
        <v>59024.92</v>
      </c>
      <c r="R158" s="964">
        <f t="shared" si="2"/>
        <v>344024.92</v>
      </c>
      <c r="S158" s="964">
        <v>341259.83</v>
      </c>
      <c r="T158" s="964">
        <v>341259.83</v>
      </c>
      <c r="U158" s="964">
        <v>341259.83</v>
      </c>
      <c r="V158" s="964">
        <v>341259.83</v>
      </c>
    </row>
    <row r="159" spans="1:22" x14ac:dyDescent="0.25">
      <c r="A159" s="961" t="s">
        <v>6435</v>
      </c>
      <c r="B159" s="961">
        <v>2</v>
      </c>
      <c r="C159" s="961">
        <v>2</v>
      </c>
      <c r="D159" s="961" t="s">
        <v>6436</v>
      </c>
      <c r="E159" s="961" t="s">
        <v>6437</v>
      </c>
      <c r="F159" s="962">
        <v>287</v>
      </c>
      <c r="G159" s="961" t="s">
        <v>741</v>
      </c>
      <c r="H159" s="961">
        <v>1</v>
      </c>
      <c r="I159" s="963">
        <v>33302</v>
      </c>
      <c r="J159" s="961">
        <v>1</v>
      </c>
      <c r="K159" s="961">
        <v>23</v>
      </c>
      <c r="L159" s="961">
        <v>1</v>
      </c>
      <c r="M159" s="961">
        <v>1</v>
      </c>
      <c r="N159" s="961" t="s">
        <v>6438</v>
      </c>
      <c r="O159" s="961">
        <v>13</v>
      </c>
      <c r="P159" s="964">
        <v>20000</v>
      </c>
      <c r="Q159" s="964">
        <v>54188.5</v>
      </c>
      <c r="R159" s="964">
        <f t="shared" si="2"/>
        <v>74188.5</v>
      </c>
      <c r="S159" s="964">
        <v>74188.5</v>
      </c>
      <c r="T159" s="964">
        <v>74188.5</v>
      </c>
      <c r="U159" s="964">
        <v>74188.5</v>
      </c>
      <c r="V159" s="964">
        <v>74188.5</v>
      </c>
    </row>
    <row r="160" spans="1:22" x14ac:dyDescent="0.25">
      <c r="A160" s="961" t="s">
        <v>6435</v>
      </c>
      <c r="B160" s="961">
        <v>2</v>
      </c>
      <c r="C160" s="961">
        <v>2</v>
      </c>
      <c r="D160" s="961" t="s">
        <v>6436</v>
      </c>
      <c r="E160" s="961" t="s">
        <v>6437</v>
      </c>
      <c r="F160" s="962">
        <v>287</v>
      </c>
      <c r="G160" s="961" t="s">
        <v>741</v>
      </c>
      <c r="H160" s="961">
        <v>1</v>
      </c>
      <c r="I160" s="963">
        <v>33401</v>
      </c>
      <c r="J160" s="961">
        <v>1</v>
      </c>
      <c r="K160" s="961">
        <v>23</v>
      </c>
      <c r="L160" s="961">
        <v>1</v>
      </c>
      <c r="M160" s="961">
        <v>1</v>
      </c>
      <c r="N160" s="961" t="s">
        <v>6438</v>
      </c>
      <c r="O160" s="961">
        <v>13</v>
      </c>
      <c r="P160" s="964">
        <v>50000</v>
      </c>
      <c r="Q160" s="964">
        <v>-790.32</v>
      </c>
      <c r="R160" s="964">
        <f t="shared" si="2"/>
        <v>49209.68</v>
      </c>
      <c r="S160" s="964">
        <v>21187.5</v>
      </c>
      <c r="T160" s="964">
        <v>21187.5</v>
      </c>
      <c r="U160" s="964">
        <v>21187.5</v>
      </c>
      <c r="V160" s="964">
        <v>21187.5</v>
      </c>
    </row>
    <row r="161" spans="1:22" x14ac:dyDescent="0.25">
      <c r="A161" s="961" t="s">
        <v>6435</v>
      </c>
      <c r="B161" s="961">
        <v>2</v>
      </c>
      <c r="C161" s="961">
        <v>2</v>
      </c>
      <c r="D161" s="961" t="s">
        <v>6436</v>
      </c>
      <c r="E161" s="961" t="s">
        <v>6437</v>
      </c>
      <c r="F161" s="962">
        <v>287</v>
      </c>
      <c r="G161" s="961" t="s">
        <v>741</v>
      </c>
      <c r="H161" s="961">
        <v>1</v>
      </c>
      <c r="I161" s="963">
        <v>33603</v>
      </c>
      <c r="J161" s="961">
        <v>1</v>
      </c>
      <c r="K161" s="961">
        <v>23</v>
      </c>
      <c r="L161" s="961">
        <v>1</v>
      </c>
      <c r="M161" s="961">
        <v>1</v>
      </c>
      <c r="N161" s="961" t="s">
        <v>6438</v>
      </c>
      <c r="O161" s="961">
        <v>13</v>
      </c>
      <c r="P161" s="964">
        <v>10000</v>
      </c>
      <c r="Q161" s="964">
        <v>-10000</v>
      </c>
      <c r="R161" s="964">
        <f t="shared" si="2"/>
        <v>0</v>
      </c>
      <c r="S161" s="964"/>
      <c r="T161" s="964"/>
      <c r="U161" s="964"/>
      <c r="V161" s="964"/>
    </row>
    <row r="162" spans="1:22" x14ac:dyDescent="0.25">
      <c r="A162" s="961" t="s">
        <v>6435</v>
      </c>
      <c r="B162" s="961">
        <v>2</v>
      </c>
      <c r="C162" s="961">
        <v>2</v>
      </c>
      <c r="D162" s="961" t="s">
        <v>6436</v>
      </c>
      <c r="E162" s="961" t="s">
        <v>6437</v>
      </c>
      <c r="F162" s="962">
        <v>287</v>
      </c>
      <c r="G162" s="961" t="s">
        <v>741</v>
      </c>
      <c r="H162" s="961">
        <v>1</v>
      </c>
      <c r="I162" s="963">
        <v>33608</v>
      </c>
      <c r="J162" s="961">
        <v>1</v>
      </c>
      <c r="K162" s="961">
        <v>23</v>
      </c>
      <c r="L162" s="961">
        <v>1</v>
      </c>
      <c r="M162" s="961">
        <v>1</v>
      </c>
      <c r="N162" s="961" t="s">
        <v>6438</v>
      </c>
      <c r="O162" s="961">
        <v>13</v>
      </c>
      <c r="P162" s="964">
        <v>95000</v>
      </c>
      <c r="Q162" s="964">
        <v>33511.78</v>
      </c>
      <c r="R162" s="964">
        <f t="shared" si="2"/>
        <v>128511.78</v>
      </c>
      <c r="S162" s="964">
        <v>128511.78</v>
      </c>
      <c r="T162" s="964">
        <v>128511.78</v>
      </c>
      <c r="U162" s="964">
        <v>127108.18000000001</v>
      </c>
      <c r="V162" s="964">
        <v>127108.18000000001</v>
      </c>
    </row>
    <row r="163" spans="1:22" x14ac:dyDescent="0.25">
      <c r="A163" s="961" t="s">
        <v>6435</v>
      </c>
      <c r="B163" s="961">
        <v>2</v>
      </c>
      <c r="C163" s="961">
        <v>2</v>
      </c>
      <c r="D163" s="961" t="s">
        <v>6436</v>
      </c>
      <c r="E163" s="961" t="s">
        <v>6437</v>
      </c>
      <c r="F163" s="962">
        <v>287</v>
      </c>
      <c r="G163" s="961" t="s">
        <v>741</v>
      </c>
      <c r="H163" s="961">
        <v>1</v>
      </c>
      <c r="I163" s="963">
        <v>34101</v>
      </c>
      <c r="J163" s="961">
        <v>1</v>
      </c>
      <c r="K163" s="961">
        <v>23</v>
      </c>
      <c r="L163" s="961">
        <v>1</v>
      </c>
      <c r="M163" s="961">
        <v>1</v>
      </c>
      <c r="N163" s="961" t="s">
        <v>6438</v>
      </c>
      <c r="O163" s="961">
        <v>13</v>
      </c>
      <c r="P163" s="964">
        <v>65000</v>
      </c>
      <c r="Q163" s="964">
        <v>-13543.27</v>
      </c>
      <c r="R163" s="964">
        <f t="shared" si="2"/>
        <v>51456.729999999996</v>
      </c>
      <c r="S163" s="964">
        <v>51456.73</v>
      </c>
      <c r="T163" s="964">
        <v>51456.73</v>
      </c>
      <c r="U163" s="964">
        <v>51456.73</v>
      </c>
      <c r="V163" s="964">
        <v>51456.73</v>
      </c>
    </row>
    <row r="164" spans="1:22" x14ac:dyDescent="0.25">
      <c r="A164" s="961" t="s">
        <v>6435</v>
      </c>
      <c r="B164" s="961">
        <v>2</v>
      </c>
      <c r="C164" s="961">
        <v>2</v>
      </c>
      <c r="D164" s="961" t="s">
        <v>6436</v>
      </c>
      <c r="E164" s="961" t="s">
        <v>6437</v>
      </c>
      <c r="F164" s="962">
        <v>287</v>
      </c>
      <c r="G164" s="961" t="s">
        <v>741</v>
      </c>
      <c r="H164" s="961">
        <v>1</v>
      </c>
      <c r="I164" s="963">
        <v>34401</v>
      </c>
      <c r="J164" s="961">
        <v>1</v>
      </c>
      <c r="K164" s="961">
        <v>23</v>
      </c>
      <c r="L164" s="961">
        <v>1</v>
      </c>
      <c r="M164" s="961">
        <v>1</v>
      </c>
      <c r="N164" s="961" t="s">
        <v>6438</v>
      </c>
      <c r="O164" s="961">
        <v>13</v>
      </c>
      <c r="P164" s="964">
        <v>240000</v>
      </c>
      <c r="Q164" s="964">
        <v>911250.28</v>
      </c>
      <c r="R164" s="964">
        <f t="shared" si="2"/>
        <v>1151250.28</v>
      </c>
      <c r="S164" s="964">
        <v>459574.06999999995</v>
      </c>
      <c r="T164" s="964">
        <f>316699.92+142874.15</f>
        <v>459574.06999999995</v>
      </c>
      <c r="U164" s="964">
        <v>316699.92000000004</v>
      </c>
      <c r="V164" s="964">
        <v>316699.92000000004</v>
      </c>
    </row>
    <row r="165" spans="1:22" x14ac:dyDescent="0.25">
      <c r="A165" s="961" t="s">
        <v>6435</v>
      </c>
      <c r="B165" s="961">
        <v>2</v>
      </c>
      <c r="C165" s="961">
        <v>2</v>
      </c>
      <c r="D165" s="961" t="s">
        <v>6436</v>
      </c>
      <c r="E165" s="961" t="s">
        <v>6437</v>
      </c>
      <c r="F165" s="962">
        <v>287</v>
      </c>
      <c r="G165" s="961" t="s">
        <v>741</v>
      </c>
      <c r="H165" s="961">
        <v>1</v>
      </c>
      <c r="I165" s="963">
        <v>34701</v>
      </c>
      <c r="J165" s="961">
        <v>1</v>
      </c>
      <c r="K165" s="961">
        <v>23</v>
      </c>
      <c r="L165" s="961">
        <v>1</v>
      </c>
      <c r="M165" s="961">
        <v>1</v>
      </c>
      <c r="N165" s="961" t="s">
        <v>6438</v>
      </c>
      <c r="O165" s="961">
        <v>13</v>
      </c>
      <c r="P165" s="964"/>
      <c r="Q165" s="964">
        <v>3065</v>
      </c>
      <c r="R165" s="964">
        <f>P165+Q165</f>
        <v>3065</v>
      </c>
      <c r="S165" s="964">
        <v>3065</v>
      </c>
      <c r="T165" s="964">
        <v>3065</v>
      </c>
      <c r="U165" s="964">
        <v>3065</v>
      </c>
      <c r="V165" s="964">
        <v>3065</v>
      </c>
    </row>
    <row r="166" spans="1:22" x14ac:dyDescent="0.25">
      <c r="A166" s="961" t="s">
        <v>6435</v>
      </c>
      <c r="B166" s="961">
        <v>2</v>
      </c>
      <c r="C166" s="961">
        <v>2</v>
      </c>
      <c r="D166" s="961" t="s">
        <v>6436</v>
      </c>
      <c r="E166" s="961" t="s">
        <v>6437</v>
      </c>
      <c r="F166" s="962">
        <v>287</v>
      </c>
      <c r="G166" s="961" t="s">
        <v>741</v>
      </c>
      <c r="H166" s="961">
        <v>1</v>
      </c>
      <c r="I166" s="963">
        <v>35101</v>
      </c>
      <c r="J166" s="961">
        <v>1</v>
      </c>
      <c r="K166" s="961">
        <v>23</v>
      </c>
      <c r="L166" s="961">
        <v>1</v>
      </c>
      <c r="M166" s="961">
        <v>1</v>
      </c>
      <c r="N166" s="961" t="s">
        <v>6438</v>
      </c>
      <c r="O166" s="961">
        <v>13</v>
      </c>
      <c r="P166" s="964">
        <v>300000</v>
      </c>
      <c r="Q166" s="964">
        <v>-85000</v>
      </c>
      <c r="R166" s="964">
        <f t="shared" si="2"/>
        <v>215000</v>
      </c>
      <c r="S166" s="964">
        <v>216542.27</v>
      </c>
      <c r="T166" s="964">
        <v>216542.27</v>
      </c>
      <c r="U166" s="964">
        <v>216542.27</v>
      </c>
      <c r="V166" s="964">
        <v>216542.27</v>
      </c>
    </row>
    <row r="167" spans="1:22" x14ac:dyDescent="0.25">
      <c r="A167" s="961" t="s">
        <v>6435</v>
      </c>
      <c r="B167" s="961">
        <v>2</v>
      </c>
      <c r="C167" s="961">
        <v>2</v>
      </c>
      <c r="D167" s="961" t="s">
        <v>6436</v>
      </c>
      <c r="E167" s="961" t="s">
        <v>6437</v>
      </c>
      <c r="F167" s="962">
        <v>287</v>
      </c>
      <c r="G167" s="961" t="s">
        <v>741</v>
      </c>
      <c r="H167" s="961">
        <v>1</v>
      </c>
      <c r="I167" s="963">
        <v>35201</v>
      </c>
      <c r="J167" s="961">
        <v>1</v>
      </c>
      <c r="K167" s="961">
        <v>23</v>
      </c>
      <c r="L167" s="961">
        <v>1</v>
      </c>
      <c r="M167" s="961">
        <v>1</v>
      </c>
      <c r="N167" s="961" t="s">
        <v>6438</v>
      </c>
      <c r="O167" s="961">
        <v>13</v>
      </c>
      <c r="P167" s="964">
        <v>80000</v>
      </c>
      <c r="Q167" s="964">
        <v>-30000</v>
      </c>
      <c r="R167" s="964">
        <f t="shared" si="2"/>
        <v>50000</v>
      </c>
      <c r="S167" s="964">
        <v>48353.17</v>
      </c>
      <c r="T167" s="964">
        <v>48353.17</v>
      </c>
      <c r="U167" s="964">
        <v>48353.17</v>
      </c>
      <c r="V167" s="964">
        <v>48353.17</v>
      </c>
    </row>
    <row r="168" spans="1:22" x14ac:dyDescent="0.25">
      <c r="A168" s="961" t="s">
        <v>6435</v>
      </c>
      <c r="B168" s="961">
        <v>2</v>
      </c>
      <c r="C168" s="961">
        <v>2</v>
      </c>
      <c r="D168" s="961" t="s">
        <v>6436</v>
      </c>
      <c r="E168" s="961" t="s">
        <v>6437</v>
      </c>
      <c r="F168" s="962">
        <v>287</v>
      </c>
      <c r="G168" s="961" t="s">
        <v>741</v>
      </c>
      <c r="H168" s="961">
        <v>1</v>
      </c>
      <c r="I168" s="963">
        <v>35302</v>
      </c>
      <c r="J168" s="961">
        <v>1</v>
      </c>
      <c r="K168" s="961">
        <v>23</v>
      </c>
      <c r="L168" s="961">
        <v>1</v>
      </c>
      <c r="M168" s="961">
        <v>1</v>
      </c>
      <c r="N168" s="961" t="s">
        <v>6438</v>
      </c>
      <c r="O168" s="961">
        <v>13</v>
      </c>
      <c r="P168" s="964">
        <v>30000</v>
      </c>
      <c r="Q168" s="964">
        <v>-20000</v>
      </c>
      <c r="R168" s="964">
        <f t="shared" si="2"/>
        <v>10000</v>
      </c>
      <c r="S168" s="964">
        <v>5916</v>
      </c>
      <c r="T168" s="964">
        <v>5916</v>
      </c>
      <c r="U168" s="964">
        <v>0</v>
      </c>
      <c r="V168" s="964">
        <v>0</v>
      </c>
    </row>
    <row r="169" spans="1:22" x14ac:dyDescent="0.25">
      <c r="A169" s="961" t="s">
        <v>6435</v>
      </c>
      <c r="B169" s="961">
        <v>2</v>
      </c>
      <c r="C169" s="961">
        <v>2</v>
      </c>
      <c r="D169" s="961" t="s">
        <v>6436</v>
      </c>
      <c r="E169" s="961" t="s">
        <v>6437</v>
      </c>
      <c r="F169" s="962">
        <v>287</v>
      </c>
      <c r="G169" s="961" t="s">
        <v>741</v>
      </c>
      <c r="H169" s="961">
        <v>1</v>
      </c>
      <c r="I169" s="963">
        <v>35501</v>
      </c>
      <c r="J169" s="961">
        <v>1</v>
      </c>
      <c r="K169" s="961">
        <v>23</v>
      </c>
      <c r="L169" s="961">
        <v>1</v>
      </c>
      <c r="M169" s="961">
        <v>1</v>
      </c>
      <c r="N169" s="961" t="s">
        <v>6438</v>
      </c>
      <c r="O169" s="961">
        <v>13</v>
      </c>
      <c r="P169" s="964">
        <v>65000</v>
      </c>
      <c r="Q169" s="964">
        <v>-21641.919999999998</v>
      </c>
      <c r="R169" s="964">
        <f t="shared" si="2"/>
        <v>43358.080000000002</v>
      </c>
      <c r="S169" s="964">
        <v>20244</v>
      </c>
      <c r="T169" s="964">
        <v>20244</v>
      </c>
      <c r="U169" s="964">
        <v>20244</v>
      </c>
      <c r="V169" s="964">
        <v>20244</v>
      </c>
    </row>
    <row r="170" spans="1:22" x14ac:dyDescent="0.25">
      <c r="A170" s="961" t="s">
        <v>6435</v>
      </c>
      <c r="B170" s="961">
        <v>2</v>
      </c>
      <c r="C170" s="961">
        <v>2</v>
      </c>
      <c r="D170" s="961" t="s">
        <v>6436</v>
      </c>
      <c r="E170" s="961" t="s">
        <v>6437</v>
      </c>
      <c r="F170" s="962">
        <v>287</v>
      </c>
      <c r="G170" s="961" t="s">
        <v>741</v>
      </c>
      <c r="H170" s="961">
        <v>1</v>
      </c>
      <c r="I170" s="963">
        <v>35801</v>
      </c>
      <c r="J170" s="961">
        <v>1</v>
      </c>
      <c r="K170" s="961">
        <v>23</v>
      </c>
      <c r="L170" s="961">
        <v>1</v>
      </c>
      <c r="M170" s="961">
        <v>1</v>
      </c>
      <c r="N170" s="961" t="s">
        <v>6438</v>
      </c>
      <c r="O170" s="961">
        <v>13</v>
      </c>
      <c r="P170" s="964">
        <v>60000</v>
      </c>
      <c r="Q170" s="964">
        <v>-10677</v>
      </c>
      <c r="R170" s="964">
        <f t="shared" si="2"/>
        <v>49323</v>
      </c>
      <c r="S170" s="964">
        <v>46080.15</v>
      </c>
      <c r="T170" s="964">
        <v>46080.15</v>
      </c>
      <c r="U170" s="964">
        <v>46080.15</v>
      </c>
      <c r="V170" s="964">
        <v>46080.15</v>
      </c>
    </row>
    <row r="171" spans="1:22" x14ac:dyDescent="0.25">
      <c r="A171" s="961" t="s">
        <v>6435</v>
      </c>
      <c r="B171" s="961">
        <v>2</v>
      </c>
      <c r="C171" s="961">
        <v>2</v>
      </c>
      <c r="D171" s="961" t="s">
        <v>6436</v>
      </c>
      <c r="E171" s="961" t="s">
        <v>6437</v>
      </c>
      <c r="F171" s="962">
        <v>287</v>
      </c>
      <c r="G171" s="961" t="s">
        <v>741</v>
      </c>
      <c r="H171" s="961">
        <v>1</v>
      </c>
      <c r="I171" s="963">
        <v>35901</v>
      </c>
      <c r="J171" s="961">
        <v>1</v>
      </c>
      <c r="K171" s="961">
        <v>23</v>
      </c>
      <c r="L171" s="961">
        <v>1</v>
      </c>
      <c r="M171" s="961">
        <v>1</v>
      </c>
      <c r="N171" s="961" t="s">
        <v>6438</v>
      </c>
      <c r="O171" s="961">
        <v>13</v>
      </c>
      <c r="P171" s="964">
        <v>60000</v>
      </c>
      <c r="Q171" s="964">
        <f>-60000+'[7]Reporte de Compac'!$G$391</f>
        <v>-35000</v>
      </c>
      <c r="R171" s="964">
        <f t="shared" si="2"/>
        <v>25000</v>
      </c>
      <c r="S171" s="964">
        <v>24940</v>
      </c>
      <c r="T171" s="964">
        <v>24940</v>
      </c>
      <c r="U171" s="964">
        <v>24940</v>
      </c>
      <c r="V171" s="964">
        <v>24940</v>
      </c>
    </row>
    <row r="172" spans="1:22" x14ac:dyDescent="0.25">
      <c r="A172" s="961" t="s">
        <v>6435</v>
      </c>
      <c r="B172" s="961">
        <v>2</v>
      </c>
      <c r="C172" s="961">
        <v>2</v>
      </c>
      <c r="D172" s="961" t="s">
        <v>6436</v>
      </c>
      <c r="E172" s="961" t="s">
        <v>6437</v>
      </c>
      <c r="F172" s="962">
        <v>287</v>
      </c>
      <c r="G172" s="961" t="s">
        <v>741</v>
      </c>
      <c r="H172" s="961">
        <v>1</v>
      </c>
      <c r="I172" s="963">
        <v>37101</v>
      </c>
      <c r="J172" s="961">
        <v>1</v>
      </c>
      <c r="K172" s="961">
        <v>23</v>
      </c>
      <c r="L172" s="961">
        <v>1</v>
      </c>
      <c r="M172" s="961">
        <v>1</v>
      </c>
      <c r="N172" s="961" t="s">
        <v>6438</v>
      </c>
      <c r="O172" s="961">
        <v>13</v>
      </c>
      <c r="P172" s="964">
        <v>35000</v>
      </c>
      <c r="Q172" s="964">
        <v>-35000</v>
      </c>
      <c r="R172" s="964">
        <f t="shared" si="2"/>
        <v>0</v>
      </c>
      <c r="S172" s="964">
        <v>10918</v>
      </c>
      <c r="T172" s="964">
        <v>10918</v>
      </c>
      <c r="U172" s="964"/>
      <c r="V172" s="964"/>
    </row>
    <row r="173" spans="1:22" x14ac:dyDescent="0.25">
      <c r="A173" s="961" t="s">
        <v>6435</v>
      </c>
      <c r="B173" s="961">
        <v>2</v>
      </c>
      <c r="C173" s="961">
        <v>2</v>
      </c>
      <c r="D173" s="961" t="s">
        <v>6436</v>
      </c>
      <c r="E173" s="961" t="s">
        <v>6437</v>
      </c>
      <c r="F173" s="962">
        <v>287</v>
      </c>
      <c r="G173" s="961" t="s">
        <v>741</v>
      </c>
      <c r="H173" s="961">
        <v>1</v>
      </c>
      <c r="I173" s="963">
        <v>37501</v>
      </c>
      <c r="J173" s="961">
        <v>1</v>
      </c>
      <c r="K173" s="961">
        <v>23</v>
      </c>
      <c r="L173" s="961">
        <v>1</v>
      </c>
      <c r="M173" s="961">
        <v>1</v>
      </c>
      <c r="N173" s="961" t="s">
        <v>6438</v>
      </c>
      <c r="O173" s="961">
        <v>13</v>
      </c>
      <c r="P173" s="964">
        <v>80000</v>
      </c>
      <c r="Q173" s="964">
        <f>-38500-2500</f>
        <v>-41000</v>
      </c>
      <c r="R173" s="964">
        <f t="shared" si="2"/>
        <v>39000</v>
      </c>
      <c r="S173" s="964">
        <v>38282.080000000002</v>
      </c>
      <c r="T173" s="964">
        <v>38282.080000000002</v>
      </c>
      <c r="U173" s="964">
        <v>38282.080000000002</v>
      </c>
      <c r="V173" s="964">
        <v>38282.080000000002</v>
      </c>
    </row>
    <row r="174" spans="1:22" x14ac:dyDescent="0.25">
      <c r="A174" s="961" t="s">
        <v>6435</v>
      </c>
      <c r="B174" s="961">
        <v>2</v>
      </c>
      <c r="C174" s="961">
        <v>2</v>
      </c>
      <c r="D174" s="961" t="s">
        <v>6436</v>
      </c>
      <c r="E174" s="961" t="s">
        <v>6437</v>
      </c>
      <c r="F174" s="962">
        <v>287</v>
      </c>
      <c r="G174" s="961" t="s">
        <v>741</v>
      </c>
      <c r="H174" s="961">
        <v>1</v>
      </c>
      <c r="I174" s="963">
        <v>37502</v>
      </c>
      <c r="J174" s="961">
        <v>1</v>
      </c>
      <c r="K174" s="961">
        <v>23</v>
      </c>
      <c r="L174" s="961">
        <v>1</v>
      </c>
      <c r="M174" s="961">
        <v>1</v>
      </c>
      <c r="N174" s="961" t="s">
        <v>6438</v>
      </c>
      <c r="O174" s="961">
        <v>13</v>
      </c>
      <c r="P174" s="964">
        <v>90000</v>
      </c>
      <c r="Q174" s="964">
        <v>-53133.51</v>
      </c>
      <c r="R174" s="964">
        <f t="shared" si="2"/>
        <v>36866.49</v>
      </c>
      <c r="S174" s="964">
        <v>19400</v>
      </c>
      <c r="T174" s="964">
        <v>19400</v>
      </c>
      <c r="U174" s="964">
        <v>19400</v>
      </c>
      <c r="V174" s="964">
        <v>19400</v>
      </c>
    </row>
    <row r="175" spans="1:22" x14ac:dyDescent="0.25">
      <c r="A175" s="961" t="s">
        <v>6435</v>
      </c>
      <c r="B175" s="961">
        <v>2</v>
      </c>
      <c r="C175" s="961">
        <v>2</v>
      </c>
      <c r="D175" s="961" t="s">
        <v>6436</v>
      </c>
      <c r="E175" s="961" t="s">
        <v>6437</v>
      </c>
      <c r="F175" s="962">
        <v>287</v>
      </c>
      <c r="G175" s="961" t="s">
        <v>741</v>
      </c>
      <c r="H175" s="961">
        <v>1</v>
      </c>
      <c r="I175" s="963">
        <v>37601</v>
      </c>
      <c r="J175" s="961">
        <v>1</v>
      </c>
      <c r="K175" s="961">
        <v>23</v>
      </c>
      <c r="L175" s="961">
        <v>1</v>
      </c>
      <c r="M175" s="961">
        <v>1</v>
      </c>
      <c r="N175" s="961" t="s">
        <v>6438</v>
      </c>
      <c r="O175" s="961">
        <v>13</v>
      </c>
      <c r="P175" s="964">
        <v>10000</v>
      </c>
      <c r="Q175" s="964">
        <v>-10000</v>
      </c>
      <c r="R175" s="964">
        <f t="shared" si="2"/>
        <v>0</v>
      </c>
      <c r="S175" s="964"/>
      <c r="T175" s="964"/>
      <c r="U175" s="964"/>
      <c r="V175" s="964"/>
    </row>
    <row r="176" spans="1:22" x14ac:dyDescent="0.25">
      <c r="A176" s="961" t="s">
        <v>6435</v>
      </c>
      <c r="B176" s="961">
        <v>2</v>
      </c>
      <c r="C176" s="961">
        <v>2</v>
      </c>
      <c r="D176" s="961" t="s">
        <v>6436</v>
      </c>
      <c r="E176" s="961" t="s">
        <v>6437</v>
      </c>
      <c r="F176" s="962">
        <v>287</v>
      </c>
      <c r="G176" s="961" t="s">
        <v>741</v>
      </c>
      <c r="H176" s="961">
        <v>1</v>
      </c>
      <c r="I176" s="963">
        <v>37801</v>
      </c>
      <c r="J176" s="961">
        <v>1</v>
      </c>
      <c r="K176" s="961">
        <v>23</v>
      </c>
      <c r="L176" s="961">
        <v>1</v>
      </c>
      <c r="M176" s="961">
        <v>1</v>
      </c>
      <c r="N176" s="961" t="s">
        <v>6438</v>
      </c>
      <c r="O176" s="961">
        <v>13</v>
      </c>
      <c r="P176" s="964">
        <v>1000</v>
      </c>
      <c r="Q176" s="964"/>
      <c r="R176" s="964">
        <f t="shared" si="2"/>
        <v>1000</v>
      </c>
      <c r="S176" s="964"/>
      <c r="T176" s="964"/>
      <c r="U176" s="964"/>
      <c r="V176" s="964"/>
    </row>
    <row r="177" spans="1:22" x14ac:dyDescent="0.25">
      <c r="A177" s="961" t="s">
        <v>6435</v>
      </c>
      <c r="B177" s="961">
        <v>2</v>
      </c>
      <c r="C177" s="961">
        <v>2</v>
      </c>
      <c r="D177" s="961" t="s">
        <v>6436</v>
      </c>
      <c r="E177" s="961" t="s">
        <v>6437</v>
      </c>
      <c r="F177" s="962">
        <v>287</v>
      </c>
      <c r="G177" s="961" t="s">
        <v>741</v>
      </c>
      <c r="H177" s="961">
        <v>1</v>
      </c>
      <c r="I177" s="963">
        <v>37901</v>
      </c>
      <c r="J177" s="961">
        <v>1</v>
      </c>
      <c r="K177" s="961">
        <v>23</v>
      </c>
      <c r="L177" s="961">
        <v>1</v>
      </c>
      <c r="M177" s="961">
        <v>1</v>
      </c>
      <c r="N177" s="961" t="s">
        <v>6438</v>
      </c>
      <c r="O177" s="961">
        <v>13</v>
      </c>
      <c r="P177" s="964">
        <v>10000</v>
      </c>
      <c r="Q177" s="964">
        <v>-8736</v>
      </c>
      <c r="R177" s="964">
        <f t="shared" si="2"/>
        <v>1264</v>
      </c>
      <c r="S177" s="964">
        <v>548</v>
      </c>
      <c r="T177" s="964">
        <v>548</v>
      </c>
      <c r="U177" s="964">
        <v>548</v>
      </c>
      <c r="V177" s="964">
        <v>548</v>
      </c>
    </row>
    <row r="178" spans="1:22" x14ac:dyDescent="0.25">
      <c r="A178" s="961" t="s">
        <v>6435</v>
      </c>
      <c r="B178" s="961">
        <v>2</v>
      </c>
      <c r="C178" s="961">
        <v>2</v>
      </c>
      <c r="D178" s="961" t="s">
        <v>6436</v>
      </c>
      <c r="E178" s="961" t="s">
        <v>6437</v>
      </c>
      <c r="F178" s="962">
        <v>287</v>
      </c>
      <c r="G178" s="961" t="s">
        <v>741</v>
      </c>
      <c r="H178" s="961">
        <v>1</v>
      </c>
      <c r="I178" s="963">
        <v>38301</v>
      </c>
      <c r="J178" s="961">
        <v>1</v>
      </c>
      <c r="K178" s="961">
        <v>23</v>
      </c>
      <c r="L178" s="961">
        <v>1</v>
      </c>
      <c r="M178" s="961">
        <v>1</v>
      </c>
      <c r="N178" s="961" t="s">
        <v>6438</v>
      </c>
      <c r="O178" s="961">
        <v>13</v>
      </c>
      <c r="P178" s="964">
        <v>30000</v>
      </c>
      <c r="Q178" s="964">
        <v>-20000</v>
      </c>
      <c r="R178" s="964">
        <f t="shared" si="2"/>
        <v>10000</v>
      </c>
      <c r="S178" s="964">
        <v>10000</v>
      </c>
      <c r="T178" s="964">
        <v>10000</v>
      </c>
      <c r="U178" s="964">
        <v>10000</v>
      </c>
      <c r="V178" s="964">
        <v>10000</v>
      </c>
    </row>
    <row r="179" spans="1:22" x14ac:dyDescent="0.25">
      <c r="A179" s="961" t="s">
        <v>6435</v>
      </c>
      <c r="B179" s="961">
        <v>2</v>
      </c>
      <c r="C179" s="961">
        <v>2</v>
      </c>
      <c r="D179" s="961" t="s">
        <v>6436</v>
      </c>
      <c r="E179" s="961" t="s">
        <v>6437</v>
      </c>
      <c r="F179" s="962">
        <v>287</v>
      </c>
      <c r="G179" s="961" t="s">
        <v>741</v>
      </c>
      <c r="H179" s="961">
        <v>1</v>
      </c>
      <c r="I179" s="963">
        <v>39201</v>
      </c>
      <c r="J179" s="961">
        <v>1</v>
      </c>
      <c r="K179" s="961">
        <v>23</v>
      </c>
      <c r="L179" s="961">
        <v>1</v>
      </c>
      <c r="M179" s="961">
        <v>1</v>
      </c>
      <c r="N179" s="961" t="s">
        <v>6438</v>
      </c>
      <c r="O179" s="961">
        <v>13</v>
      </c>
      <c r="P179" s="964">
        <f>30000+35000000</f>
        <v>35030000</v>
      </c>
      <c r="Q179" s="964">
        <v>0</v>
      </c>
      <c r="R179" s="964">
        <f t="shared" si="2"/>
        <v>35030000</v>
      </c>
      <c r="S179" s="964">
        <v>135312</v>
      </c>
      <c r="T179" s="964">
        <v>135312</v>
      </c>
      <c r="U179" s="964">
        <v>135312</v>
      </c>
      <c r="V179" s="964">
        <v>135312</v>
      </c>
    </row>
    <row r="180" spans="1:22" x14ac:dyDescent="0.25">
      <c r="A180" s="961" t="s">
        <v>6435</v>
      </c>
      <c r="B180" s="961">
        <v>2</v>
      </c>
      <c r="C180" s="961">
        <v>2</v>
      </c>
      <c r="D180" s="961" t="s">
        <v>6436</v>
      </c>
      <c r="E180" s="961" t="s">
        <v>6437</v>
      </c>
      <c r="F180" s="962">
        <v>287</v>
      </c>
      <c r="G180" s="961" t="s">
        <v>741</v>
      </c>
      <c r="H180" s="961">
        <v>1</v>
      </c>
      <c r="I180" s="963">
        <v>39501</v>
      </c>
      <c r="J180" s="961">
        <v>1</v>
      </c>
      <c r="K180" s="961">
        <v>23</v>
      </c>
      <c r="L180" s="961">
        <v>1</v>
      </c>
      <c r="M180" s="961">
        <v>1</v>
      </c>
      <c r="N180" s="961" t="s">
        <v>6438</v>
      </c>
      <c r="O180" s="961">
        <v>13</v>
      </c>
      <c r="P180" s="964"/>
      <c r="Q180" s="964"/>
      <c r="R180" s="964">
        <f t="shared" si="2"/>
        <v>0</v>
      </c>
      <c r="S180" s="964"/>
      <c r="T180" s="964"/>
      <c r="U180" s="964"/>
      <c r="V180" s="964"/>
    </row>
    <row r="181" spans="1:22" x14ac:dyDescent="0.25">
      <c r="A181" s="961" t="s">
        <v>6435</v>
      </c>
      <c r="B181" s="961">
        <v>2</v>
      </c>
      <c r="C181" s="961">
        <v>2</v>
      </c>
      <c r="D181" s="961" t="s">
        <v>6436</v>
      </c>
      <c r="E181" s="961" t="s">
        <v>6437</v>
      </c>
      <c r="F181" s="962">
        <v>287</v>
      </c>
      <c r="G181" s="961" t="s">
        <v>741</v>
      </c>
      <c r="H181" s="961">
        <v>1</v>
      </c>
      <c r="I181" s="963">
        <v>39801</v>
      </c>
      <c r="J181" s="961">
        <v>1</v>
      </c>
      <c r="K181" s="961">
        <v>23</v>
      </c>
      <c r="L181" s="961">
        <v>1</v>
      </c>
      <c r="M181" s="961">
        <v>1</v>
      </c>
      <c r="N181" s="961" t="s">
        <v>6438</v>
      </c>
      <c r="O181" s="961">
        <v>13</v>
      </c>
      <c r="P181" s="964">
        <v>800000</v>
      </c>
      <c r="Q181" s="964">
        <v>265047.94</v>
      </c>
      <c r="R181" s="964">
        <f t="shared" si="2"/>
        <v>1065047.94</v>
      </c>
      <c r="S181" s="964">
        <v>1065047.94</v>
      </c>
      <c r="T181" s="964">
        <v>1065047.94</v>
      </c>
      <c r="U181" s="964">
        <v>1065047.94</v>
      </c>
      <c r="V181" s="964">
        <v>939263.19</v>
      </c>
    </row>
    <row r="182" spans="1:22" x14ac:dyDescent="0.25">
      <c r="A182" s="961" t="s">
        <v>6435</v>
      </c>
      <c r="B182" s="961">
        <v>2</v>
      </c>
      <c r="C182" s="961">
        <v>2</v>
      </c>
      <c r="D182" s="961" t="s">
        <v>6436</v>
      </c>
      <c r="E182" s="961" t="s">
        <v>6437</v>
      </c>
      <c r="F182" s="962">
        <v>287</v>
      </c>
      <c r="G182" s="961" t="s">
        <v>741</v>
      </c>
      <c r="H182" s="961">
        <v>1</v>
      </c>
      <c r="I182" s="963">
        <v>51501</v>
      </c>
      <c r="J182" s="961">
        <v>2</v>
      </c>
      <c r="K182" s="961">
        <v>23</v>
      </c>
      <c r="L182" s="961">
        <v>1</v>
      </c>
      <c r="M182" s="961">
        <v>1</v>
      </c>
      <c r="N182" s="961" t="s">
        <v>6438</v>
      </c>
      <c r="O182" s="961">
        <v>13</v>
      </c>
      <c r="P182" s="964"/>
      <c r="Q182" s="964">
        <v>29800</v>
      </c>
      <c r="R182" s="964">
        <f>P182+Q182</f>
        <v>29800</v>
      </c>
      <c r="S182" s="964">
        <v>29798</v>
      </c>
      <c r="T182" s="964">
        <v>29798</v>
      </c>
      <c r="U182" s="964">
        <v>29798</v>
      </c>
      <c r="V182" s="964">
        <v>29798</v>
      </c>
    </row>
    <row r="183" spans="1:22" x14ac:dyDescent="0.25">
      <c r="A183" s="961" t="s">
        <v>6435</v>
      </c>
      <c r="B183" s="961">
        <v>2</v>
      </c>
      <c r="C183" s="961">
        <v>2</v>
      </c>
      <c r="D183" s="961" t="s">
        <v>6436</v>
      </c>
      <c r="E183" s="961" t="s">
        <v>6437</v>
      </c>
      <c r="F183" s="962">
        <v>287</v>
      </c>
      <c r="G183" s="961" t="s">
        <v>741</v>
      </c>
      <c r="H183" s="961">
        <v>1</v>
      </c>
      <c r="I183" s="963">
        <v>59101</v>
      </c>
      <c r="J183" s="961">
        <v>2</v>
      </c>
      <c r="K183" s="961">
        <v>23</v>
      </c>
      <c r="L183" s="961">
        <v>1</v>
      </c>
      <c r="M183" s="961">
        <v>1</v>
      </c>
      <c r="N183" s="961" t="s">
        <v>6438</v>
      </c>
      <c r="O183" s="961">
        <v>13</v>
      </c>
      <c r="P183" s="964"/>
      <c r="Q183" s="964">
        <v>58000</v>
      </c>
      <c r="R183" s="964">
        <f>P183+Q183</f>
        <v>58000</v>
      </c>
      <c r="S183" s="964">
        <v>58000</v>
      </c>
      <c r="T183" s="964">
        <v>58000</v>
      </c>
      <c r="U183" s="964">
        <v>58000</v>
      </c>
      <c r="V183" s="964">
        <v>58000</v>
      </c>
    </row>
    <row r="184" spans="1:22" x14ac:dyDescent="0.25">
      <c r="A184" s="961" t="s">
        <v>6435</v>
      </c>
      <c r="B184" s="961">
        <v>2</v>
      </c>
      <c r="C184" s="961">
        <v>2</v>
      </c>
      <c r="D184" s="961" t="s">
        <v>6436</v>
      </c>
      <c r="E184" s="961" t="s">
        <v>6437</v>
      </c>
      <c r="F184" s="962">
        <v>287</v>
      </c>
      <c r="G184" s="961" t="s">
        <v>741</v>
      </c>
      <c r="H184" s="961">
        <v>1</v>
      </c>
      <c r="I184" s="963">
        <v>79901</v>
      </c>
      <c r="J184" s="961">
        <v>2</v>
      </c>
      <c r="K184" s="961">
        <v>23</v>
      </c>
      <c r="L184" s="961">
        <v>1</v>
      </c>
      <c r="M184" s="961">
        <v>1</v>
      </c>
      <c r="N184" s="961" t="s">
        <v>6438</v>
      </c>
      <c r="O184" s="961">
        <v>13</v>
      </c>
      <c r="P184" s="964">
        <v>27951116.004999999</v>
      </c>
      <c r="Q184" s="964"/>
      <c r="R184" s="964">
        <f t="shared" si="2"/>
        <v>27951116.004999999</v>
      </c>
      <c r="S184" s="964"/>
      <c r="T184" s="964"/>
      <c r="U184" s="964"/>
      <c r="V184" s="964"/>
    </row>
    <row r="185" spans="1:22" x14ac:dyDescent="0.25">
      <c r="A185" s="961" t="s">
        <v>6435</v>
      </c>
      <c r="B185" s="961">
        <v>2</v>
      </c>
      <c r="C185" s="961">
        <v>2</v>
      </c>
      <c r="D185" s="961" t="s">
        <v>6436</v>
      </c>
      <c r="E185" s="961" t="s">
        <v>6437</v>
      </c>
      <c r="F185" s="962">
        <v>287</v>
      </c>
      <c r="G185" s="961" t="s">
        <v>741</v>
      </c>
      <c r="H185" s="961">
        <v>1</v>
      </c>
      <c r="I185" s="963">
        <v>91102</v>
      </c>
      <c r="J185" s="961">
        <v>1</v>
      </c>
      <c r="K185" s="961">
        <v>23</v>
      </c>
      <c r="L185" s="961">
        <v>1</v>
      </c>
      <c r="M185" s="961">
        <v>1</v>
      </c>
      <c r="N185" s="961" t="s">
        <v>6438</v>
      </c>
      <c r="O185" s="961">
        <v>13</v>
      </c>
      <c r="P185" s="964">
        <v>90000000</v>
      </c>
      <c r="Q185" s="964">
        <v>-75480886.719999984</v>
      </c>
      <c r="R185" s="964">
        <f t="shared" si="2"/>
        <v>14519113.280000016</v>
      </c>
      <c r="S185" s="964">
        <v>12058595.279999999</v>
      </c>
      <c r="T185" s="964">
        <v>12058595.279999999</v>
      </c>
      <c r="U185" s="964">
        <v>12060595.279999999</v>
      </c>
      <c r="V185" s="964">
        <v>12060595.279999999</v>
      </c>
    </row>
    <row r="186" spans="1:22" x14ac:dyDescent="0.25">
      <c r="A186" s="961" t="s">
        <v>6435</v>
      </c>
      <c r="B186" s="961">
        <v>2</v>
      </c>
      <c r="C186" s="961">
        <v>2</v>
      </c>
      <c r="D186" s="961" t="s">
        <v>6436</v>
      </c>
      <c r="E186" s="961" t="s">
        <v>6437</v>
      </c>
      <c r="F186" s="962">
        <v>287</v>
      </c>
      <c r="G186" s="961" t="s">
        <v>741</v>
      </c>
      <c r="H186" s="961">
        <v>1</v>
      </c>
      <c r="I186" s="963">
        <v>92102</v>
      </c>
      <c r="J186" s="961">
        <v>1</v>
      </c>
      <c r="K186" s="961">
        <v>23</v>
      </c>
      <c r="L186" s="961">
        <v>1</v>
      </c>
      <c r="M186" s="961">
        <v>1</v>
      </c>
      <c r="N186" s="961" t="s">
        <v>6438</v>
      </c>
      <c r="O186" s="961">
        <v>13</v>
      </c>
      <c r="P186" s="964"/>
      <c r="Q186" s="964">
        <v>11085511.48</v>
      </c>
      <c r="R186" s="964">
        <f t="shared" si="2"/>
        <v>11085511.48</v>
      </c>
      <c r="S186" s="964">
        <v>11085511.48</v>
      </c>
      <c r="T186" s="964">
        <v>11085511.48</v>
      </c>
      <c r="U186" s="964">
        <v>11085511.48</v>
      </c>
      <c r="V186" s="964">
        <v>11085511.48</v>
      </c>
    </row>
    <row r="187" spans="1:22" x14ac:dyDescent="0.25">
      <c r="A187" s="961" t="s">
        <v>6435</v>
      </c>
      <c r="B187" s="961">
        <v>2</v>
      </c>
      <c r="C187" s="961">
        <v>2</v>
      </c>
      <c r="D187" s="961" t="s">
        <v>6436</v>
      </c>
      <c r="E187" s="961" t="s">
        <v>6437</v>
      </c>
      <c r="F187" s="962">
        <v>287</v>
      </c>
      <c r="G187" s="961" t="s">
        <v>741</v>
      </c>
      <c r="H187" s="961">
        <v>1</v>
      </c>
      <c r="I187" s="963">
        <v>99101</v>
      </c>
      <c r="J187" s="961">
        <v>1</v>
      </c>
      <c r="K187" s="961">
        <v>23</v>
      </c>
      <c r="L187" s="961">
        <v>1</v>
      </c>
      <c r="M187" s="961">
        <v>1</v>
      </c>
      <c r="N187" s="961" t="s">
        <v>6438</v>
      </c>
      <c r="O187" s="961">
        <v>13</v>
      </c>
      <c r="P187" s="964"/>
      <c r="Q187" s="964"/>
      <c r="R187" s="964">
        <f t="shared" si="2"/>
        <v>0</v>
      </c>
      <c r="S187" s="964"/>
      <c r="T187" s="964"/>
      <c r="U187" s="964"/>
      <c r="V187" s="964"/>
    </row>
    <row r="188" spans="1:22" x14ac:dyDescent="0.25">
      <c r="A188" s="961" t="s">
        <v>6435</v>
      </c>
      <c r="B188" s="961">
        <v>2</v>
      </c>
      <c r="C188" s="961">
        <v>2</v>
      </c>
      <c r="D188" s="961" t="s">
        <v>6436</v>
      </c>
      <c r="E188" s="961" t="s">
        <v>6437</v>
      </c>
      <c r="F188" s="962">
        <v>287</v>
      </c>
      <c r="G188" s="961" t="s">
        <v>741</v>
      </c>
      <c r="H188" s="961">
        <v>1</v>
      </c>
      <c r="I188" s="963" t="s">
        <v>6440</v>
      </c>
      <c r="J188" s="961">
        <v>1</v>
      </c>
      <c r="K188" s="961">
        <v>23</v>
      </c>
      <c r="L188" s="961">
        <v>1</v>
      </c>
      <c r="M188" s="961">
        <v>1</v>
      </c>
      <c r="N188" s="961" t="s">
        <v>6438</v>
      </c>
      <c r="O188" s="961">
        <v>13</v>
      </c>
      <c r="P188" s="964">
        <v>5644941.5999999996</v>
      </c>
      <c r="Q188" s="964">
        <f>212712.3+'[8]Reporte de Compac'!$G$199</f>
        <v>251648.83</v>
      </c>
      <c r="R188" s="964">
        <f t="shared" si="2"/>
        <v>5896590.4299999997</v>
      </c>
      <c r="S188" s="964">
        <v>5921839.7699999996</v>
      </c>
      <c r="T188" s="964">
        <v>5921839.7699999996</v>
      </c>
      <c r="U188" s="964">
        <v>5901010.4499999993</v>
      </c>
      <c r="V188" s="964">
        <f>5921839.77-20829.32</f>
        <v>5901010.4499999993</v>
      </c>
    </row>
    <row r="189" spans="1:22" x14ac:dyDescent="0.25">
      <c r="A189" s="961" t="s">
        <v>6435</v>
      </c>
      <c r="B189" s="961">
        <v>2</v>
      </c>
      <c r="C189" s="961">
        <v>2</v>
      </c>
      <c r="D189" s="961" t="s">
        <v>6436</v>
      </c>
      <c r="E189" s="961" t="s">
        <v>6437</v>
      </c>
      <c r="F189" s="962">
        <v>287</v>
      </c>
      <c r="G189" s="961" t="s">
        <v>741</v>
      </c>
      <c r="H189" s="961">
        <v>1</v>
      </c>
      <c r="I189" s="963" t="s">
        <v>6441</v>
      </c>
      <c r="J189" s="961">
        <v>1</v>
      </c>
      <c r="K189" s="961">
        <v>23</v>
      </c>
      <c r="L189" s="961">
        <v>1</v>
      </c>
      <c r="M189" s="961">
        <v>1</v>
      </c>
      <c r="N189" s="961" t="s">
        <v>6438</v>
      </c>
      <c r="O189" s="961">
        <v>13</v>
      </c>
      <c r="P189" s="964">
        <v>747456.99</v>
      </c>
      <c r="Q189" s="964"/>
      <c r="R189" s="964">
        <f t="shared" si="2"/>
        <v>747456.99</v>
      </c>
      <c r="S189" s="964">
        <v>780008.38</v>
      </c>
      <c r="T189" s="964">
        <v>780008.38</v>
      </c>
      <c r="U189" s="964">
        <v>770864.61</v>
      </c>
      <c r="V189" s="964">
        <v>770864.61</v>
      </c>
    </row>
    <row r="190" spans="1:22" x14ac:dyDescent="0.25">
      <c r="A190" s="961" t="s">
        <v>6435</v>
      </c>
      <c r="B190" s="961">
        <v>2</v>
      </c>
      <c r="C190" s="961">
        <v>2</v>
      </c>
      <c r="D190" s="961" t="s">
        <v>6436</v>
      </c>
      <c r="E190" s="961" t="s">
        <v>6437</v>
      </c>
      <c r="F190" s="962">
        <v>287</v>
      </c>
      <c r="G190" s="961" t="s">
        <v>741</v>
      </c>
      <c r="H190" s="961">
        <v>1</v>
      </c>
      <c r="I190" s="963" t="s">
        <v>6442</v>
      </c>
      <c r="J190" s="961">
        <v>1</v>
      </c>
      <c r="K190" s="961">
        <v>23</v>
      </c>
      <c r="L190" s="961">
        <v>1</v>
      </c>
      <c r="M190" s="961">
        <v>1</v>
      </c>
      <c r="N190" s="961" t="s">
        <v>6438</v>
      </c>
      <c r="O190" s="961">
        <v>13</v>
      </c>
      <c r="P190" s="964">
        <v>598068.96</v>
      </c>
      <c r="Q190" s="964">
        <v>-76825.259999999995</v>
      </c>
      <c r="R190" s="964">
        <f t="shared" si="2"/>
        <v>521243.69999999995</v>
      </c>
      <c r="S190" s="964">
        <v>603187.93999999994</v>
      </c>
      <c r="T190" s="964">
        <v>603187.93999999994</v>
      </c>
      <c r="U190" s="964">
        <v>603187.93999999994</v>
      </c>
      <c r="V190" s="964">
        <v>603187.93999999994</v>
      </c>
    </row>
    <row r="191" spans="1:22" x14ac:dyDescent="0.25">
      <c r="A191" s="961" t="s">
        <v>6435</v>
      </c>
      <c r="B191" s="961">
        <v>2</v>
      </c>
      <c r="C191" s="961">
        <v>2</v>
      </c>
      <c r="D191" s="961" t="s">
        <v>6436</v>
      </c>
      <c r="E191" s="961" t="s">
        <v>6437</v>
      </c>
      <c r="F191" s="962">
        <v>287</v>
      </c>
      <c r="G191" s="961" t="s">
        <v>741</v>
      </c>
      <c r="H191" s="961">
        <v>1</v>
      </c>
      <c r="I191" s="963" t="s">
        <v>6443</v>
      </c>
      <c r="J191" s="961">
        <v>1</v>
      </c>
      <c r="K191" s="961">
        <v>23</v>
      </c>
      <c r="L191" s="961">
        <v>1</v>
      </c>
      <c r="M191" s="961">
        <v>1</v>
      </c>
      <c r="N191" s="961" t="s">
        <v>6438</v>
      </c>
      <c r="O191" s="961">
        <v>13</v>
      </c>
      <c r="P191" s="964">
        <v>75198.45</v>
      </c>
      <c r="Q191" s="964">
        <v>-75198.45</v>
      </c>
      <c r="R191" s="964">
        <f t="shared" si="2"/>
        <v>0</v>
      </c>
      <c r="S191" s="964">
        <v>75198.45</v>
      </c>
      <c r="T191" s="964">
        <v>42014.7</v>
      </c>
      <c r="U191" s="964">
        <v>42014.7</v>
      </c>
      <c r="V191" s="964">
        <v>42014.7</v>
      </c>
    </row>
    <row r="192" spans="1:22" x14ac:dyDescent="0.25">
      <c r="A192" s="961" t="s">
        <v>6435</v>
      </c>
      <c r="B192" s="961">
        <v>2</v>
      </c>
      <c r="C192" s="961">
        <v>2</v>
      </c>
      <c r="D192" s="961" t="s">
        <v>6436</v>
      </c>
      <c r="E192" s="961" t="s">
        <v>6437</v>
      </c>
      <c r="F192" s="962">
        <v>287</v>
      </c>
      <c r="G192" s="961" t="s">
        <v>741</v>
      </c>
      <c r="H192" s="961">
        <v>1</v>
      </c>
      <c r="I192" s="963" t="s">
        <v>6444</v>
      </c>
      <c r="J192" s="961">
        <v>1</v>
      </c>
      <c r="K192" s="961">
        <v>23</v>
      </c>
      <c r="L192" s="961">
        <v>1</v>
      </c>
      <c r="M192" s="961">
        <v>1</v>
      </c>
      <c r="N192" s="961" t="s">
        <v>6438</v>
      </c>
      <c r="O192" s="961">
        <v>13</v>
      </c>
      <c r="P192" s="964">
        <v>150396.9</v>
      </c>
      <c r="Q192" s="964">
        <v>-150396.9</v>
      </c>
      <c r="R192" s="964">
        <f t="shared" si="2"/>
        <v>0</v>
      </c>
      <c r="S192" s="964">
        <v>150396.9</v>
      </c>
      <c r="T192" s="964">
        <v>92736.35</v>
      </c>
      <c r="U192" s="964">
        <v>92736.35</v>
      </c>
      <c r="V192" s="964">
        <v>92736.35</v>
      </c>
    </row>
    <row r="193" spans="1:22" x14ac:dyDescent="0.25">
      <c r="A193" s="961" t="s">
        <v>6435</v>
      </c>
      <c r="B193" s="961">
        <v>2</v>
      </c>
      <c r="C193" s="961">
        <v>2</v>
      </c>
      <c r="D193" s="961" t="s">
        <v>6436</v>
      </c>
      <c r="E193" s="961" t="s">
        <v>6437</v>
      </c>
      <c r="F193" s="962">
        <v>287</v>
      </c>
      <c r="G193" s="961" t="s">
        <v>741</v>
      </c>
      <c r="H193" s="961">
        <v>1</v>
      </c>
      <c r="I193" s="963" t="s">
        <v>6445</v>
      </c>
      <c r="J193" s="961">
        <v>1</v>
      </c>
      <c r="K193" s="961">
        <v>23</v>
      </c>
      <c r="L193" s="961">
        <v>1</v>
      </c>
      <c r="M193" s="961">
        <v>1</v>
      </c>
      <c r="N193" s="961" t="s">
        <v>6438</v>
      </c>
      <c r="O193" s="961">
        <v>13</v>
      </c>
      <c r="P193" s="964">
        <v>1674967.92</v>
      </c>
      <c r="Q193" s="964">
        <v>-146841</v>
      </c>
      <c r="R193" s="964">
        <f t="shared" si="2"/>
        <v>1528126.92</v>
      </c>
      <c r="S193" s="964">
        <v>1748794.64</v>
      </c>
      <c r="T193" s="964">
        <v>1748794.64</v>
      </c>
      <c r="U193" s="964">
        <v>1748794.64</v>
      </c>
      <c r="V193" s="964">
        <v>1748794.64</v>
      </c>
    </row>
    <row r="194" spans="1:22" x14ac:dyDescent="0.25">
      <c r="A194" s="961" t="s">
        <v>6435</v>
      </c>
      <c r="B194" s="961">
        <v>2</v>
      </c>
      <c r="C194" s="961">
        <v>2</v>
      </c>
      <c r="D194" s="961" t="s">
        <v>6436</v>
      </c>
      <c r="E194" s="961" t="s">
        <v>6437</v>
      </c>
      <c r="F194" s="962">
        <v>287</v>
      </c>
      <c r="G194" s="961" t="s">
        <v>741</v>
      </c>
      <c r="H194" s="961">
        <v>1</v>
      </c>
      <c r="I194" s="963" t="s">
        <v>6446</v>
      </c>
      <c r="J194" s="961">
        <v>1</v>
      </c>
      <c r="K194" s="961">
        <v>23</v>
      </c>
      <c r="L194" s="961">
        <v>1</v>
      </c>
      <c r="M194" s="961">
        <v>1</v>
      </c>
      <c r="N194" s="961" t="s">
        <v>6438</v>
      </c>
      <c r="O194" s="961">
        <v>13</v>
      </c>
      <c r="P194" s="964">
        <v>3824102.16</v>
      </c>
      <c r="Q194" s="964">
        <f>-881784.29+9230</f>
        <v>-872554.29</v>
      </c>
      <c r="R194" s="964">
        <f t="shared" si="2"/>
        <v>2951547.87</v>
      </c>
      <c r="S194" s="964">
        <v>4032020.96</v>
      </c>
      <c r="T194" s="964">
        <f>4022790.96+9230</f>
        <v>4032020.96</v>
      </c>
      <c r="U194" s="964">
        <v>4022790.96</v>
      </c>
      <c r="V194" s="964">
        <v>4022790.96</v>
      </c>
    </row>
    <row r="195" spans="1:22" x14ac:dyDescent="0.25">
      <c r="A195" s="961" t="s">
        <v>6435</v>
      </c>
      <c r="B195" s="961">
        <v>2</v>
      </c>
      <c r="C195" s="961">
        <v>2</v>
      </c>
      <c r="D195" s="961" t="s">
        <v>6436</v>
      </c>
      <c r="E195" s="961" t="s">
        <v>6437</v>
      </c>
      <c r="F195" s="962">
        <v>287</v>
      </c>
      <c r="G195" s="961" t="s">
        <v>741</v>
      </c>
      <c r="H195" s="961">
        <v>1</v>
      </c>
      <c r="I195" s="963" t="s">
        <v>6455</v>
      </c>
      <c r="J195" s="961">
        <v>1</v>
      </c>
      <c r="K195" s="961">
        <v>23</v>
      </c>
      <c r="L195" s="961">
        <v>1</v>
      </c>
      <c r="M195" s="961">
        <v>1</v>
      </c>
      <c r="N195" s="961" t="s">
        <v>6438</v>
      </c>
      <c r="O195" s="961">
        <v>13</v>
      </c>
      <c r="P195" s="964">
        <v>524235.13</v>
      </c>
      <c r="Q195" s="964">
        <v>26708.65</v>
      </c>
      <c r="R195" s="964">
        <f t="shared" si="2"/>
        <v>550943.78</v>
      </c>
      <c r="S195" s="964">
        <v>550943.78</v>
      </c>
      <c r="T195" s="964">
        <v>550943.78</v>
      </c>
      <c r="U195" s="964">
        <v>550943.78</v>
      </c>
      <c r="V195" s="964">
        <v>550943.78</v>
      </c>
    </row>
    <row r="196" spans="1:22" x14ac:dyDescent="0.25">
      <c r="A196" s="961" t="s">
        <v>6435</v>
      </c>
      <c r="B196" s="961">
        <v>2</v>
      </c>
      <c r="C196" s="961">
        <v>2</v>
      </c>
      <c r="D196" s="961" t="s">
        <v>6436</v>
      </c>
      <c r="E196" s="961" t="s">
        <v>6437</v>
      </c>
      <c r="F196" s="962">
        <v>287</v>
      </c>
      <c r="G196" s="961" t="s">
        <v>741</v>
      </c>
      <c r="H196" s="961">
        <v>1</v>
      </c>
      <c r="I196" s="963" t="s">
        <v>6447</v>
      </c>
      <c r="J196" s="961">
        <v>1</v>
      </c>
      <c r="K196" s="961">
        <v>23</v>
      </c>
      <c r="L196" s="961">
        <v>1</v>
      </c>
      <c r="M196" s="961">
        <v>1</v>
      </c>
      <c r="N196" s="961" t="s">
        <v>6438</v>
      </c>
      <c r="O196" s="961">
        <v>13</v>
      </c>
      <c r="P196" s="964">
        <v>6864</v>
      </c>
      <c r="Q196" s="964">
        <v>-1980</v>
      </c>
      <c r="R196" s="964">
        <f t="shared" si="2"/>
        <v>4884</v>
      </c>
      <c r="S196" s="964">
        <v>7040</v>
      </c>
      <c r="T196" s="964">
        <v>7040</v>
      </c>
      <c r="U196" s="964">
        <v>7040</v>
      </c>
      <c r="V196" s="964">
        <v>7040</v>
      </c>
    </row>
    <row r="197" spans="1:22" x14ac:dyDescent="0.25">
      <c r="A197" s="961" t="s">
        <v>6435</v>
      </c>
      <c r="B197" s="961">
        <v>2</v>
      </c>
      <c r="C197" s="961">
        <v>2</v>
      </c>
      <c r="D197" s="961" t="s">
        <v>6436</v>
      </c>
      <c r="E197" s="961" t="s">
        <v>6437</v>
      </c>
      <c r="F197" s="962">
        <v>287</v>
      </c>
      <c r="G197" s="961" t="s">
        <v>741</v>
      </c>
      <c r="H197" s="961">
        <v>1</v>
      </c>
      <c r="I197" s="963" t="s">
        <v>6456</v>
      </c>
      <c r="J197" s="961">
        <v>1</v>
      </c>
      <c r="K197" s="961">
        <v>23</v>
      </c>
      <c r="L197" s="961">
        <v>1</v>
      </c>
      <c r="M197" s="961">
        <v>1</v>
      </c>
      <c r="N197" s="961" t="s">
        <v>6438</v>
      </c>
      <c r="O197" s="961">
        <v>13</v>
      </c>
      <c r="P197" s="964">
        <v>1314758.8</v>
      </c>
      <c r="Q197" s="964">
        <v>-1171699.74</v>
      </c>
      <c r="R197" s="964">
        <f t="shared" si="2"/>
        <v>143059.06000000006</v>
      </c>
      <c r="S197" s="964">
        <v>1280758.8</v>
      </c>
      <c r="T197" s="964">
        <v>143059.06</v>
      </c>
      <c r="U197" s="964">
        <v>143059.06</v>
      </c>
      <c r="V197" s="964">
        <v>143059.06</v>
      </c>
    </row>
    <row r="198" spans="1:22" x14ac:dyDescent="0.25">
      <c r="A198" s="961" t="s">
        <v>6435</v>
      </c>
      <c r="B198" s="961">
        <v>2</v>
      </c>
      <c r="C198" s="961">
        <v>2</v>
      </c>
      <c r="D198" s="961" t="s">
        <v>6436</v>
      </c>
      <c r="E198" s="961" t="s">
        <v>6437</v>
      </c>
      <c r="F198" s="962">
        <v>287</v>
      </c>
      <c r="G198" s="961" t="s">
        <v>741</v>
      </c>
      <c r="H198" s="961">
        <v>1</v>
      </c>
      <c r="I198" s="963" t="s">
        <v>6448</v>
      </c>
      <c r="J198" s="961">
        <v>1</v>
      </c>
      <c r="K198" s="961">
        <v>23</v>
      </c>
      <c r="L198" s="961">
        <v>1</v>
      </c>
      <c r="M198" s="961">
        <v>1</v>
      </c>
      <c r="N198" s="961" t="s">
        <v>6438</v>
      </c>
      <c r="O198" s="961">
        <v>13</v>
      </c>
      <c r="P198" s="964">
        <v>2268</v>
      </c>
      <c r="Q198" s="964">
        <v>-1350</v>
      </c>
      <c r="R198" s="964">
        <f t="shared" si="2"/>
        <v>918</v>
      </c>
      <c r="S198" s="964">
        <v>2268</v>
      </c>
      <c r="T198" s="964">
        <v>2052</v>
      </c>
      <c r="U198" s="964">
        <v>2052</v>
      </c>
      <c r="V198" s="964">
        <v>2052</v>
      </c>
    </row>
    <row r="199" spans="1:22" x14ac:dyDescent="0.25">
      <c r="A199" s="961" t="s">
        <v>6435</v>
      </c>
      <c r="B199" s="961">
        <v>2</v>
      </c>
      <c r="C199" s="961">
        <v>2</v>
      </c>
      <c r="D199" s="961" t="s">
        <v>6436</v>
      </c>
      <c r="E199" s="961" t="s">
        <v>6437</v>
      </c>
      <c r="F199" s="962">
        <v>287</v>
      </c>
      <c r="G199" s="961" t="s">
        <v>741</v>
      </c>
      <c r="H199" s="961">
        <v>1</v>
      </c>
      <c r="I199" s="963" t="s">
        <v>6449</v>
      </c>
      <c r="J199" s="961">
        <v>1</v>
      </c>
      <c r="K199" s="961">
        <v>23</v>
      </c>
      <c r="L199" s="961">
        <v>1</v>
      </c>
      <c r="M199" s="961">
        <v>1</v>
      </c>
      <c r="N199" s="961" t="s">
        <v>6438</v>
      </c>
      <c r="O199" s="961">
        <v>13</v>
      </c>
      <c r="P199" s="964">
        <v>21594.959999999999</v>
      </c>
      <c r="Q199" s="964">
        <v>-3329</v>
      </c>
      <c r="R199" s="964">
        <f t="shared" si="2"/>
        <v>18265.96</v>
      </c>
      <c r="S199" s="964">
        <v>21594.959999999999</v>
      </c>
      <c r="T199" s="964">
        <v>20273.96</v>
      </c>
      <c r="U199" s="964">
        <v>20273.96</v>
      </c>
      <c r="V199" s="964">
        <v>20273.96</v>
      </c>
    </row>
    <row r="200" spans="1:22" x14ac:dyDescent="0.25">
      <c r="A200" s="961" t="s">
        <v>6435</v>
      </c>
      <c r="B200" s="961">
        <v>2</v>
      </c>
      <c r="C200" s="961">
        <v>2</v>
      </c>
      <c r="D200" s="961" t="s">
        <v>6436</v>
      </c>
      <c r="E200" s="961" t="s">
        <v>6437</v>
      </c>
      <c r="F200" s="962">
        <v>287</v>
      </c>
      <c r="G200" s="961" t="s">
        <v>741</v>
      </c>
      <c r="H200" s="961">
        <v>1</v>
      </c>
      <c r="I200" s="963" t="s">
        <v>6450</v>
      </c>
      <c r="J200" s="961">
        <v>1</v>
      </c>
      <c r="K200" s="961">
        <v>23</v>
      </c>
      <c r="L200" s="961">
        <v>1</v>
      </c>
      <c r="M200" s="961">
        <v>1</v>
      </c>
      <c r="N200" s="961" t="s">
        <v>6438</v>
      </c>
      <c r="O200" s="961">
        <v>13</v>
      </c>
      <c r="P200" s="964">
        <v>174528</v>
      </c>
      <c r="Q200" s="964">
        <v>-26300</v>
      </c>
      <c r="R200" s="964">
        <f t="shared" si="2"/>
        <v>148228</v>
      </c>
      <c r="S200" s="964">
        <v>176664.7</v>
      </c>
      <c r="T200" s="964">
        <v>176664.7</v>
      </c>
      <c r="U200" s="964">
        <v>176664.7</v>
      </c>
      <c r="V200" s="964">
        <v>176664.7</v>
      </c>
    </row>
    <row r="201" spans="1:22" x14ac:dyDescent="0.25">
      <c r="A201" s="961" t="s">
        <v>6435</v>
      </c>
      <c r="B201" s="961">
        <v>2</v>
      </c>
      <c r="C201" s="961">
        <v>2</v>
      </c>
      <c r="D201" s="961" t="s">
        <v>6436</v>
      </c>
      <c r="E201" s="961" t="s">
        <v>6437</v>
      </c>
      <c r="F201" s="962">
        <v>287</v>
      </c>
      <c r="G201" s="961" t="s">
        <v>741</v>
      </c>
      <c r="H201" s="961">
        <v>1</v>
      </c>
      <c r="I201" s="963" t="s">
        <v>6451</v>
      </c>
      <c r="J201" s="961">
        <v>1</v>
      </c>
      <c r="K201" s="961">
        <v>23</v>
      </c>
      <c r="L201" s="961">
        <v>1</v>
      </c>
      <c r="M201" s="961">
        <v>1</v>
      </c>
      <c r="N201" s="961" t="s">
        <v>6438</v>
      </c>
      <c r="O201" s="961">
        <v>13</v>
      </c>
      <c r="P201" s="964">
        <v>1195466.66666667</v>
      </c>
      <c r="Q201" s="964">
        <v>-12018.29</v>
      </c>
      <c r="R201" s="964">
        <f t="shared" si="2"/>
        <v>1183448.37666667</v>
      </c>
      <c r="S201" s="964">
        <v>2203882.7799999998</v>
      </c>
      <c r="T201" s="964">
        <v>2203882.7799999998</v>
      </c>
      <c r="U201" s="964">
        <v>2203882.7799999998</v>
      </c>
      <c r="V201" s="964">
        <v>1733837.45</v>
      </c>
    </row>
    <row r="202" spans="1:22" x14ac:dyDescent="0.25">
      <c r="A202" s="961" t="s">
        <v>6435</v>
      </c>
      <c r="B202" s="961">
        <v>2</v>
      </c>
      <c r="C202" s="961">
        <v>2</v>
      </c>
      <c r="D202" s="961" t="s">
        <v>6436</v>
      </c>
      <c r="E202" s="961" t="s">
        <v>6437</v>
      </c>
      <c r="F202" s="962">
        <v>287</v>
      </c>
      <c r="G202" s="961" t="s">
        <v>741</v>
      </c>
      <c r="H202" s="961">
        <v>1</v>
      </c>
      <c r="I202" s="963" t="s">
        <v>6454</v>
      </c>
      <c r="J202" s="961">
        <v>1</v>
      </c>
      <c r="K202" s="961">
        <v>23</v>
      </c>
      <c r="L202" s="961">
        <v>1</v>
      </c>
      <c r="M202" s="961">
        <v>1</v>
      </c>
      <c r="N202" s="961" t="s">
        <v>6438</v>
      </c>
      <c r="O202" s="961">
        <v>13</v>
      </c>
      <c r="P202" s="964">
        <v>611195.04</v>
      </c>
      <c r="Q202" s="964">
        <v>-221471</v>
      </c>
      <c r="R202" s="964">
        <f t="shared" si="2"/>
        <v>389724.04000000004</v>
      </c>
      <c r="S202" s="964">
        <v>756645.04</v>
      </c>
      <c r="T202" s="964">
        <v>756645.04</v>
      </c>
      <c r="U202" s="964">
        <v>756645.04</v>
      </c>
      <c r="V202" s="964">
        <v>756645.04</v>
      </c>
    </row>
    <row r="203" spans="1:22" x14ac:dyDescent="0.25">
      <c r="A203" s="961" t="s">
        <v>6435</v>
      </c>
      <c r="B203" s="961">
        <v>2</v>
      </c>
      <c r="C203" s="961">
        <v>2</v>
      </c>
      <c r="D203" s="961" t="s">
        <v>6436</v>
      </c>
      <c r="E203" s="961" t="s">
        <v>6437</v>
      </c>
      <c r="F203" s="962">
        <v>287</v>
      </c>
      <c r="G203" s="961" t="s">
        <v>741</v>
      </c>
      <c r="H203" s="961">
        <v>1</v>
      </c>
      <c r="I203" s="963" t="s">
        <v>6457</v>
      </c>
      <c r="J203" s="961">
        <v>1</v>
      </c>
      <c r="K203" s="961">
        <v>23</v>
      </c>
      <c r="L203" s="961">
        <v>1</v>
      </c>
      <c r="M203" s="961">
        <v>1</v>
      </c>
      <c r="N203" s="961" t="s">
        <v>6438</v>
      </c>
      <c r="O203" s="961">
        <v>13</v>
      </c>
      <c r="P203" s="964">
        <v>59840</v>
      </c>
      <c r="Q203" s="964">
        <f>-7993.48-9233</f>
        <v>-17226.48</v>
      </c>
      <c r="R203" s="964">
        <f t="shared" si="2"/>
        <v>42613.520000000004</v>
      </c>
      <c r="S203" s="964">
        <v>59840</v>
      </c>
      <c r="T203" s="964">
        <v>45760</v>
      </c>
      <c r="U203" s="964">
        <v>45760</v>
      </c>
      <c r="V203" s="964">
        <v>45760</v>
      </c>
    </row>
    <row r="204" spans="1:22" x14ac:dyDescent="0.25">
      <c r="A204" s="961" t="s">
        <v>6458</v>
      </c>
      <c r="B204" s="961">
        <v>2</v>
      </c>
      <c r="C204" s="961">
        <v>2</v>
      </c>
      <c r="D204" s="961" t="s">
        <v>6436</v>
      </c>
      <c r="E204" s="961" t="s">
        <v>6437</v>
      </c>
      <c r="F204" s="962">
        <v>448</v>
      </c>
      <c r="G204" s="961" t="s">
        <v>741</v>
      </c>
      <c r="H204" s="961">
        <v>1</v>
      </c>
      <c r="I204" s="963">
        <v>21101</v>
      </c>
      <c r="J204" s="961">
        <v>1</v>
      </c>
      <c r="K204" s="961">
        <v>23</v>
      </c>
      <c r="L204" s="961">
        <v>1</v>
      </c>
      <c r="M204" s="961">
        <v>1</v>
      </c>
      <c r="N204" s="961" t="s">
        <v>6438</v>
      </c>
      <c r="O204" s="961">
        <v>13</v>
      </c>
      <c r="P204" s="964">
        <v>15000</v>
      </c>
      <c r="Q204" s="964">
        <v>-7400</v>
      </c>
      <c r="R204" s="964">
        <f t="shared" si="2"/>
        <v>7600</v>
      </c>
      <c r="S204" s="964">
        <v>1288</v>
      </c>
      <c r="T204" s="964">
        <v>1288</v>
      </c>
      <c r="U204" s="964">
        <v>1288</v>
      </c>
      <c r="V204" s="964">
        <v>1288</v>
      </c>
    </row>
    <row r="205" spans="1:22" x14ac:dyDescent="0.25">
      <c r="A205" s="961" t="s">
        <v>6458</v>
      </c>
      <c r="B205" s="961">
        <v>2</v>
      </c>
      <c r="C205" s="961">
        <v>2</v>
      </c>
      <c r="D205" s="961" t="s">
        <v>6436</v>
      </c>
      <c r="E205" s="961" t="s">
        <v>6437</v>
      </c>
      <c r="F205" s="962">
        <v>448</v>
      </c>
      <c r="G205" s="961" t="s">
        <v>741</v>
      </c>
      <c r="H205" s="961">
        <v>1</v>
      </c>
      <c r="I205" s="963">
        <v>21201</v>
      </c>
      <c r="J205" s="961">
        <v>1</v>
      </c>
      <c r="K205" s="961">
        <v>23</v>
      </c>
      <c r="L205" s="961">
        <v>1</v>
      </c>
      <c r="M205" s="961">
        <v>1</v>
      </c>
      <c r="N205" s="961" t="s">
        <v>6438</v>
      </c>
      <c r="O205" s="961">
        <v>13</v>
      </c>
      <c r="P205" s="964"/>
      <c r="Q205" s="964">
        <v>63240</v>
      </c>
      <c r="R205" s="964">
        <f t="shared" si="2"/>
        <v>63240</v>
      </c>
      <c r="S205" s="964">
        <v>63238.98</v>
      </c>
      <c r="T205" s="964">
        <v>63238.98</v>
      </c>
      <c r="U205" s="964">
        <v>63238.98</v>
      </c>
      <c r="V205" s="964">
        <v>63238.98</v>
      </c>
    </row>
    <row r="206" spans="1:22" x14ac:dyDescent="0.25">
      <c r="A206" s="961" t="s">
        <v>6458</v>
      </c>
      <c r="B206" s="961">
        <v>2</v>
      </c>
      <c r="C206" s="961">
        <v>2</v>
      </c>
      <c r="D206" s="961" t="s">
        <v>6436</v>
      </c>
      <c r="E206" s="961" t="s">
        <v>6437</v>
      </c>
      <c r="F206" s="962">
        <v>448</v>
      </c>
      <c r="G206" s="961" t="s">
        <v>741</v>
      </c>
      <c r="H206" s="961">
        <v>1</v>
      </c>
      <c r="I206" s="963">
        <v>21401</v>
      </c>
      <c r="J206" s="961">
        <v>1</v>
      </c>
      <c r="K206" s="961">
        <v>23</v>
      </c>
      <c r="L206" s="961">
        <v>1</v>
      </c>
      <c r="M206" s="961">
        <v>1</v>
      </c>
      <c r="N206" s="961" t="s">
        <v>6438</v>
      </c>
      <c r="O206" s="961">
        <v>13</v>
      </c>
      <c r="P206" s="964"/>
      <c r="Q206" s="964"/>
      <c r="R206" s="964">
        <f t="shared" si="2"/>
        <v>0</v>
      </c>
      <c r="S206" s="964">
        <v>4753.07</v>
      </c>
      <c r="T206" s="964">
        <v>4753.07</v>
      </c>
      <c r="U206" s="964">
        <v>4753.07</v>
      </c>
      <c r="V206" s="964">
        <v>4753.07</v>
      </c>
    </row>
    <row r="207" spans="1:22" x14ac:dyDescent="0.25">
      <c r="A207" s="961" t="s">
        <v>6458</v>
      </c>
      <c r="B207" s="961">
        <v>2</v>
      </c>
      <c r="C207" s="961">
        <v>2</v>
      </c>
      <c r="D207" s="961" t="s">
        <v>6436</v>
      </c>
      <c r="E207" s="961" t="s">
        <v>6437</v>
      </c>
      <c r="F207" s="962">
        <v>448</v>
      </c>
      <c r="G207" s="961" t="s">
        <v>741</v>
      </c>
      <c r="H207" s="961">
        <v>1</v>
      </c>
      <c r="I207" s="963">
        <v>21801</v>
      </c>
      <c r="J207" s="961">
        <v>1</v>
      </c>
      <c r="K207" s="961">
        <v>23</v>
      </c>
      <c r="L207" s="961">
        <v>1</v>
      </c>
      <c r="M207" s="961">
        <v>1</v>
      </c>
      <c r="N207" s="961" t="s">
        <v>6438</v>
      </c>
      <c r="O207" s="961">
        <v>13</v>
      </c>
      <c r="P207" s="964">
        <v>8300</v>
      </c>
      <c r="Q207" s="964"/>
      <c r="R207" s="964">
        <f t="shared" si="2"/>
        <v>8300</v>
      </c>
      <c r="S207" s="964">
        <v>8958</v>
      </c>
      <c r="T207" s="964">
        <v>8958</v>
      </c>
      <c r="U207" s="964">
        <v>8958</v>
      </c>
      <c r="V207" s="964">
        <v>8958</v>
      </c>
    </row>
    <row r="208" spans="1:22" x14ac:dyDescent="0.25">
      <c r="A208" s="961" t="s">
        <v>6458</v>
      </c>
      <c r="B208" s="961">
        <v>2</v>
      </c>
      <c r="C208" s="961">
        <v>2</v>
      </c>
      <c r="D208" s="961" t="s">
        <v>6436</v>
      </c>
      <c r="E208" s="961" t="s">
        <v>6437</v>
      </c>
      <c r="F208" s="962">
        <v>448</v>
      </c>
      <c r="G208" s="961" t="s">
        <v>741</v>
      </c>
      <c r="H208" s="961">
        <v>1</v>
      </c>
      <c r="I208" s="963">
        <v>22101</v>
      </c>
      <c r="J208" s="961">
        <v>1</v>
      </c>
      <c r="K208" s="961">
        <v>23</v>
      </c>
      <c r="L208" s="961">
        <v>1</v>
      </c>
      <c r="M208" s="961">
        <v>1</v>
      </c>
      <c r="N208" s="961" t="s">
        <v>6438</v>
      </c>
      <c r="O208" s="961">
        <v>13</v>
      </c>
      <c r="P208" s="964">
        <v>2000</v>
      </c>
      <c r="Q208" s="964"/>
      <c r="R208" s="964">
        <f t="shared" ref="R208:R277" si="3">SUM(P208:Q208)</f>
        <v>2000</v>
      </c>
      <c r="S208" s="964">
        <v>3436.55</v>
      </c>
      <c r="T208" s="964">
        <v>3436.55</v>
      </c>
      <c r="U208" s="964">
        <v>3436.55</v>
      </c>
      <c r="V208" s="964">
        <v>3436.55</v>
      </c>
    </row>
    <row r="209" spans="1:22" x14ac:dyDescent="0.25">
      <c r="A209" s="961" t="s">
        <v>6458</v>
      </c>
      <c r="B209" s="961">
        <v>2</v>
      </c>
      <c r="C209" s="961">
        <v>2</v>
      </c>
      <c r="D209" s="961" t="s">
        <v>6436</v>
      </c>
      <c r="E209" s="961" t="s">
        <v>6437</v>
      </c>
      <c r="F209" s="962">
        <v>448</v>
      </c>
      <c r="G209" s="961" t="s">
        <v>741</v>
      </c>
      <c r="H209" s="961">
        <v>1</v>
      </c>
      <c r="I209" s="963">
        <v>26101</v>
      </c>
      <c r="J209" s="961">
        <v>1</v>
      </c>
      <c r="K209" s="961">
        <v>23</v>
      </c>
      <c r="L209" s="961">
        <v>1</v>
      </c>
      <c r="M209" s="961">
        <v>1</v>
      </c>
      <c r="N209" s="961" t="s">
        <v>6438</v>
      </c>
      <c r="O209" s="961">
        <v>13</v>
      </c>
      <c r="P209" s="964">
        <v>50000</v>
      </c>
      <c r="Q209" s="964">
        <v>49988.44</v>
      </c>
      <c r="R209" s="964">
        <f t="shared" si="3"/>
        <v>99988.44</v>
      </c>
      <c r="S209" s="964">
        <v>105507.74</v>
      </c>
      <c r="T209" s="964">
        <v>105507.74</v>
      </c>
      <c r="U209" s="964">
        <v>105507.73</v>
      </c>
      <c r="V209" s="964">
        <v>105507.73</v>
      </c>
    </row>
    <row r="210" spans="1:22" x14ac:dyDescent="0.25">
      <c r="A210" s="961" t="s">
        <v>6458</v>
      </c>
      <c r="B210" s="961">
        <v>2</v>
      </c>
      <c r="C210" s="961">
        <v>2</v>
      </c>
      <c r="D210" s="961" t="s">
        <v>6436</v>
      </c>
      <c r="E210" s="961" t="s">
        <v>6437</v>
      </c>
      <c r="F210" s="962">
        <v>448</v>
      </c>
      <c r="G210" s="961" t="s">
        <v>741</v>
      </c>
      <c r="H210" s="961">
        <v>1</v>
      </c>
      <c r="I210" s="963">
        <v>26102</v>
      </c>
      <c r="J210" s="961">
        <v>1</v>
      </c>
      <c r="K210" s="961">
        <v>23</v>
      </c>
      <c r="L210" s="961">
        <v>1</v>
      </c>
      <c r="M210" s="961">
        <v>1</v>
      </c>
      <c r="N210" s="961" t="s">
        <v>6438</v>
      </c>
      <c r="O210" s="961">
        <v>13</v>
      </c>
      <c r="P210" s="964">
        <v>1500</v>
      </c>
      <c r="Q210" s="964">
        <v>6353.01</v>
      </c>
      <c r="R210" s="964">
        <f t="shared" si="3"/>
        <v>7853.01</v>
      </c>
      <c r="S210" s="964">
        <v>5827.8</v>
      </c>
      <c r="T210" s="964">
        <v>5827.8</v>
      </c>
      <c r="U210" s="964">
        <v>5827.8</v>
      </c>
      <c r="V210" s="964">
        <v>5827.8</v>
      </c>
    </row>
    <row r="211" spans="1:22" x14ac:dyDescent="0.25">
      <c r="A211" s="961" t="s">
        <v>6458</v>
      </c>
      <c r="B211" s="961">
        <v>2</v>
      </c>
      <c r="C211" s="961">
        <v>2</v>
      </c>
      <c r="D211" s="961" t="s">
        <v>6436</v>
      </c>
      <c r="E211" s="961" t="s">
        <v>6437</v>
      </c>
      <c r="F211" s="962">
        <v>448</v>
      </c>
      <c r="G211" s="961" t="s">
        <v>741</v>
      </c>
      <c r="H211" s="961">
        <v>1</v>
      </c>
      <c r="I211" s="963">
        <v>27101</v>
      </c>
      <c r="J211" s="961">
        <v>1</v>
      </c>
      <c r="K211" s="961">
        <v>23</v>
      </c>
      <c r="L211" s="961">
        <v>1</v>
      </c>
      <c r="M211" s="961">
        <v>1</v>
      </c>
      <c r="N211" s="961" t="s">
        <v>6438</v>
      </c>
      <c r="O211" s="961">
        <v>13</v>
      </c>
      <c r="P211" s="964"/>
      <c r="Q211" s="964">
        <v>4400</v>
      </c>
      <c r="R211" s="964">
        <f>P211+Q211</f>
        <v>4400</v>
      </c>
      <c r="S211" s="964">
        <v>4396.3999999999996</v>
      </c>
      <c r="T211" s="964">
        <v>4396.3999999999996</v>
      </c>
      <c r="U211" s="964">
        <v>4396.3999999999996</v>
      </c>
      <c r="V211" s="964">
        <v>4396.3999999999996</v>
      </c>
    </row>
    <row r="212" spans="1:22" x14ac:dyDescent="0.25">
      <c r="A212" s="961" t="s">
        <v>6458</v>
      </c>
      <c r="B212" s="961">
        <v>2</v>
      </c>
      <c r="C212" s="961">
        <v>2</v>
      </c>
      <c r="D212" s="961" t="s">
        <v>6436</v>
      </c>
      <c r="E212" s="961" t="s">
        <v>6437</v>
      </c>
      <c r="F212" s="962">
        <v>448</v>
      </c>
      <c r="G212" s="961" t="s">
        <v>741</v>
      </c>
      <c r="H212" s="961">
        <v>1</v>
      </c>
      <c r="I212" s="963">
        <v>27201</v>
      </c>
      <c r="J212" s="961">
        <v>1</v>
      </c>
      <c r="K212" s="961">
        <v>23</v>
      </c>
      <c r="L212" s="961">
        <v>1</v>
      </c>
      <c r="M212" s="961">
        <v>1</v>
      </c>
      <c r="N212" s="961" t="s">
        <v>6438</v>
      </c>
      <c r="O212" s="961">
        <v>13</v>
      </c>
      <c r="P212" s="964"/>
      <c r="Q212" s="964"/>
      <c r="R212" s="964">
        <f t="shared" si="3"/>
        <v>0</v>
      </c>
      <c r="S212" s="964"/>
      <c r="T212" s="964"/>
      <c r="U212" s="964"/>
      <c r="V212" s="964"/>
    </row>
    <row r="213" spans="1:22" x14ac:dyDescent="0.25">
      <c r="A213" s="961" t="s">
        <v>6458</v>
      </c>
      <c r="B213" s="961">
        <v>2</v>
      </c>
      <c r="C213" s="961">
        <v>2</v>
      </c>
      <c r="D213" s="961" t="s">
        <v>6436</v>
      </c>
      <c r="E213" s="961" t="s">
        <v>6437</v>
      </c>
      <c r="F213" s="962">
        <v>448</v>
      </c>
      <c r="G213" s="961" t="s">
        <v>741</v>
      </c>
      <c r="H213" s="961">
        <v>1</v>
      </c>
      <c r="I213" s="963">
        <v>29101</v>
      </c>
      <c r="J213" s="961">
        <v>1</v>
      </c>
      <c r="K213" s="961">
        <v>23</v>
      </c>
      <c r="L213" s="961">
        <v>1</v>
      </c>
      <c r="M213" s="961">
        <v>1</v>
      </c>
      <c r="N213" s="961" t="s">
        <v>6438</v>
      </c>
      <c r="O213" s="961">
        <v>13</v>
      </c>
      <c r="P213" s="964">
        <v>700</v>
      </c>
      <c r="Q213" s="964"/>
      <c r="R213" s="964">
        <f t="shared" si="3"/>
        <v>700</v>
      </c>
      <c r="S213" s="964"/>
      <c r="T213" s="964"/>
      <c r="U213" s="964"/>
      <c r="V213" s="964"/>
    </row>
    <row r="214" spans="1:22" x14ac:dyDescent="0.25">
      <c r="A214" s="961" t="s">
        <v>6458</v>
      </c>
      <c r="B214" s="961">
        <v>2</v>
      </c>
      <c r="C214" s="961">
        <v>2</v>
      </c>
      <c r="D214" s="961" t="s">
        <v>6436</v>
      </c>
      <c r="E214" s="961" t="s">
        <v>6437</v>
      </c>
      <c r="F214" s="962">
        <v>448</v>
      </c>
      <c r="G214" s="961" t="s">
        <v>741</v>
      </c>
      <c r="H214" s="961">
        <v>1</v>
      </c>
      <c r="I214" s="963">
        <v>29401</v>
      </c>
      <c r="J214" s="961">
        <v>1</v>
      </c>
      <c r="K214" s="961">
        <v>23</v>
      </c>
      <c r="L214" s="961">
        <v>1</v>
      </c>
      <c r="M214" s="961">
        <v>1</v>
      </c>
      <c r="N214" s="961" t="s">
        <v>6438</v>
      </c>
      <c r="O214" s="961">
        <v>13</v>
      </c>
      <c r="P214" s="964"/>
      <c r="Q214" s="964"/>
      <c r="R214" s="964"/>
      <c r="S214" s="964">
        <v>1496.99</v>
      </c>
      <c r="T214" s="964">
        <v>1496.99</v>
      </c>
      <c r="U214" s="964">
        <v>1496.99</v>
      </c>
      <c r="V214" s="964">
        <v>1496.99</v>
      </c>
    </row>
    <row r="215" spans="1:22" x14ac:dyDescent="0.25">
      <c r="A215" s="961" t="s">
        <v>6458</v>
      </c>
      <c r="B215" s="961">
        <v>2</v>
      </c>
      <c r="C215" s="961">
        <v>2</v>
      </c>
      <c r="D215" s="961" t="s">
        <v>6436</v>
      </c>
      <c r="E215" s="961" t="s">
        <v>6437</v>
      </c>
      <c r="F215" s="962">
        <v>448</v>
      </c>
      <c r="G215" s="961" t="s">
        <v>741</v>
      </c>
      <c r="H215" s="961">
        <v>1</v>
      </c>
      <c r="I215" s="963">
        <v>29601</v>
      </c>
      <c r="J215" s="961">
        <v>1</v>
      </c>
      <c r="K215" s="961">
        <v>23</v>
      </c>
      <c r="L215" s="961">
        <v>1</v>
      </c>
      <c r="M215" s="961">
        <v>1</v>
      </c>
      <c r="N215" s="961" t="s">
        <v>6438</v>
      </c>
      <c r="O215" s="961">
        <v>13</v>
      </c>
      <c r="P215" s="964">
        <v>20000</v>
      </c>
      <c r="Q215" s="964"/>
      <c r="R215" s="964">
        <f t="shared" si="3"/>
        <v>20000</v>
      </c>
      <c r="S215" s="964">
        <v>1185.49</v>
      </c>
      <c r="T215" s="964">
        <v>1185.49</v>
      </c>
      <c r="U215" s="964">
        <v>1185.49</v>
      </c>
      <c r="V215" s="964">
        <f>2670.29-1484.8</f>
        <v>1185.49</v>
      </c>
    </row>
    <row r="216" spans="1:22" x14ac:dyDescent="0.25">
      <c r="A216" s="961" t="s">
        <v>6458</v>
      </c>
      <c r="B216" s="961">
        <v>2</v>
      </c>
      <c r="C216" s="961">
        <v>2</v>
      </c>
      <c r="D216" s="961" t="s">
        <v>6436</v>
      </c>
      <c r="E216" s="961" t="s">
        <v>6437</v>
      </c>
      <c r="F216" s="962">
        <v>448</v>
      </c>
      <c r="G216" s="961" t="s">
        <v>741</v>
      </c>
      <c r="H216" s="961">
        <v>1</v>
      </c>
      <c r="I216" s="963">
        <v>29801</v>
      </c>
      <c r="J216" s="961">
        <v>1</v>
      </c>
      <c r="K216" s="961">
        <v>23</v>
      </c>
      <c r="L216" s="961">
        <v>1</v>
      </c>
      <c r="M216" s="961">
        <v>1</v>
      </c>
      <c r="N216" s="961" t="s">
        <v>6438</v>
      </c>
      <c r="O216" s="961">
        <v>13</v>
      </c>
      <c r="P216" s="964">
        <v>600000</v>
      </c>
      <c r="Q216" s="964">
        <v>-376156.83</v>
      </c>
      <c r="R216" s="964">
        <f t="shared" si="3"/>
        <v>223843.16999999998</v>
      </c>
      <c r="S216" s="964">
        <v>115485.17</v>
      </c>
      <c r="T216" s="964">
        <v>115485.17</v>
      </c>
      <c r="U216" s="964">
        <v>115485.17</v>
      </c>
      <c r="V216" s="964">
        <v>115485.17</v>
      </c>
    </row>
    <row r="217" spans="1:22" x14ac:dyDescent="0.25">
      <c r="A217" s="961" t="s">
        <v>6458</v>
      </c>
      <c r="B217" s="961">
        <v>2</v>
      </c>
      <c r="C217" s="961">
        <v>2</v>
      </c>
      <c r="D217" s="961" t="s">
        <v>6436</v>
      </c>
      <c r="E217" s="961" t="s">
        <v>6437</v>
      </c>
      <c r="F217" s="962">
        <v>448</v>
      </c>
      <c r="G217" s="961" t="s">
        <v>741</v>
      </c>
      <c r="H217" s="961">
        <v>1</v>
      </c>
      <c r="I217" s="963">
        <v>31701</v>
      </c>
      <c r="J217" s="961">
        <v>1</v>
      </c>
      <c r="K217" s="961">
        <v>23</v>
      </c>
      <c r="L217" s="961">
        <v>1</v>
      </c>
      <c r="M217" s="961">
        <v>1</v>
      </c>
      <c r="N217" s="961" t="s">
        <v>6438</v>
      </c>
      <c r="O217" s="961">
        <v>13</v>
      </c>
      <c r="P217" s="964"/>
      <c r="Q217" s="964"/>
      <c r="R217" s="964">
        <f t="shared" si="3"/>
        <v>0</v>
      </c>
      <c r="S217" s="964">
        <v>3080.6</v>
      </c>
      <c r="T217" s="964">
        <v>3080.6</v>
      </c>
      <c r="U217" s="964">
        <v>0</v>
      </c>
      <c r="V217" s="964">
        <v>0</v>
      </c>
    </row>
    <row r="218" spans="1:22" x14ac:dyDescent="0.25">
      <c r="A218" s="961" t="s">
        <v>6458</v>
      </c>
      <c r="B218" s="961">
        <v>2</v>
      </c>
      <c r="C218" s="961">
        <v>2</v>
      </c>
      <c r="D218" s="961" t="s">
        <v>6436</v>
      </c>
      <c r="E218" s="961" t="s">
        <v>6437</v>
      </c>
      <c r="F218" s="962">
        <v>448</v>
      </c>
      <c r="G218" s="961" t="s">
        <v>741</v>
      </c>
      <c r="H218" s="961">
        <v>1</v>
      </c>
      <c r="I218" s="963">
        <v>31801</v>
      </c>
      <c r="J218" s="961">
        <v>1</v>
      </c>
      <c r="K218" s="961">
        <v>23</v>
      </c>
      <c r="L218" s="961">
        <v>1</v>
      </c>
      <c r="M218" s="961">
        <v>1</v>
      </c>
      <c r="N218" s="961" t="s">
        <v>6438</v>
      </c>
      <c r="O218" s="961">
        <v>13</v>
      </c>
      <c r="P218" s="964">
        <v>4000</v>
      </c>
      <c r="Q218" s="964">
        <v>-520</v>
      </c>
      <c r="R218" s="964">
        <f t="shared" si="3"/>
        <v>3480</v>
      </c>
      <c r="S218" s="964">
        <v>405.43</v>
      </c>
      <c r="T218" s="964">
        <v>405.43</v>
      </c>
      <c r="U218" s="964">
        <v>405.43</v>
      </c>
      <c r="V218" s="964">
        <v>405.43</v>
      </c>
    </row>
    <row r="219" spans="1:22" x14ac:dyDescent="0.25">
      <c r="A219" s="961" t="s">
        <v>6458</v>
      </c>
      <c r="B219" s="961">
        <v>2</v>
      </c>
      <c r="C219" s="961">
        <v>2</v>
      </c>
      <c r="D219" s="961" t="s">
        <v>6436</v>
      </c>
      <c r="E219" s="961" t="s">
        <v>6437</v>
      </c>
      <c r="F219" s="962">
        <v>448</v>
      </c>
      <c r="G219" s="961" t="s">
        <v>741</v>
      </c>
      <c r="H219" s="961">
        <v>1</v>
      </c>
      <c r="I219" s="963">
        <v>32601</v>
      </c>
      <c r="J219" s="961">
        <v>1</v>
      </c>
      <c r="K219" s="961">
        <v>23</v>
      </c>
      <c r="L219" s="961">
        <v>1</v>
      </c>
      <c r="M219" s="961">
        <v>1</v>
      </c>
      <c r="N219" s="961" t="s">
        <v>6438</v>
      </c>
      <c r="O219" s="961">
        <v>13</v>
      </c>
      <c r="P219" s="964"/>
      <c r="Q219" s="964">
        <v>82000</v>
      </c>
      <c r="R219" s="964">
        <f t="shared" ref="R219" si="4">SUM(P219:Q219)</f>
        <v>82000</v>
      </c>
      <c r="S219" s="964">
        <v>81972</v>
      </c>
      <c r="T219" s="964">
        <v>81972</v>
      </c>
      <c r="U219" s="964">
        <v>81972</v>
      </c>
      <c r="V219" s="964">
        <v>81972</v>
      </c>
    </row>
    <row r="220" spans="1:22" x14ac:dyDescent="0.25">
      <c r="A220" s="961" t="s">
        <v>6458</v>
      </c>
      <c r="B220" s="961">
        <v>2</v>
      </c>
      <c r="C220" s="961">
        <v>2</v>
      </c>
      <c r="D220" s="961" t="s">
        <v>6436</v>
      </c>
      <c r="E220" s="961" t="s">
        <v>6437</v>
      </c>
      <c r="F220" s="962">
        <v>448</v>
      </c>
      <c r="G220" s="961" t="s">
        <v>741</v>
      </c>
      <c r="H220" s="961">
        <v>1</v>
      </c>
      <c r="I220" s="963">
        <v>33301</v>
      </c>
      <c r="J220" s="961">
        <v>1</v>
      </c>
      <c r="K220" s="961">
        <v>23</v>
      </c>
      <c r="L220" s="961">
        <v>1</v>
      </c>
      <c r="M220" s="961">
        <v>1</v>
      </c>
      <c r="N220" s="961" t="s">
        <v>6438</v>
      </c>
      <c r="O220" s="961">
        <v>13</v>
      </c>
      <c r="P220" s="964"/>
      <c r="Q220" s="964">
        <v>217900</v>
      </c>
      <c r="R220" s="964">
        <f t="shared" si="3"/>
        <v>217900</v>
      </c>
      <c r="S220" s="964">
        <v>217964</v>
      </c>
      <c r="T220" s="964">
        <v>217964</v>
      </c>
      <c r="U220" s="964">
        <v>217964</v>
      </c>
      <c r="V220" s="964">
        <v>217964</v>
      </c>
    </row>
    <row r="221" spans="1:22" x14ac:dyDescent="0.25">
      <c r="A221" s="961" t="s">
        <v>6458</v>
      </c>
      <c r="B221" s="961">
        <v>2</v>
      </c>
      <c r="C221" s="961">
        <v>2</v>
      </c>
      <c r="D221" s="961" t="s">
        <v>6436</v>
      </c>
      <c r="E221" s="961" t="s">
        <v>6437</v>
      </c>
      <c r="F221" s="962">
        <v>448</v>
      </c>
      <c r="G221" s="961" t="s">
        <v>741</v>
      </c>
      <c r="H221" s="961">
        <v>1</v>
      </c>
      <c r="I221" s="963">
        <v>33603</v>
      </c>
      <c r="J221" s="961">
        <v>1</v>
      </c>
      <c r="K221" s="961">
        <v>23</v>
      </c>
      <c r="L221" s="961">
        <v>1</v>
      </c>
      <c r="M221" s="961">
        <v>1</v>
      </c>
      <c r="N221" s="961" t="s">
        <v>6438</v>
      </c>
      <c r="O221" s="961">
        <v>13</v>
      </c>
      <c r="P221" s="964"/>
      <c r="Q221" s="964"/>
      <c r="R221" s="964">
        <f t="shared" si="3"/>
        <v>0</v>
      </c>
      <c r="S221" s="964"/>
      <c r="T221" s="964"/>
      <c r="U221" s="964"/>
      <c r="V221" s="964"/>
    </row>
    <row r="222" spans="1:22" x14ac:dyDescent="0.25">
      <c r="A222" s="961" t="s">
        <v>6458</v>
      </c>
      <c r="B222" s="961">
        <v>2</v>
      </c>
      <c r="C222" s="961">
        <v>2</v>
      </c>
      <c r="D222" s="961" t="s">
        <v>6436</v>
      </c>
      <c r="E222" s="961" t="s">
        <v>6437</v>
      </c>
      <c r="F222" s="962">
        <v>448</v>
      </c>
      <c r="G222" s="961" t="s">
        <v>741</v>
      </c>
      <c r="H222" s="961">
        <v>1</v>
      </c>
      <c r="I222" s="963">
        <v>34401</v>
      </c>
      <c r="J222" s="961">
        <v>1</v>
      </c>
      <c r="K222" s="961">
        <v>23</v>
      </c>
      <c r="L222" s="961">
        <v>1</v>
      </c>
      <c r="M222" s="961">
        <v>1</v>
      </c>
      <c r="N222" s="961" t="s">
        <v>6438</v>
      </c>
      <c r="O222" s="961">
        <v>13</v>
      </c>
      <c r="P222" s="964"/>
      <c r="Q222" s="964">
        <v>192000</v>
      </c>
      <c r="R222" s="964">
        <f t="shared" si="3"/>
        <v>192000</v>
      </c>
      <c r="S222" s="964">
        <v>126516.48</v>
      </c>
      <c r="T222" s="964">
        <v>126516.48</v>
      </c>
      <c r="U222" s="964">
        <v>126516.48</v>
      </c>
      <c r="V222" s="964">
        <v>126516.48</v>
      </c>
    </row>
    <row r="223" spans="1:22" x14ac:dyDescent="0.25">
      <c r="A223" s="961" t="s">
        <v>6458</v>
      </c>
      <c r="B223" s="961">
        <v>2</v>
      </c>
      <c r="C223" s="961">
        <v>2</v>
      </c>
      <c r="D223" s="961" t="s">
        <v>6436</v>
      </c>
      <c r="E223" s="961" t="s">
        <v>6437</v>
      </c>
      <c r="F223" s="962">
        <v>448</v>
      </c>
      <c r="G223" s="961" t="s">
        <v>741</v>
      </c>
      <c r="H223" s="961">
        <v>1</v>
      </c>
      <c r="I223" s="963">
        <v>34701</v>
      </c>
      <c r="J223" s="961">
        <v>1</v>
      </c>
      <c r="K223" s="961">
        <v>23</v>
      </c>
      <c r="L223" s="961">
        <v>1</v>
      </c>
      <c r="M223" s="961">
        <v>1</v>
      </c>
      <c r="N223" s="961" t="s">
        <v>6438</v>
      </c>
      <c r="O223" s="961">
        <v>13</v>
      </c>
      <c r="P223" s="964"/>
      <c r="Q223" s="964">
        <v>14000</v>
      </c>
      <c r="R223" s="964">
        <f t="shared" si="3"/>
        <v>14000</v>
      </c>
      <c r="S223" s="964">
        <v>13920</v>
      </c>
      <c r="T223" s="964">
        <v>13920</v>
      </c>
      <c r="U223" s="964">
        <v>13920</v>
      </c>
      <c r="V223" s="964">
        <v>13920</v>
      </c>
    </row>
    <row r="224" spans="1:22" x14ac:dyDescent="0.25">
      <c r="A224" s="961" t="s">
        <v>6458</v>
      </c>
      <c r="B224" s="961">
        <v>2</v>
      </c>
      <c r="C224" s="961">
        <v>2</v>
      </c>
      <c r="D224" s="961" t="s">
        <v>6436</v>
      </c>
      <c r="E224" s="961" t="s">
        <v>6437</v>
      </c>
      <c r="F224" s="962">
        <v>448</v>
      </c>
      <c r="G224" s="961" t="s">
        <v>741</v>
      </c>
      <c r="H224" s="961">
        <v>1</v>
      </c>
      <c r="I224" s="963">
        <v>35302</v>
      </c>
      <c r="J224" s="961">
        <v>1</v>
      </c>
      <c r="K224" s="961">
        <v>23</v>
      </c>
      <c r="L224" s="961">
        <v>1</v>
      </c>
      <c r="M224" s="961">
        <v>1</v>
      </c>
      <c r="N224" s="961" t="s">
        <v>6438</v>
      </c>
      <c r="O224" s="961">
        <v>13</v>
      </c>
      <c r="P224" s="964"/>
      <c r="Q224" s="964">
        <v>91000</v>
      </c>
      <c r="R224" s="964">
        <f t="shared" si="3"/>
        <v>91000</v>
      </c>
      <c r="S224" s="964">
        <v>95004</v>
      </c>
      <c r="T224" s="964">
        <v>95004</v>
      </c>
      <c r="U224" s="964">
        <v>95004</v>
      </c>
      <c r="V224" s="964">
        <v>95004</v>
      </c>
    </row>
    <row r="225" spans="1:22" x14ac:dyDescent="0.25">
      <c r="A225" s="961" t="s">
        <v>6458</v>
      </c>
      <c r="B225" s="961">
        <v>2</v>
      </c>
      <c r="C225" s="961">
        <v>2</v>
      </c>
      <c r="D225" s="961" t="s">
        <v>6436</v>
      </c>
      <c r="E225" s="961" t="s">
        <v>6437</v>
      </c>
      <c r="F225" s="962">
        <v>448</v>
      </c>
      <c r="G225" s="961" t="s">
        <v>741</v>
      </c>
      <c r="H225" s="961">
        <v>1</v>
      </c>
      <c r="I225" s="963">
        <v>35501</v>
      </c>
      <c r="J225" s="961">
        <v>1</v>
      </c>
      <c r="K225" s="961">
        <v>23</v>
      </c>
      <c r="L225" s="961">
        <v>1</v>
      </c>
      <c r="M225" s="961">
        <v>1</v>
      </c>
      <c r="N225" s="961" t="s">
        <v>6438</v>
      </c>
      <c r="O225" s="961">
        <v>13</v>
      </c>
      <c r="P225" s="964">
        <v>30000</v>
      </c>
      <c r="Q225" s="964">
        <f>-20000-8500</f>
        <v>-28500</v>
      </c>
      <c r="R225" s="964">
        <f t="shared" si="3"/>
        <v>1500</v>
      </c>
      <c r="S225" s="964">
        <v>1480.16</v>
      </c>
      <c r="T225" s="964">
        <v>1480.16</v>
      </c>
      <c r="U225" s="964">
        <v>1480.16</v>
      </c>
      <c r="V225" s="964">
        <v>1480.16</v>
      </c>
    </row>
    <row r="226" spans="1:22" x14ac:dyDescent="0.25">
      <c r="A226" s="967">
        <v>4121500200</v>
      </c>
      <c r="B226" s="961">
        <v>2</v>
      </c>
      <c r="C226" s="961">
        <v>2</v>
      </c>
      <c r="D226" s="961" t="s">
        <v>6436</v>
      </c>
      <c r="E226" s="961" t="s">
        <v>6437</v>
      </c>
      <c r="F226" s="962">
        <v>287</v>
      </c>
      <c r="G226" s="961" t="s">
        <v>741</v>
      </c>
      <c r="H226" s="961">
        <v>1</v>
      </c>
      <c r="I226" s="963">
        <v>35701</v>
      </c>
      <c r="J226" s="961">
        <v>1</v>
      </c>
      <c r="K226" s="961">
        <v>23</v>
      </c>
      <c r="L226" s="961">
        <v>1</v>
      </c>
      <c r="M226" s="961">
        <v>1</v>
      </c>
      <c r="N226" s="961" t="s">
        <v>6438</v>
      </c>
      <c r="O226" s="961">
        <v>13</v>
      </c>
      <c r="P226" s="964"/>
      <c r="Q226" s="964">
        <v>198311.07</v>
      </c>
      <c r="R226" s="964">
        <f t="shared" ref="R226" si="5">SUM(P226:Q226)</f>
        <v>198311.07</v>
      </c>
      <c r="S226" s="964"/>
      <c r="T226" s="964"/>
      <c r="U226" s="964"/>
      <c r="V226" s="964"/>
    </row>
    <row r="227" spans="1:22" x14ac:dyDescent="0.25">
      <c r="A227" s="961" t="s">
        <v>6458</v>
      </c>
      <c r="B227" s="961">
        <v>2</v>
      </c>
      <c r="C227" s="961">
        <v>2</v>
      </c>
      <c r="D227" s="961" t="s">
        <v>6436</v>
      </c>
      <c r="E227" s="961" t="s">
        <v>6437</v>
      </c>
      <c r="F227" s="962">
        <v>448</v>
      </c>
      <c r="G227" s="961" t="s">
        <v>741</v>
      </c>
      <c r="H227" s="961">
        <v>1</v>
      </c>
      <c r="I227" s="963">
        <v>35701</v>
      </c>
      <c r="J227" s="961">
        <v>1</v>
      </c>
      <c r="K227" s="961">
        <v>23</v>
      </c>
      <c r="L227" s="961">
        <v>1</v>
      </c>
      <c r="M227" s="961">
        <v>1</v>
      </c>
      <c r="N227" s="961" t="s">
        <v>6438</v>
      </c>
      <c r="O227" s="961">
        <v>13</v>
      </c>
      <c r="P227" s="964">
        <v>600000</v>
      </c>
      <c r="Q227" s="964">
        <f>-85112.15+102000</f>
        <v>16887.850000000006</v>
      </c>
      <c r="R227" s="964">
        <f t="shared" si="3"/>
        <v>616887.85</v>
      </c>
      <c r="S227" s="964">
        <v>790887.21</v>
      </c>
      <c r="T227" s="964">
        <v>790887.21</v>
      </c>
      <c r="U227" s="964">
        <v>790887.21</v>
      </c>
      <c r="V227" s="964">
        <v>790887.21</v>
      </c>
    </row>
    <row r="228" spans="1:22" x14ac:dyDescent="0.25">
      <c r="A228" s="961" t="s">
        <v>6458</v>
      </c>
      <c r="B228" s="961">
        <v>2</v>
      </c>
      <c r="C228" s="961">
        <v>2</v>
      </c>
      <c r="D228" s="961" t="s">
        <v>6436</v>
      </c>
      <c r="E228" s="961" t="s">
        <v>6437</v>
      </c>
      <c r="F228" s="962">
        <v>448</v>
      </c>
      <c r="G228" s="961" t="s">
        <v>741</v>
      </c>
      <c r="H228" s="961">
        <v>1</v>
      </c>
      <c r="I228" s="963">
        <v>37101</v>
      </c>
      <c r="J228" s="961">
        <v>1</v>
      </c>
      <c r="K228" s="961">
        <v>23</v>
      </c>
      <c r="L228" s="961">
        <v>1</v>
      </c>
      <c r="M228" s="961">
        <v>1</v>
      </c>
      <c r="N228" s="961" t="s">
        <v>6438</v>
      </c>
      <c r="O228" s="961">
        <v>13</v>
      </c>
      <c r="P228" s="964">
        <v>30000</v>
      </c>
      <c r="Q228" s="964">
        <v>-25000</v>
      </c>
      <c r="R228" s="964">
        <f t="shared" si="3"/>
        <v>5000</v>
      </c>
      <c r="S228" s="964"/>
      <c r="T228" s="964"/>
      <c r="U228" s="964"/>
      <c r="V228" s="964"/>
    </row>
    <row r="229" spans="1:22" x14ac:dyDescent="0.25">
      <c r="A229" s="961" t="s">
        <v>6458</v>
      </c>
      <c r="B229" s="961">
        <v>2</v>
      </c>
      <c r="C229" s="961">
        <v>2</v>
      </c>
      <c r="D229" s="961" t="s">
        <v>6436</v>
      </c>
      <c r="E229" s="961" t="s">
        <v>6437</v>
      </c>
      <c r="F229" s="962">
        <v>448</v>
      </c>
      <c r="G229" s="961" t="s">
        <v>741</v>
      </c>
      <c r="H229" s="961">
        <v>1</v>
      </c>
      <c r="I229" s="963">
        <v>37201</v>
      </c>
      <c r="J229" s="961">
        <v>1</v>
      </c>
      <c r="K229" s="961">
        <v>23</v>
      </c>
      <c r="L229" s="961">
        <v>1</v>
      </c>
      <c r="M229" s="961">
        <v>1</v>
      </c>
      <c r="N229" s="961" t="s">
        <v>6438</v>
      </c>
      <c r="O229" s="961">
        <v>13</v>
      </c>
      <c r="P229" s="964">
        <v>1000</v>
      </c>
      <c r="Q229" s="964">
        <v>10</v>
      </c>
      <c r="R229" s="964">
        <f t="shared" si="3"/>
        <v>1010</v>
      </c>
      <c r="S229" s="964">
        <v>2120</v>
      </c>
      <c r="T229" s="964">
        <v>2120</v>
      </c>
      <c r="U229" s="964">
        <v>2120</v>
      </c>
      <c r="V229" s="964">
        <v>2120</v>
      </c>
    </row>
    <row r="230" spans="1:22" x14ac:dyDescent="0.25">
      <c r="A230" s="961" t="s">
        <v>6458</v>
      </c>
      <c r="B230" s="961">
        <v>2</v>
      </c>
      <c r="C230" s="961">
        <v>2</v>
      </c>
      <c r="D230" s="961" t="s">
        <v>6436</v>
      </c>
      <c r="E230" s="961" t="s">
        <v>6437</v>
      </c>
      <c r="F230" s="962">
        <v>448</v>
      </c>
      <c r="G230" s="961" t="s">
        <v>741</v>
      </c>
      <c r="H230" s="961">
        <v>1</v>
      </c>
      <c r="I230" s="963">
        <v>37501</v>
      </c>
      <c r="J230" s="961">
        <v>1</v>
      </c>
      <c r="K230" s="961">
        <v>23</v>
      </c>
      <c r="L230" s="961">
        <v>1</v>
      </c>
      <c r="M230" s="961">
        <v>1</v>
      </c>
      <c r="N230" s="961" t="s">
        <v>6438</v>
      </c>
      <c r="O230" s="961">
        <v>13</v>
      </c>
      <c r="P230" s="964">
        <v>70000</v>
      </c>
      <c r="Q230" s="964">
        <v>-25000</v>
      </c>
      <c r="R230" s="964">
        <f t="shared" si="3"/>
        <v>45000</v>
      </c>
      <c r="S230" s="964">
        <v>55050.79</v>
      </c>
      <c r="T230" s="964">
        <v>55050.79</v>
      </c>
      <c r="U230" s="964">
        <v>55050.79</v>
      </c>
      <c r="V230" s="964">
        <v>55050.79</v>
      </c>
    </row>
    <row r="231" spans="1:22" x14ac:dyDescent="0.25">
      <c r="A231" s="961" t="s">
        <v>6458</v>
      </c>
      <c r="B231" s="961">
        <v>2</v>
      </c>
      <c r="C231" s="961">
        <v>2</v>
      </c>
      <c r="D231" s="961" t="s">
        <v>6436</v>
      </c>
      <c r="E231" s="961" t="s">
        <v>6437</v>
      </c>
      <c r="F231" s="962">
        <v>448</v>
      </c>
      <c r="G231" s="961" t="s">
        <v>741</v>
      </c>
      <c r="H231" s="961">
        <v>1</v>
      </c>
      <c r="I231" s="963">
        <v>37502</v>
      </c>
      <c r="J231" s="961">
        <v>1</v>
      </c>
      <c r="K231" s="961">
        <v>23</v>
      </c>
      <c r="L231" s="961">
        <v>1</v>
      </c>
      <c r="M231" s="961">
        <v>1</v>
      </c>
      <c r="N231" s="961" t="s">
        <v>6438</v>
      </c>
      <c r="O231" s="961">
        <v>13</v>
      </c>
      <c r="P231" s="964">
        <v>50000</v>
      </c>
      <c r="Q231" s="964">
        <f>-10010-5384</f>
        <v>-15394</v>
      </c>
      <c r="R231" s="964">
        <f t="shared" si="3"/>
        <v>34606</v>
      </c>
      <c r="S231" s="964">
        <v>33700</v>
      </c>
      <c r="T231" s="964">
        <v>33700</v>
      </c>
      <c r="U231" s="964">
        <v>33700</v>
      </c>
      <c r="V231" s="964">
        <v>33700</v>
      </c>
    </row>
    <row r="232" spans="1:22" x14ac:dyDescent="0.25">
      <c r="A232" s="961" t="s">
        <v>6458</v>
      </c>
      <c r="B232" s="961">
        <v>2</v>
      </c>
      <c r="C232" s="961">
        <v>2</v>
      </c>
      <c r="D232" s="961" t="s">
        <v>6436</v>
      </c>
      <c r="E232" s="961" t="s">
        <v>6437</v>
      </c>
      <c r="F232" s="962">
        <v>448</v>
      </c>
      <c r="G232" s="961" t="s">
        <v>741</v>
      </c>
      <c r="H232" s="961">
        <v>1</v>
      </c>
      <c r="I232" s="963">
        <v>37601</v>
      </c>
      <c r="J232" s="961">
        <v>1</v>
      </c>
      <c r="K232" s="961">
        <v>23</v>
      </c>
      <c r="L232" s="961">
        <v>1</v>
      </c>
      <c r="M232" s="961">
        <v>1</v>
      </c>
      <c r="N232" s="961" t="s">
        <v>6438</v>
      </c>
      <c r="O232" s="961">
        <v>13</v>
      </c>
      <c r="P232" s="964">
        <v>10000</v>
      </c>
      <c r="Q232" s="964">
        <v>5384</v>
      </c>
      <c r="R232" s="964">
        <f t="shared" si="3"/>
        <v>15384</v>
      </c>
      <c r="S232" s="964">
        <v>15384.4</v>
      </c>
      <c r="T232" s="964">
        <v>15384.4</v>
      </c>
      <c r="U232" s="964">
        <v>15384.4</v>
      </c>
      <c r="V232" s="964">
        <v>15384.4</v>
      </c>
    </row>
    <row r="233" spans="1:22" x14ac:dyDescent="0.25">
      <c r="A233" s="961" t="s">
        <v>6458</v>
      </c>
      <c r="B233" s="961">
        <v>2</v>
      </c>
      <c r="C233" s="961">
        <v>2</v>
      </c>
      <c r="D233" s="961" t="s">
        <v>6436</v>
      </c>
      <c r="E233" s="961" t="s">
        <v>6437</v>
      </c>
      <c r="F233" s="962">
        <v>448</v>
      </c>
      <c r="G233" s="961" t="s">
        <v>741</v>
      </c>
      <c r="H233" s="961">
        <v>1</v>
      </c>
      <c r="I233" s="963">
        <v>37801</v>
      </c>
      <c r="J233" s="961">
        <v>1</v>
      </c>
      <c r="K233" s="961">
        <v>23</v>
      </c>
      <c r="L233" s="961">
        <v>1</v>
      </c>
      <c r="M233" s="961">
        <v>1</v>
      </c>
      <c r="N233" s="961" t="s">
        <v>6438</v>
      </c>
      <c r="O233" s="961">
        <v>13</v>
      </c>
      <c r="P233" s="964">
        <v>1000</v>
      </c>
      <c r="Q233" s="964"/>
      <c r="R233" s="964">
        <f t="shared" si="3"/>
        <v>1000</v>
      </c>
      <c r="S233" s="964"/>
      <c r="T233" s="964"/>
      <c r="U233" s="964"/>
      <c r="V233" s="964"/>
    </row>
    <row r="234" spans="1:22" x14ac:dyDescent="0.25">
      <c r="A234" s="961" t="s">
        <v>6458</v>
      </c>
      <c r="B234" s="961">
        <v>2</v>
      </c>
      <c r="C234" s="961">
        <v>2</v>
      </c>
      <c r="D234" s="961" t="s">
        <v>6436</v>
      </c>
      <c r="E234" s="961" t="s">
        <v>6437</v>
      </c>
      <c r="F234" s="962">
        <v>448</v>
      </c>
      <c r="G234" s="961" t="s">
        <v>741</v>
      </c>
      <c r="H234" s="961">
        <v>1</v>
      </c>
      <c r="I234" s="963">
        <v>37901</v>
      </c>
      <c r="J234" s="961">
        <v>1</v>
      </c>
      <c r="K234" s="961">
        <v>23</v>
      </c>
      <c r="L234" s="961">
        <v>1</v>
      </c>
      <c r="M234" s="961">
        <v>1</v>
      </c>
      <c r="N234" s="961" t="s">
        <v>6438</v>
      </c>
      <c r="O234" s="961">
        <v>13</v>
      </c>
      <c r="P234" s="964">
        <v>10000</v>
      </c>
      <c r="Q234" s="964">
        <v>-4000</v>
      </c>
      <c r="R234" s="964">
        <f t="shared" si="3"/>
        <v>6000</v>
      </c>
      <c r="S234" s="964">
        <v>5074</v>
      </c>
      <c r="T234" s="964">
        <v>5074</v>
      </c>
      <c r="U234" s="964">
        <v>5073</v>
      </c>
      <c r="V234" s="964">
        <v>5073</v>
      </c>
    </row>
    <row r="235" spans="1:22" x14ac:dyDescent="0.25">
      <c r="A235" s="961" t="s">
        <v>6458</v>
      </c>
      <c r="B235" s="961">
        <v>2</v>
      </c>
      <c r="C235" s="961">
        <v>2</v>
      </c>
      <c r="D235" s="961" t="s">
        <v>6436</v>
      </c>
      <c r="E235" s="961" t="s">
        <v>6437</v>
      </c>
      <c r="F235" s="962">
        <v>448</v>
      </c>
      <c r="G235" s="961" t="s">
        <v>741</v>
      </c>
      <c r="H235" s="961">
        <v>1</v>
      </c>
      <c r="I235" s="963">
        <v>38101</v>
      </c>
      <c r="J235" s="961">
        <v>1</v>
      </c>
      <c r="K235" s="961">
        <v>23</v>
      </c>
      <c r="L235" s="961">
        <v>1</v>
      </c>
      <c r="M235" s="961">
        <v>1</v>
      </c>
      <c r="N235" s="961" t="s">
        <v>6438</v>
      </c>
      <c r="O235" s="961">
        <v>13</v>
      </c>
      <c r="P235" s="964">
        <v>500</v>
      </c>
      <c r="Q235" s="964"/>
      <c r="R235" s="964">
        <f t="shared" si="3"/>
        <v>500</v>
      </c>
      <c r="S235" s="964"/>
      <c r="T235" s="964"/>
      <c r="U235" s="964"/>
      <c r="V235" s="964"/>
    </row>
    <row r="236" spans="1:22" x14ac:dyDescent="0.25">
      <c r="A236" s="961" t="s">
        <v>6458</v>
      </c>
      <c r="B236" s="961">
        <v>2</v>
      </c>
      <c r="C236" s="961">
        <v>2</v>
      </c>
      <c r="D236" s="961" t="s">
        <v>6436</v>
      </c>
      <c r="E236" s="961" t="s">
        <v>6437</v>
      </c>
      <c r="F236" s="962">
        <v>448</v>
      </c>
      <c r="G236" s="961" t="s">
        <v>741</v>
      </c>
      <c r="H236" s="961">
        <v>1</v>
      </c>
      <c r="I236" s="963">
        <v>38201</v>
      </c>
      <c r="J236" s="961">
        <v>1</v>
      </c>
      <c r="K236" s="961">
        <v>23</v>
      </c>
      <c r="L236" s="961">
        <v>1</v>
      </c>
      <c r="M236" s="961">
        <v>1</v>
      </c>
      <c r="N236" s="961" t="s">
        <v>6438</v>
      </c>
      <c r="O236" s="961">
        <v>13</v>
      </c>
      <c r="P236" s="964"/>
      <c r="Q236" s="964">
        <v>42732.15</v>
      </c>
      <c r="R236" s="964">
        <f t="shared" si="3"/>
        <v>42732.15</v>
      </c>
      <c r="S236" s="964">
        <v>42732.15</v>
      </c>
      <c r="T236" s="964">
        <v>42732.15</v>
      </c>
      <c r="U236" s="964">
        <v>42732.15</v>
      </c>
      <c r="V236" s="964">
        <v>42732.15</v>
      </c>
    </row>
    <row r="237" spans="1:22" x14ac:dyDescent="0.25">
      <c r="A237" s="961" t="s">
        <v>6458</v>
      </c>
      <c r="B237" s="961">
        <v>2</v>
      </c>
      <c r="C237" s="961">
        <v>2</v>
      </c>
      <c r="D237" s="961" t="s">
        <v>6436</v>
      </c>
      <c r="E237" s="961" t="s">
        <v>6437</v>
      </c>
      <c r="F237" s="962">
        <v>448</v>
      </c>
      <c r="G237" s="961" t="s">
        <v>741</v>
      </c>
      <c r="H237" s="961">
        <v>1</v>
      </c>
      <c r="I237" s="963">
        <v>59101</v>
      </c>
      <c r="J237" s="961">
        <v>2</v>
      </c>
      <c r="K237" s="961">
        <v>23</v>
      </c>
      <c r="L237" s="961">
        <v>1</v>
      </c>
      <c r="M237" s="961">
        <v>1</v>
      </c>
      <c r="N237" s="961" t="s">
        <v>6438</v>
      </c>
      <c r="O237" s="961">
        <v>13</v>
      </c>
      <c r="P237" s="964"/>
      <c r="Q237" s="964"/>
      <c r="R237" s="964">
        <f t="shared" si="3"/>
        <v>0</v>
      </c>
      <c r="S237" s="964"/>
      <c r="T237" s="964"/>
      <c r="U237" s="964"/>
      <c r="V237" s="964"/>
    </row>
    <row r="238" spans="1:22" x14ac:dyDescent="0.25">
      <c r="A238" s="961" t="s">
        <v>6458</v>
      </c>
      <c r="B238" s="961">
        <v>2</v>
      </c>
      <c r="C238" s="961">
        <v>2</v>
      </c>
      <c r="D238" s="961" t="s">
        <v>6436</v>
      </c>
      <c r="E238" s="961" t="s">
        <v>6437</v>
      </c>
      <c r="F238" s="962">
        <v>448</v>
      </c>
      <c r="G238" s="961" t="s">
        <v>741</v>
      </c>
      <c r="H238" s="961">
        <v>1</v>
      </c>
      <c r="I238" s="963" t="s">
        <v>6440</v>
      </c>
      <c r="J238" s="961">
        <v>1</v>
      </c>
      <c r="K238" s="961">
        <v>23</v>
      </c>
      <c r="L238" s="961">
        <v>1</v>
      </c>
      <c r="M238" s="961">
        <v>1</v>
      </c>
      <c r="N238" s="961" t="s">
        <v>6438</v>
      </c>
      <c r="O238" s="961">
        <v>13</v>
      </c>
      <c r="P238" s="964">
        <v>2204718.48</v>
      </c>
      <c r="Q238" s="964">
        <v>18835.400000000001</v>
      </c>
      <c r="R238" s="964">
        <f t="shared" si="3"/>
        <v>2223553.88</v>
      </c>
      <c r="S238" s="964">
        <v>2204718.48</v>
      </c>
      <c r="T238" s="964">
        <v>1735874.87</v>
      </c>
      <c r="U238" s="964">
        <v>1735874.87</v>
      </c>
      <c r="V238" s="964">
        <v>1735874.87</v>
      </c>
    </row>
    <row r="239" spans="1:22" x14ac:dyDescent="0.25">
      <c r="A239" s="961" t="s">
        <v>6458</v>
      </c>
      <c r="B239" s="961">
        <v>2</v>
      </c>
      <c r="C239" s="961">
        <v>2</v>
      </c>
      <c r="D239" s="961" t="s">
        <v>6436</v>
      </c>
      <c r="E239" s="961" t="s">
        <v>6437</v>
      </c>
      <c r="F239" s="962">
        <v>448</v>
      </c>
      <c r="G239" s="961" t="s">
        <v>741</v>
      </c>
      <c r="H239" s="961">
        <v>1</v>
      </c>
      <c r="I239" s="963" t="s">
        <v>6441</v>
      </c>
      <c r="J239" s="961">
        <v>1</v>
      </c>
      <c r="K239" s="961">
        <v>23</v>
      </c>
      <c r="L239" s="961">
        <v>1</v>
      </c>
      <c r="M239" s="961">
        <v>1</v>
      </c>
      <c r="N239" s="961" t="s">
        <v>6438</v>
      </c>
      <c r="O239" s="961">
        <v>13</v>
      </c>
      <c r="P239" s="964">
        <v>324041.15999999997</v>
      </c>
      <c r="Q239" s="964"/>
      <c r="R239" s="964">
        <f t="shared" si="3"/>
        <v>324041.15999999997</v>
      </c>
      <c r="S239" s="964">
        <v>324041.15999999997</v>
      </c>
      <c r="T239" s="964">
        <v>250304.85</v>
      </c>
      <c r="U239" s="964">
        <v>250304.85</v>
      </c>
      <c r="V239" s="964">
        <v>250304.85</v>
      </c>
    </row>
    <row r="240" spans="1:22" x14ac:dyDescent="0.25">
      <c r="A240" s="961" t="s">
        <v>6458</v>
      </c>
      <c r="B240" s="961">
        <v>2</v>
      </c>
      <c r="C240" s="961">
        <v>2</v>
      </c>
      <c r="D240" s="961" t="s">
        <v>6436</v>
      </c>
      <c r="E240" s="961" t="s">
        <v>6437</v>
      </c>
      <c r="F240" s="962">
        <v>448</v>
      </c>
      <c r="G240" s="961" t="s">
        <v>741</v>
      </c>
      <c r="H240" s="961">
        <v>1</v>
      </c>
      <c r="I240" s="963" t="s">
        <v>6442</v>
      </c>
      <c r="J240" s="961">
        <v>1</v>
      </c>
      <c r="K240" s="961">
        <v>23</v>
      </c>
      <c r="L240" s="961">
        <v>1</v>
      </c>
      <c r="M240" s="961">
        <v>1</v>
      </c>
      <c r="N240" s="961" t="s">
        <v>6438</v>
      </c>
      <c r="O240" s="961">
        <v>13</v>
      </c>
      <c r="P240" s="964">
        <v>283786.08</v>
      </c>
      <c r="Q240" s="964"/>
      <c r="R240" s="964">
        <f t="shared" si="3"/>
        <v>283786.08</v>
      </c>
      <c r="S240" s="964">
        <v>283786.08</v>
      </c>
      <c r="T240" s="964">
        <v>248092.1</v>
      </c>
      <c r="U240" s="964">
        <v>248092.1</v>
      </c>
      <c r="V240" s="964">
        <v>248092.1</v>
      </c>
    </row>
    <row r="241" spans="1:22" x14ac:dyDescent="0.25">
      <c r="A241" s="961" t="s">
        <v>6458</v>
      </c>
      <c r="B241" s="961">
        <v>2</v>
      </c>
      <c r="C241" s="961">
        <v>2</v>
      </c>
      <c r="D241" s="961" t="s">
        <v>6436</v>
      </c>
      <c r="E241" s="961" t="s">
        <v>6437</v>
      </c>
      <c r="F241" s="962">
        <v>448</v>
      </c>
      <c r="G241" s="961" t="s">
        <v>741</v>
      </c>
      <c r="H241" s="961">
        <v>1</v>
      </c>
      <c r="I241" s="963" t="s">
        <v>6443</v>
      </c>
      <c r="J241" s="961">
        <v>1</v>
      </c>
      <c r="K241" s="961">
        <v>23</v>
      </c>
      <c r="L241" s="961">
        <v>1</v>
      </c>
      <c r="M241" s="961">
        <v>1</v>
      </c>
      <c r="N241" s="961" t="s">
        <v>6438</v>
      </c>
      <c r="O241" s="961">
        <v>13</v>
      </c>
      <c r="P241" s="964">
        <v>28523.55</v>
      </c>
      <c r="Q241" s="964"/>
      <c r="R241" s="964">
        <f t="shared" si="3"/>
        <v>28523.55</v>
      </c>
      <c r="S241" s="964">
        <v>28523.55</v>
      </c>
      <c r="T241" s="964">
        <v>12448.8</v>
      </c>
      <c r="U241" s="964">
        <v>12448.8</v>
      </c>
      <c r="V241" s="964">
        <v>12448.8</v>
      </c>
    </row>
    <row r="242" spans="1:22" x14ac:dyDescent="0.25">
      <c r="A242" s="961" t="s">
        <v>6458</v>
      </c>
      <c r="B242" s="961">
        <v>2</v>
      </c>
      <c r="C242" s="961">
        <v>2</v>
      </c>
      <c r="D242" s="961" t="s">
        <v>6436</v>
      </c>
      <c r="E242" s="961" t="s">
        <v>6437</v>
      </c>
      <c r="F242" s="962">
        <v>448</v>
      </c>
      <c r="G242" s="961" t="s">
        <v>741</v>
      </c>
      <c r="H242" s="961">
        <v>1</v>
      </c>
      <c r="I242" s="963" t="s">
        <v>6444</v>
      </c>
      <c r="J242" s="961">
        <v>1</v>
      </c>
      <c r="K242" s="961">
        <v>23</v>
      </c>
      <c r="L242" s="961">
        <v>1</v>
      </c>
      <c r="M242" s="961">
        <v>1</v>
      </c>
      <c r="N242" s="961" t="s">
        <v>6438</v>
      </c>
      <c r="O242" s="961">
        <v>13</v>
      </c>
      <c r="P242" s="964">
        <v>57047.1</v>
      </c>
      <c r="Q242" s="964">
        <v>-13176.1</v>
      </c>
      <c r="R242" s="964">
        <f t="shared" si="3"/>
        <v>43871</v>
      </c>
      <c r="S242" s="964">
        <v>57047.1</v>
      </c>
      <c r="T242" s="964">
        <v>25229.599999999999</v>
      </c>
      <c r="U242" s="964">
        <v>25229.599999999999</v>
      </c>
      <c r="V242" s="964">
        <v>25229.599999999999</v>
      </c>
    </row>
    <row r="243" spans="1:22" x14ac:dyDescent="0.25">
      <c r="A243" s="961" t="s">
        <v>6458</v>
      </c>
      <c r="B243" s="961">
        <v>2</v>
      </c>
      <c r="C243" s="961">
        <v>2</v>
      </c>
      <c r="D243" s="961" t="s">
        <v>6436</v>
      </c>
      <c r="E243" s="961" t="s">
        <v>6437</v>
      </c>
      <c r="F243" s="962">
        <v>448</v>
      </c>
      <c r="G243" s="961" t="s">
        <v>741</v>
      </c>
      <c r="H243" s="961">
        <v>1</v>
      </c>
      <c r="I243" s="963" t="s">
        <v>6445</v>
      </c>
      <c r="J243" s="961">
        <v>1</v>
      </c>
      <c r="K243" s="961">
        <v>23</v>
      </c>
      <c r="L243" s="961">
        <v>1</v>
      </c>
      <c r="M243" s="961">
        <v>1</v>
      </c>
      <c r="N243" s="961" t="s">
        <v>6438</v>
      </c>
      <c r="O243" s="961">
        <v>13</v>
      </c>
      <c r="P243" s="964">
        <v>665995.92000000004</v>
      </c>
      <c r="Q243" s="964"/>
      <c r="R243" s="964">
        <f t="shared" si="3"/>
        <v>665995.92000000004</v>
      </c>
      <c r="S243" s="964">
        <v>665995.92000000004</v>
      </c>
      <c r="T243" s="964">
        <v>520089.31</v>
      </c>
      <c r="U243" s="964">
        <v>520089.31</v>
      </c>
      <c r="V243" s="964">
        <v>520089.31</v>
      </c>
    </row>
    <row r="244" spans="1:22" x14ac:dyDescent="0.25">
      <c r="A244" s="961" t="s">
        <v>6458</v>
      </c>
      <c r="B244" s="961">
        <v>2</v>
      </c>
      <c r="C244" s="961">
        <v>2</v>
      </c>
      <c r="D244" s="961" t="s">
        <v>6436</v>
      </c>
      <c r="E244" s="961" t="s">
        <v>6437</v>
      </c>
      <c r="F244" s="962">
        <v>448</v>
      </c>
      <c r="G244" s="961" t="s">
        <v>741</v>
      </c>
      <c r="H244" s="961">
        <v>1</v>
      </c>
      <c r="I244" s="963" t="s">
        <v>6446</v>
      </c>
      <c r="J244" s="961">
        <v>1</v>
      </c>
      <c r="K244" s="961">
        <v>23</v>
      </c>
      <c r="L244" s="961">
        <v>1</v>
      </c>
      <c r="M244" s="961">
        <v>1</v>
      </c>
      <c r="N244" s="961" t="s">
        <v>6438</v>
      </c>
      <c r="O244" s="961">
        <v>13</v>
      </c>
      <c r="P244" s="964">
        <v>1508046.48</v>
      </c>
      <c r="Q244" s="964"/>
      <c r="R244" s="964">
        <f t="shared" si="3"/>
        <v>1508046.48</v>
      </c>
      <c r="S244" s="964">
        <v>1508046.48</v>
      </c>
      <c r="T244" s="964">
        <v>1179986.97</v>
      </c>
      <c r="U244" s="964">
        <v>1179986.97</v>
      </c>
      <c r="V244" s="964">
        <v>1179986.97</v>
      </c>
    </row>
    <row r="245" spans="1:22" x14ac:dyDescent="0.25">
      <c r="A245" s="961" t="s">
        <v>6458</v>
      </c>
      <c r="B245" s="961">
        <v>2</v>
      </c>
      <c r="C245" s="961">
        <v>2</v>
      </c>
      <c r="D245" s="961" t="s">
        <v>6436</v>
      </c>
      <c r="E245" s="961" t="s">
        <v>6437</v>
      </c>
      <c r="F245" s="962">
        <v>448</v>
      </c>
      <c r="G245" s="961" t="s">
        <v>741</v>
      </c>
      <c r="H245" s="961">
        <v>1</v>
      </c>
      <c r="I245" s="963" t="s">
        <v>6447</v>
      </c>
      <c r="J245" s="961">
        <v>1</v>
      </c>
      <c r="K245" s="961">
        <v>23</v>
      </c>
      <c r="L245" s="961">
        <v>1</v>
      </c>
      <c r="M245" s="961">
        <v>1</v>
      </c>
      <c r="N245" s="961" t="s">
        <v>6438</v>
      </c>
      <c r="O245" s="961">
        <v>13</v>
      </c>
      <c r="P245" s="964">
        <v>2904</v>
      </c>
      <c r="Q245" s="964"/>
      <c r="R245" s="964">
        <f t="shared" si="3"/>
        <v>2904</v>
      </c>
      <c r="S245" s="964">
        <v>2904</v>
      </c>
      <c r="T245" s="964">
        <v>2299</v>
      </c>
      <c r="U245" s="964">
        <v>2299</v>
      </c>
      <c r="V245" s="964">
        <v>2299</v>
      </c>
    </row>
    <row r="246" spans="1:22" x14ac:dyDescent="0.25">
      <c r="A246" s="961" t="s">
        <v>6458</v>
      </c>
      <c r="B246" s="961">
        <v>2</v>
      </c>
      <c r="C246" s="961">
        <v>2</v>
      </c>
      <c r="D246" s="961" t="s">
        <v>6436</v>
      </c>
      <c r="E246" s="961" t="s">
        <v>6437</v>
      </c>
      <c r="F246" s="962">
        <v>448</v>
      </c>
      <c r="G246" s="961" t="s">
        <v>741</v>
      </c>
      <c r="H246" s="961">
        <v>1</v>
      </c>
      <c r="I246" s="963" t="s">
        <v>6448</v>
      </c>
      <c r="J246" s="961">
        <v>1</v>
      </c>
      <c r="K246" s="961">
        <v>23</v>
      </c>
      <c r="L246" s="961">
        <v>1</v>
      </c>
      <c r="M246" s="961">
        <v>1</v>
      </c>
      <c r="N246" s="961" t="s">
        <v>6438</v>
      </c>
      <c r="O246" s="961">
        <v>13</v>
      </c>
      <c r="P246" s="964">
        <v>648</v>
      </c>
      <c r="Q246" s="964"/>
      <c r="R246" s="964">
        <f t="shared" si="3"/>
        <v>648</v>
      </c>
      <c r="S246" s="964">
        <v>648</v>
      </c>
      <c r="T246" s="964">
        <v>162</v>
      </c>
      <c r="U246" s="964">
        <v>162</v>
      </c>
      <c r="V246" s="964">
        <v>162</v>
      </c>
    </row>
    <row r="247" spans="1:22" x14ac:dyDescent="0.25">
      <c r="A247" s="961" t="s">
        <v>6458</v>
      </c>
      <c r="B247" s="961">
        <v>2</v>
      </c>
      <c r="C247" s="961">
        <v>2</v>
      </c>
      <c r="D247" s="961" t="s">
        <v>6436</v>
      </c>
      <c r="E247" s="961" t="s">
        <v>6437</v>
      </c>
      <c r="F247" s="962">
        <v>448</v>
      </c>
      <c r="G247" s="961" t="s">
        <v>741</v>
      </c>
      <c r="H247" s="961">
        <v>1</v>
      </c>
      <c r="I247" s="963" t="s">
        <v>6449</v>
      </c>
      <c r="J247" s="961">
        <v>1</v>
      </c>
      <c r="K247" s="961">
        <v>23</v>
      </c>
      <c r="L247" s="961">
        <v>1</v>
      </c>
      <c r="M247" s="961">
        <v>1</v>
      </c>
      <c r="N247" s="961" t="s">
        <v>6438</v>
      </c>
      <c r="O247" s="961">
        <v>13</v>
      </c>
      <c r="P247" s="964">
        <v>9540.24</v>
      </c>
      <c r="Q247" s="964"/>
      <c r="R247" s="964">
        <f t="shared" si="3"/>
        <v>9540.24</v>
      </c>
      <c r="S247" s="964">
        <v>9540.24</v>
      </c>
      <c r="T247" s="964">
        <v>3899.32</v>
      </c>
      <c r="U247" s="964">
        <v>3899.32</v>
      </c>
      <c r="V247" s="964">
        <v>3899.32</v>
      </c>
    </row>
    <row r="248" spans="1:22" x14ac:dyDescent="0.25">
      <c r="A248" s="961" t="s">
        <v>6458</v>
      </c>
      <c r="B248" s="961">
        <v>2</v>
      </c>
      <c r="C248" s="961">
        <v>2</v>
      </c>
      <c r="D248" s="961" t="s">
        <v>6436</v>
      </c>
      <c r="E248" s="961" t="s">
        <v>6437</v>
      </c>
      <c r="F248" s="962">
        <v>448</v>
      </c>
      <c r="G248" s="961" t="s">
        <v>741</v>
      </c>
      <c r="H248" s="961">
        <v>1</v>
      </c>
      <c r="I248" s="963">
        <v>15404</v>
      </c>
      <c r="J248" s="961">
        <v>1</v>
      </c>
      <c r="K248" s="961">
        <v>23</v>
      </c>
      <c r="L248" s="961">
        <v>1</v>
      </c>
      <c r="M248" s="961">
        <v>1</v>
      </c>
      <c r="N248" s="961" t="s">
        <v>6438</v>
      </c>
      <c r="O248" s="961">
        <v>13</v>
      </c>
      <c r="P248" s="964">
        <v>57657.120000000003</v>
      </c>
      <c r="Q248" s="964">
        <v>-39161.15</v>
      </c>
      <c r="R248" s="964">
        <f t="shared" si="3"/>
        <v>18495.97</v>
      </c>
      <c r="S248" s="964">
        <v>57657.120000000003</v>
      </c>
      <c r="T248" s="964">
        <v>35984.699999999997</v>
      </c>
      <c r="U248" s="964">
        <v>35984.699999999997</v>
      </c>
      <c r="V248" s="964">
        <v>35984.699999999997</v>
      </c>
    </row>
    <row r="249" spans="1:22" x14ac:dyDescent="0.25">
      <c r="A249" s="961" t="s">
        <v>6458</v>
      </c>
      <c r="B249" s="961">
        <v>2</v>
      </c>
      <c r="C249" s="961">
        <v>2</v>
      </c>
      <c r="D249" s="961" t="s">
        <v>6436</v>
      </c>
      <c r="E249" s="961" t="s">
        <v>6437</v>
      </c>
      <c r="F249" s="962">
        <v>448</v>
      </c>
      <c r="G249" s="961" t="s">
        <v>741</v>
      </c>
      <c r="H249" s="961">
        <v>1</v>
      </c>
      <c r="I249" s="963">
        <v>15409</v>
      </c>
      <c r="J249" s="961">
        <v>1</v>
      </c>
      <c r="K249" s="961">
        <v>23</v>
      </c>
      <c r="L249" s="961">
        <v>1</v>
      </c>
      <c r="M249" s="961">
        <v>1</v>
      </c>
      <c r="N249" s="961" t="s">
        <v>6438</v>
      </c>
      <c r="O249" s="961">
        <v>13</v>
      </c>
      <c r="P249" s="964">
        <v>125760</v>
      </c>
      <c r="Q249" s="964">
        <v>-87027.7</v>
      </c>
      <c r="R249" s="964">
        <f t="shared" si="3"/>
        <v>38732.300000000003</v>
      </c>
      <c r="S249" s="964">
        <v>125760</v>
      </c>
      <c r="T249" s="964">
        <v>78600</v>
      </c>
      <c r="U249" s="964">
        <v>78599</v>
      </c>
      <c r="V249" s="964">
        <v>78599</v>
      </c>
    </row>
    <row r="250" spans="1:22" x14ac:dyDescent="0.25">
      <c r="A250" s="961" t="s">
        <v>6458</v>
      </c>
      <c r="B250" s="961">
        <v>2</v>
      </c>
      <c r="C250" s="961">
        <v>2</v>
      </c>
      <c r="D250" s="961" t="s">
        <v>6436</v>
      </c>
      <c r="E250" s="961" t="s">
        <v>6437</v>
      </c>
      <c r="F250" s="962">
        <v>448</v>
      </c>
      <c r="G250" s="961" t="s">
        <v>741</v>
      </c>
      <c r="H250" s="961">
        <v>1</v>
      </c>
      <c r="I250" s="963">
        <v>15413</v>
      </c>
      <c r="J250" s="961">
        <v>1</v>
      </c>
      <c r="K250" s="961">
        <v>23</v>
      </c>
      <c r="L250" s="961">
        <v>1</v>
      </c>
      <c r="M250" s="961">
        <v>1</v>
      </c>
      <c r="N250" s="961" t="s">
        <v>6438</v>
      </c>
      <c r="O250" s="961">
        <v>13</v>
      </c>
      <c r="P250" s="964">
        <v>17340</v>
      </c>
      <c r="Q250" s="964">
        <v>-5420</v>
      </c>
      <c r="R250" s="964">
        <f t="shared" si="3"/>
        <v>11920</v>
      </c>
      <c r="S250" s="964">
        <v>17340</v>
      </c>
      <c r="T250" s="964">
        <v>10430</v>
      </c>
      <c r="U250" s="964">
        <v>10430</v>
      </c>
      <c r="V250" s="964">
        <v>10430</v>
      </c>
    </row>
    <row r="251" spans="1:22" x14ac:dyDescent="0.25">
      <c r="A251" s="961" t="s">
        <v>6458</v>
      </c>
      <c r="B251" s="961">
        <v>2</v>
      </c>
      <c r="C251" s="961">
        <v>2</v>
      </c>
      <c r="D251" s="961" t="s">
        <v>6436</v>
      </c>
      <c r="E251" s="961" t="s">
        <v>6437</v>
      </c>
      <c r="F251" s="962">
        <v>448</v>
      </c>
      <c r="G251" s="961" t="s">
        <v>741</v>
      </c>
      <c r="H251" s="961">
        <v>1</v>
      </c>
      <c r="I251" s="963">
        <v>15416</v>
      </c>
      <c r="J251" s="961">
        <v>1</v>
      </c>
      <c r="K251" s="961">
        <v>23</v>
      </c>
      <c r="L251" s="961">
        <v>1</v>
      </c>
      <c r="M251" s="961">
        <v>1</v>
      </c>
      <c r="N251" s="961" t="s">
        <v>6438</v>
      </c>
      <c r="O251" s="961">
        <v>13</v>
      </c>
      <c r="P251" s="964">
        <v>11400</v>
      </c>
      <c r="Q251" s="964">
        <v>-5225</v>
      </c>
      <c r="R251" s="964">
        <f t="shared" si="3"/>
        <v>6175</v>
      </c>
      <c r="S251" s="964">
        <v>11400</v>
      </c>
      <c r="T251" s="964">
        <v>5800</v>
      </c>
      <c r="U251" s="964">
        <v>5800</v>
      </c>
      <c r="V251" s="964">
        <v>5800</v>
      </c>
    </row>
    <row r="252" spans="1:22" x14ac:dyDescent="0.25">
      <c r="A252" s="961" t="s">
        <v>6458</v>
      </c>
      <c r="B252" s="961">
        <v>2</v>
      </c>
      <c r="C252" s="961">
        <v>2</v>
      </c>
      <c r="D252" s="961" t="s">
        <v>6436</v>
      </c>
      <c r="E252" s="961" t="s">
        <v>6437</v>
      </c>
      <c r="F252" s="962">
        <v>448</v>
      </c>
      <c r="G252" s="961" t="s">
        <v>741</v>
      </c>
      <c r="H252" s="961">
        <v>1</v>
      </c>
      <c r="I252" s="963">
        <v>15417</v>
      </c>
      <c r="J252" s="961">
        <v>1</v>
      </c>
      <c r="K252" s="961">
        <v>23</v>
      </c>
      <c r="L252" s="961">
        <v>1</v>
      </c>
      <c r="M252" s="961">
        <v>1</v>
      </c>
      <c r="N252" s="961" t="s">
        <v>6438</v>
      </c>
      <c r="O252" s="961">
        <v>13</v>
      </c>
      <c r="P252" s="964">
        <v>70176</v>
      </c>
      <c r="Q252" s="964"/>
      <c r="R252" s="964">
        <f t="shared" si="3"/>
        <v>70176</v>
      </c>
      <c r="S252" s="964">
        <v>70176</v>
      </c>
      <c r="T252" s="964">
        <v>45960</v>
      </c>
      <c r="U252" s="964">
        <v>45960</v>
      </c>
      <c r="V252" s="964">
        <v>45960</v>
      </c>
    </row>
    <row r="253" spans="1:22" x14ac:dyDescent="0.25">
      <c r="A253" s="961" t="s">
        <v>6458</v>
      </c>
      <c r="B253" s="961">
        <v>2</v>
      </c>
      <c r="C253" s="961">
        <v>2</v>
      </c>
      <c r="D253" s="961" t="s">
        <v>6436</v>
      </c>
      <c r="E253" s="961" t="s">
        <v>6437</v>
      </c>
      <c r="F253" s="962">
        <v>448</v>
      </c>
      <c r="G253" s="961" t="s">
        <v>741</v>
      </c>
      <c r="H253" s="961">
        <v>1</v>
      </c>
      <c r="I253" s="963">
        <v>15418</v>
      </c>
      <c r="J253" s="961">
        <v>1</v>
      </c>
      <c r="K253" s="961">
        <v>23</v>
      </c>
      <c r="L253" s="961">
        <v>1</v>
      </c>
      <c r="M253" s="961">
        <v>1</v>
      </c>
      <c r="N253" s="961" t="s">
        <v>6438</v>
      </c>
      <c r="O253" s="961">
        <v>13</v>
      </c>
      <c r="P253" s="964">
        <v>34594.29</v>
      </c>
      <c r="Q253" s="964"/>
      <c r="R253" s="964">
        <f t="shared" si="3"/>
        <v>34594.29</v>
      </c>
      <c r="S253" s="964">
        <v>34594.29</v>
      </c>
      <c r="T253" s="964">
        <v>21590.83</v>
      </c>
      <c r="U253" s="964">
        <v>21590.83</v>
      </c>
      <c r="V253" s="964">
        <v>21590.83</v>
      </c>
    </row>
    <row r="254" spans="1:22" x14ac:dyDescent="0.25">
      <c r="A254" s="961" t="s">
        <v>6458</v>
      </c>
      <c r="B254" s="961">
        <v>2</v>
      </c>
      <c r="C254" s="961">
        <v>2</v>
      </c>
      <c r="D254" s="961" t="s">
        <v>6436</v>
      </c>
      <c r="E254" s="961" t="s">
        <v>6437</v>
      </c>
      <c r="F254" s="962">
        <v>448</v>
      </c>
      <c r="G254" s="961" t="s">
        <v>741</v>
      </c>
      <c r="H254" s="961">
        <v>1</v>
      </c>
      <c r="I254" s="963" t="s">
        <v>6450</v>
      </c>
      <c r="J254" s="961">
        <v>1</v>
      </c>
      <c r="K254" s="961">
        <v>23</v>
      </c>
      <c r="L254" s="961">
        <v>1</v>
      </c>
      <c r="M254" s="961">
        <v>1</v>
      </c>
      <c r="N254" s="961" t="s">
        <v>6438</v>
      </c>
      <c r="O254" s="961">
        <v>13</v>
      </c>
      <c r="P254" s="964">
        <v>77568</v>
      </c>
      <c r="Q254" s="964"/>
      <c r="R254" s="964">
        <f t="shared" si="3"/>
        <v>77568</v>
      </c>
      <c r="S254" s="964">
        <v>77568</v>
      </c>
      <c r="T254" s="964">
        <v>50580</v>
      </c>
      <c r="U254" s="964">
        <v>50580</v>
      </c>
      <c r="V254" s="964">
        <v>50580</v>
      </c>
    </row>
    <row r="255" spans="1:22" x14ac:dyDescent="0.25">
      <c r="A255" s="961" t="s">
        <v>6458</v>
      </c>
      <c r="B255" s="961">
        <v>2</v>
      </c>
      <c r="C255" s="961">
        <v>2</v>
      </c>
      <c r="D255" s="961" t="s">
        <v>6436</v>
      </c>
      <c r="E255" s="961" t="s">
        <v>6437</v>
      </c>
      <c r="F255" s="962">
        <v>448</v>
      </c>
      <c r="G255" s="961" t="s">
        <v>741</v>
      </c>
      <c r="H255" s="961">
        <v>1</v>
      </c>
      <c r="I255" s="963">
        <v>15421</v>
      </c>
      <c r="J255" s="961">
        <v>1</v>
      </c>
      <c r="K255" s="961">
        <v>23</v>
      </c>
      <c r="L255" s="961">
        <v>1</v>
      </c>
      <c r="M255" s="961">
        <v>1</v>
      </c>
      <c r="N255" s="961" t="s">
        <v>6438</v>
      </c>
      <c r="O255" s="961">
        <v>13</v>
      </c>
      <c r="P255" s="964">
        <v>6250</v>
      </c>
      <c r="Q255" s="964"/>
      <c r="R255" s="964">
        <f t="shared" si="3"/>
        <v>6250</v>
      </c>
      <c r="S255" s="964">
        <v>6250</v>
      </c>
      <c r="T255" s="964">
        <v>2560</v>
      </c>
      <c r="U255" s="964">
        <v>2560</v>
      </c>
      <c r="V255" s="964">
        <v>2560</v>
      </c>
    </row>
    <row r="256" spans="1:22" x14ac:dyDescent="0.25">
      <c r="A256" s="961" t="s">
        <v>6458</v>
      </c>
      <c r="B256" s="961">
        <v>2</v>
      </c>
      <c r="C256" s="961">
        <v>2</v>
      </c>
      <c r="D256" s="961" t="s">
        <v>6436</v>
      </c>
      <c r="E256" s="961" t="s">
        <v>6437</v>
      </c>
      <c r="F256" s="962">
        <v>448</v>
      </c>
      <c r="G256" s="961" t="s">
        <v>741</v>
      </c>
      <c r="H256" s="961">
        <v>1</v>
      </c>
      <c r="I256" s="963">
        <v>15423</v>
      </c>
      <c r="J256" s="961">
        <v>1</v>
      </c>
      <c r="K256" s="961">
        <v>23</v>
      </c>
      <c r="L256" s="961">
        <v>1</v>
      </c>
      <c r="M256" s="961">
        <v>1</v>
      </c>
      <c r="N256" s="961" t="s">
        <v>6438</v>
      </c>
      <c r="O256" s="961">
        <v>13</v>
      </c>
      <c r="P256" s="964">
        <v>5040</v>
      </c>
      <c r="Q256" s="964"/>
      <c r="R256" s="964">
        <f t="shared" si="3"/>
        <v>5040</v>
      </c>
      <c r="S256" s="964">
        <v>5040</v>
      </c>
      <c r="T256" s="964">
        <v>3650</v>
      </c>
      <c r="U256" s="964">
        <v>3650</v>
      </c>
      <c r="V256" s="964">
        <v>3650</v>
      </c>
    </row>
    <row r="257" spans="1:22" x14ac:dyDescent="0.25">
      <c r="A257" s="961" t="s">
        <v>6458</v>
      </c>
      <c r="B257" s="961">
        <v>2</v>
      </c>
      <c r="C257" s="961">
        <v>2</v>
      </c>
      <c r="D257" s="961" t="s">
        <v>6436</v>
      </c>
      <c r="E257" s="961" t="s">
        <v>6437</v>
      </c>
      <c r="F257" s="962">
        <v>448</v>
      </c>
      <c r="G257" s="961" t="s">
        <v>741</v>
      </c>
      <c r="H257" s="961">
        <v>1</v>
      </c>
      <c r="I257" s="963">
        <v>15424</v>
      </c>
      <c r="J257" s="961">
        <v>1</v>
      </c>
      <c r="K257" s="961">
        <v>23</v>
      </c>
      <c r="L257" s="961">
        <v>1</v>
      </c>
      <c r="M257" s="961">
        <v>1</v>
      </c>
      <c r="N257" s="961" t="s">
        <v>6438</v>
      </c>
      <c r="O257" s="961">
        <v>13</v>
      </c>
      <c r="P257" s="964">
        <v>5400</v>
      </c>
      <c r="Q257" s="964"/>
      <c r="R257" s="964">
        <f t="shared" si="3"/>
        <v>5400</v>
      </c>
      <c r="S257" s="964">
        <v>5400</v>
      </c>
      <c r="T257" s="964">
        <v>2850</v>
      </c>
      <c r="U257" s="964">
        <v>2850</v>
      </c>
      <c r="V257" s="964">
        <v>2850</v>
      </c>
    </row>
    <row r="258" spans="1:22" x14ac:dyDescent="0.25">
      <c r="A258" s="961" t="s">
        <v>6458</v>
      </c>
      <c r="B258" s="961">
        <v>2</v>
      </c>
      <c r="C258" s="961">
        <v>2</v>
      </c>
      <c r="D258" s="961" t="s">
        <v>6436</v>
      </c>
      <c r="E258" s="961" t="s">
        <v>6437</v>
      </c>
      <c r="F258" s="962">
        <v>448</v>
      </c>
      <c r="G258" s="961" t="s">
        <v>741</v>
      </c>
      <c r="H258" s="961">
        <v>1</v>
      </c>
      <c r="I258" s="963">
        <v>15425</v>
      </c>
      <c r="J258" s="961">
        <v>1</v>
      </c>
      <c r="K258" s="961">
        <v>23</v>
      </c>
      <c r="L258" s="961">
        <v>1</v>
      </c>
      <c r="M258" s="961">
        <v>1</v>
      </c>
      <c r="N258" s="961" t="s">
        <v>6438</v>
      </c>
      <c r="O258" s="961">
        <v>13</v>
      </c>
      <c r="P258" s="964">
        <v>35028</v>
      </c>
      <c r="Q258" s="964"/>
      <c r="R258" s="964">
        <f t="shared" si="3"/>
        <v>35028</v>
      </c>
      <c r="S258" s="964">
        <v>35028</v>
      </c>
      <c r="T258" s="964">
        <v>28620</v>
      </c>
      <c r="U258" s="964">
        <v>28620</v>
      </c>
      <c r="V258" s="964">
        <v>28620</v>
      </c>
    </row>
    <row r="259" spans="1:22" x14ac:dyDescent="0.25">
      <c r="A259" s="961" t="s">
        <v>6458</v>
      </c>
      <c r="B259" s="961">
        <v>2</v>
      </c>
      <c r="C259" s="961">
        <v>2</v>
      </c>
      <c r="D259" s="961" t="s">
        <v>6436</v>
      </c>
      <c r="E259" s="961" t="s">
        <v>6437</v>
      </c>
      <c r="F259" s="962">
        <v>448</v>
      </c>
      <c r="G259" s="961" t="s">
        <v>741</v>
      </c>
      <c r="H259" s="961">
        <v>1</v>
      </c>
      <c r="I259" s="963">
        <v>15427</v>
      </c>
      <c r="J259" s="961">
        <v>1</v>
      </c>
      <c r="K259" s="961">
        <v>23</v>
      </c>
      <c r="L259" s="961">
        <v>1</v>
      </c>
      <c r="M259" s="961">
        <v>1</v>
      </c>
      <c r="N259" s="961" t="s">
        <v>6438</v>
      </c>
      <c r="O259" s="961">
        <v>13</v>
      </c>
      <c r="P259" s="964">
        <v>14400</v>
      </c>
      <c r="Q259" s="964">
        <v>-11439.2</v>
      </c>
      <c r="R259" s="964">
        <f t="shared" si="3"/>
        <v>2960.7999999999993</v>
      </c>
      <c r="S259" s="964">
        <v>14400</v>
      </c>
      <c r="T259" s="964">
        <v>9000</v>
      </c>
      <c r="U259" s="964">
        <v>9000</v>
      </c>
      <c r="V259" s="964">
        <v>9000</v>
      </c>
    </row>
    <row r="260" spans="1:22" x14ac:dyDescent="0.25">
      <c r="A260" s="961" t="s">
        <v>6458</v>
      </c>
      <c r="B260" s="961">
        <v>2</v>
      </c>
      <c r="C260" s="961">
        <v>2</v>
      </c>
      <c r="D260" s="961" t="s">
        <v>6436</v>
      </c>
      <c r="E260" s="961" t="s">
        <v>6437</v>
      </c>
      <c r="F260" s="962">
        <v>448</v>
      </c>
      <c r="G260" s="961" t="s">
        <v>741</v>
      </c>
      <c r="H260" s="961">
        <v>1</v>
      </c>
      <c r="I260" s="963">
        <v>15430</v>
      </c>
      <c r="J260" s="961">
        <v>1</v>
      </c>
      <c r="K260" s="961">
        <v>23</v>
      </c>
      <c r="L260" s="961">
        <v>1</v>
      </c>
      <c r="M260" s="961">
        <v>1</v>
      </c>
      <c r="N260" s="961" t="s">
        <v>6438</v>
      </c>
      <c r="O260" s="961">
        <v>13</v>
      </c>
      <c r="P260" s="964">
        <v>6000</v>
      </c>
      <c r="Q260" s="964"/>
      <c r="R260" s="964">
        <f t="shared" si="3"/>
        <v>6000</v>
      </c>
      <c r="S260" s="964">
        <v>6000</v>
      </c>
      <c r="T260" s="964">
        <v>4000</v>
      </c>
      <c r="U260" s="964">
        <v>4000</v>
      </c>
      <c r="V260" s="964">
        <v>4000</v>
      </c>
    </row>
    <row r="261" spans="1:22" x14ac:dyDescent="0.25">
      <c r="A261" s="961" t="s">
        <v>6458</v>
      </c>
      <c r="B261" s="961">
        <v>2</v>
      </c>
      <c r="C261" s="961">
        <v>2</v>
      </c>
      <c r="D261" s="961" t="s">
        <v>6436</v>
      </c>
      <c r="E261" s="961" t="s">
        <v>6437</v>
      </c>
      <c r="F261" s="962">
        <v>448</v>
      </c>
      <c r="G261" s="961" t="s">
        <v>741</v>
      </c>
      <c r="H261" s="961">
        <v>1</v>
      </c>
      <c r="I261" s="963" t="s">
        <v>6451</v>
      </c>
      <c r="J261" s="961">
        <v>1</v>
      </c>
      <c r="K261" s="961">
        <v>23</v>
      </c>
      <c r="L261" s="961">
        <v>1</v>
      </c>
      <c r="M261" s="961">
        <v>1</v>
      </c>
      <c r="N261" s="961" t="s">
        <v>6438</v>
      </c>
      <c r="O261" s="961">
        <v>13</v>
      </c>
      <c r="P261" s="964">
        <v>721989.94666666701</v>
      </c>
      <c r="Q261" s="964"/>
      <c r="R261" s="964">
        <f t="shared" si="3"/>
        <v>721989.94666666701</v>
      </c>
      <c r="S261" s="964">
        <v>721989.94666666701</v>
      </c>
      <c r="T261" s="964">
        <v>590109.52</v>
      </c>
      <c r="U261" s="964">
        <v>555936.47</v>
      </c>
      <c r="V261" s="964">
        <v>555936.47</v>
      </c>
    </row>
    <row r="262" spans="1:22" x14ac:dyDescent="0.25">
      <c r="A262" s="961" t="s">
        <v>6458</v>
      </c>
      <c r="B262" s="961">
        <v>2</v>
      </c>
      <c r="C262" s="961">
        <v>2</v>
      </c>
      <c r="D262" s="961" t="s">
        <v>6436</v>
      </c>
      <c r="E262" s="961" t="s">
        <v>6437</v>
      </c>
      <c r="F262" s="962">
        <v>448</v>
      </c>
      <c r="G262" s="961" t="s">
        <v>741</v>
      </c>
      <c r="H262" s="961">
        <v>1</v>
      </c>
      <c r="I262" s="963" t="s">
        <v>6454</v>
      </c>
      <c r="J262" s="961">
        <v>1</v>
      </c>
      <c r="K262" s="961">
        <v>23</v>
      </c>
      <c r="L262" s="961">
        <v>1</v>
      </c>
      <c r="M262" s="961">
        <v>1</v>
      </c>
      <c r="N262" s="961" t="s">
        <v>6438</v>
      </c>
      <c r="O262" s="961">
        <v>13</v>
      </c>
      <c r="P262" s="964">
        <v>220856.4</v>
      </c>
      <c r="Q262" s="964"/>
      <c r="R262" s="964">
        <f t="shared" si="3"/>
        <v>220856.4</v>
      </c>
      <c r="S262" s="964">
        <v>220856.4</v>
      </c>
      <c r="T262" s="964">
        <v>198000</v>
      </c>
      <c r="U262" s="964">
        <v>198000</v>
      </c>
      <c r="V262" s="964">
        <v>198000</v>
      </c>
    </row>
    <row r="263" spans="1:22" x14ac:dyDescent="0.25">
      <c r="A263" s="961" t="s">
        <v>6458</v>
      </c>
      <c r="B263" s="961">
        <v>2</v>
      </c>
      <c r="C263" s="961">
        <v>2</v>
      </c>
      <c r="D263" s="961" t="s">
        <v>6436</v>
      </c>
      <c r="E263" s="961" t="s">
        <v>6437</v>
      </c>
      <c r="F263" s="962">
        <v>448</v>
      </c>
      <c r="G263" s="961" t="s">
        <v>741</v>
      </c>
      <c r="H263" s="961">
        <v>1</v>
      </c>
      <c r="I263" s="963" t="s">
        <v>6457</v>
      </c>
      <c r="J263" s="961">
        <v>1</v>
      </c>
      <c r="K263" s="961">
        <v>23</v>
      </c>
      <c r="L263" s="961">
        <v>1</v>
      </c>
      <c r="M263" s="961">
        <v>1</v>
      </c>
      <c r="N263" s="961" t="s">
        <v>6438</v>
      </c>
      <c r="O263" s="961">
        <v>13</v>
      </c>
      <c r="P263" s="964">
        <v>28160</v>
      </c>
      <c r="Q263" s="964">
        <v>-26164.52</v>
      </c>
      <c r="R263" s="964">
        <f t="shared" si="3"/>
        <v>1995.4799999999996</v>
      </c>
      <c r="S263" s="964">
        <v>28160</v>
      </c>
      <c r="T263" s="964">
        <v>16720</v>
      </c>
      <c r="U263" s="964">
        <v>16720</v>
      </c>
      <c r="V263" s="964">
        <v>16720</v>
      </c>
    </row>
    <row r="264" spans="1:22" x14ac:dyDescent="0.25">
      <c r="A264" s="961" t="s">
        <v>6458</v>
      </c>
      <c r="B264" s="961">
        <v>2</v>
      </c>
      <c r="C264" s="961">
        <v>2</v>
      </c>
      <c r="D264" s="961" t="s">
        <v>6436</v>
      </c>
      <c r="E264" s="961" t="s">
        <v>6437</v>
      </c>
      <c r="F264" s="962">
        <v>448</v>
      </c>
      <c r="G264" s="961" t="s">
        <v>741</v>
      </c>
      <c r="H264" s="961">
        <v>1</v>
      </c>
      <c r="I264" s="963">
        <v>17105</v>
      </c>
      <c r="J264" s="961">
        <v>1</v>
      </c>
      <c r="K264" s="961">
        <v>23</v>
      </c>
      <c r="L264" s="961">
        <v>1</v>
      </c>
      <c r="M264" s="961">
        <v>1</v>
      </c>
      <c r="N264" s="961" t="s">
        <v>6438</v>
      </c>
      <c r="O264" s="961">
        <v>13</v>
      </c>
      <c r="P264" s="964"/>
      <c r="Q264" s="964"/>
      <c r="R264" s="964">
        <f t="shared" si="3"/>
        <v>0</v>
      </c>
      <c r="S264" s="964">
        <v>9224.7999999999993</v>
      </c>
      <c r="T264" s="964">
        <v>9224.7999999999993</v>
      </c>
      <c r="U264" s="964">
        <v>9224.7999999999993</v>
      </c>
      <c r="V264" s="964">
        <v>9224.7999999999993</v>
      </c>
    </row>
    <row r="265" spans="1:22" x14ac:dyDescent="0.25">
      <c r="A265" s="961" t="s">
        <v>6458</v>
      </c>
      <c r="B265" s="961">
        <v>2</v>
      </c>
      <c r="C265" s="961">
        <v>2</v>
      </c>
      <c r="D265" s="961" t="s">
        <v>6436</v>
      </c>
      <c r="E265" s="961" t="s">
        <v>6437</v>
      </c>
      <c r="F265" s="962">
        <v>448</v>
      </c>
      <c r="G265" s="961" t="s">
        <v>741</v>
      </c>
      <c r="H265" s="961">
        <v>1</v>
      </c>
      <c r="I265" s="963">
        <v>99101</v>
      </c>
      <c r="J265" s="961">
        <v>1</v>
      </c>
      <c r="K265" s="961">
        <v>23</v>
      </c>
      <c r="L265" s="961">
        <v>1</v>
      </c>
      <c r="M265" s="961">
        <v>1</v>
      </c>
      <c r="N265" s="961" t="s">
        <v>6438</v>
      </c>
      <c r="O265" s="961">
        <v>13</v>
      </c>
      <c r="P265" s="964"/>
      <c r="Q265" s="964"/>
      <c r="R265" s="964">
        <f t="shared" si="3"/>
        <v>0</v>
      </c>
      <c r="S265" s="964"/>
      <c r="T265" s="964"/>
      <c r="U265" s="964"/>
      <c r="V265" s="964"/>
    </row>
    <row r="266" spans="1:22" x14ac:dyDescent="0.25">
      <c r="A266" s="961" t="s">
        <v>6458</v>
      </c>
      <c r="B266" s="961">
        <v>2</v>
      </c>
      <c r="C266" s="961">
        <v>2</v>
      </c>
      <c r="D266" s="961" t="s">
        <v>6436</v>
      </c>
      <c r="E266" s="961" t="s">
        <v>6437</v>
      </c>
      <c r="F266" s="962">
        <v>448</v>
      </c>
      <c r="G266" s="961" t="s">
        <v>741</v>
      </c>
      <c r="H266" s="961">
        <v>1</v>
      </c>
      <c r="I266" s="963">
        <v>61305</v>
      </c>
      <c r="J266" s="961">
        <v>2</v>
      </c>
      <c r="K266" s="961">
        <v>23</v>
      </c>
      <c r="L266" s="961">
        <v>1</v>
      </c>
      <c r="M266" s="961">
        <v>1</v>
      </c>
      <c r="N266" s="961" t="s">
        <v>6438</v>
      </c>
      <c r="O266" s="961">
        <v>13</v>
      </c>
      <c r="P266" s="964">
        <v>500000</v>
      </c>
      <c r="Q266" s="964">
        <v>2625022.19</v>
      </c>
      <c r="R266" s="964">
        <f t="shared" si="3"/>
        <v>3125022.19</v>
      </c>
      <c r="S266" s="964">
        <v>1978635.49</v>
      </c>
      <c r="T266" s="964">
        <f>2057151.49-78516</f>
        <v>1978635.49</v>
      </c>
      <c r="U266" s="964">
        <v>1978635.49</v>
      </c>
      <c r="V266" s="964">
        <v>1978635.49</v>
      </c>
    </row>
    <row r="267" spans="1:22" x14ac:dyDescent="0.25">
      <c r="A267" s="961" t="s">
        <v>6458</v>
      </c>
      <c r="B267" s="961">
        <v>2</v>
      </c>
      <c r="C267" s="961">
        <v>2</v>
      </c>
      <c r="D267" s="961" t="s">
        <v>6436</v>
      </c>
      <c r="E267" s="961" t="s">
        <v>6437</v>
      </c>
      <c r="F267" s="962">
        <v>448</v>
      </c>
      <c r="G267" s="961" t="s">
        <v>741</v>
      </c>
      <c r="H267" s="961">
        <v>1</v>
      </c>
      <c r="I267" s="963">
        <v>61305</v>
      </c>
      <c r="J267" s="961">
        <v>2</v>
      </c>
      <c r="K267" s="961">
        <v>23</v>
      </c>
      <c r="L267" s="961">
        <v>2</v>
      </c>
      <c r="M267" s="961">
        <v>5</v>
      </c>
      <c r="N267" s="961" t="s">
        <v>6459</v>
      </c>
      <c r="O267" s="961">
        <v>13</v>
      </c>
      <c r="P267" s="964">
        <v>500000</v>
      </c>
      <c r="Q267" s="964">
        <v>1000000</v>
      </c>
      <c r="R267" s="964">
        <f t="shared" si="3"/>
        <v>1500000</v>
      </c>
      <c r="S267" s="964">
        <v>1396693.81</v>
      </c>
      <c r="T267" s="964">
        <v>1396693.81</v>
      </c>
      <c r="U267" s="964">
        <v>1396693.81</v>
      </c>
      <c r="V267" s="964">
        <f>975098.8+'[9]Reporte de Compac'!$I$194</f>
        <v>1396693.81</v>
      </c>
    </row>
    <row r="268" spans="1:22" x14ac:dyDescent="0.25">
      <c r="A268" s="961" t="s">
        <v>6458</v>
      </c>
      <c r="B268" s="961">
        <v>2</v>
      </c>
      <c r="C268" s="961">
        <v>2</v>
      </c>
      <c r="D268" s="961" t="s">
        <v>6436</v>
      </c>
      <c r="E268" s="961" t="s">
        <v>6437</v>
      </c>
      <c r="F268" s="962">
        <v>448</v>
      </c>
      <c r="G268" s="961" t="s">
        <v>741</v>
      </c>
      <c r="H268" s="961">
        <v>1</v>
      </c>
      <c r="I268" s="963">
        <v>61408</v>
      </c>
      <c r="J268" s="961">
        <v>2</v>
      </c>
      <c r="K268" s="961">
        <v>23</v>
      </c>
      <c r="L268" s="961">
        <v>2</v>
      </c>
      <c r="M268" s="961">
        <v>5</v>
      </c>
      <c r="N268" s="961" t="s">
        <v>6460</v>
      </c>
      <c r="O268" s="961">
        <v>13</v>
      </c>
      <c r="P268" s="964">
        <v>25411250</v>
      </c>
      <c r="Q268" s="964">
        <v>-1000000</v>
      </c>
      <c r="R268" s="964">
        <f t="shared" si="3"/>
        <v>24411250</v>
      </c>
      <c r="S268" s="964"/>
      <c r="T268" s="964"/>
      <c r="U268" s="964"/>
      <c r="V268" s="964"/>
    </row>
    <row r="269" spans="1:22" x14ac:dyDescent="0.25">
      <c r="A269" s="961" t="s">
        <v>6458</v>
      </c>
      <c r="B269" s="961">
        <v>2</v>
      </c>
      <c r="C269" s="961">
        <v>2</v>
      </c>
      <c r="D269" s="961" t="s">
        <v>6436</v>
      </c>
      <c r="E269" s="961" t="s">
        <v>6437</v>
      </c>
      <c r="F269" s="962">
        <v>448</v>
      </c>
      <c r="G269" s="961" t="s">
        <v>741</v>
      </c>
      <c r="H269" s="961">
        <v>1</v>
      </c>
      <c r="I269" s="963">
        <v>61408</v>
      </c>
      <c r="J269" s="961">
        <v>2</v>
      </c>
      <c r="K269" s="961">
        <v>23</v>
      </c>
      <c r="L269" s="961">
        <v>1</v>
      </c>
      <c r="M269" s="961">
        <v>1</v>
      </c>
      <c r="N269" s="961" t="s">
        <v>6438</v>
      </c>
      <c r="O269" s="961">
        <v>13</v>
      </c>
      <c r="P269" s="964">
        <v>25411250</v>
      </c>
      <c r="Q269" s="964"/>
      <c r="R269" s="964">
        <f t="shared" si="3"/>
        <v>25411250</v>
      </c>
      <c r="S269" s="964"/>
      <c r="T269" s="964"/>
      <c r="U269" s="964"/>
      <c r="V269" s="964"/>
    </row>
    <row r="270" spans="1:22" x14ac:dyDescent="0.25">
      <c r="A270" s="961" t="s">
        <v>6461</v>
      </c>
      <c r="B270" s="961">
        <v>2</v>
      </c>
      <c r="C270" s="961">
        <v>2</v>
      </c>
      <c r="D270" s="961" t="s">
        <v>6436</v>
      </c>
      <c r="E270" s="961" t="s">
        <v>6437</v>
      </c>
      <c r="F270" s="962">
        <v>448</v>
      </c>
      <c r="G270" s="961" t="s">
        <v>741</v>
      </c>
      <c r="H270" s="961">
        <v>1</v>
      </c>
      <c r="I270" s="963">
        <v>21101</v>
      </c>
      <c r="J270" s="961">
        <v>1</v>
      </c>
      <c r="K270" s="961">
        <v>23</v>
      </c>
      <c r="L270" s="961">
        <v>1</v>
      </c>
      <c r="M270" s="961">
        <v>1</v>
      </c>
      <c r="N270" s="961" t="s">
        <v>6438</v>
      </c>
      <c r="O270" s="961">
        <v>13</v>
      </c>
      <c r="P270" s="964">
        <v>24000</v>
      </c>
      <c r="Q270" s="964">
        <v>-7679.98</v>
      </c>
      <c r="R270" s="964">
        <f t="shared" si="3"/>
        <v>16320.02</v>
      </c>
      <c r="S270" s="964"/>
      <c r="T270" s="964"/>
      <c r="U270" s="964"/>
      <c r="V270" s="964"/>
    </row>
    <row r="271" spans="1:22" x14ac:dyDescent="0.25">
      <c r="A271" s="961" t="s">
        <v>6461</v>
      </c>
      <c r="B271" s="961">
        <v>2</v>
      </c>
      <c r="C271" s="961">
        <v>2</v>
      </c>
      <c r="D271" s="961" t="s">
        <v>6436</v>
      </c>
      <c r="E271" s="961" t="s">
        <v>6437</v>
      </c>
      <c r="F271" s="962">
        <v>448</v>
      </c>
      <c r="G271" s="961" t="s">
        <v>741</v>
      </c>
      <c r="H271" s="961">
        <v>1</v>
      </c>
      <c r="I271" s="963">
        <v>21201</v>
      </c>
      <c r="J271" s="961">
        <v>1</v>
      </c>
      <c r="K271" s="961">
        <v>23</v>
      </c>
      <c r="L271" s="961">
        <v>1</v>
      </c>
      <c r="M271" s="961">
        <v>1</v>
      </c>
      <c r="N271" s="961" t="s">
        <v>6438</v>
      </c>
      <c r="O271" s="961">
        <v>13</v>
      </c>
      <c r="P271" s="964">
        <v>3000</v>
      </c>
      <c r="Q271" s="964">
        <v>-2579.9499999999998</v>
      </c>
      <c r="R271" s="964">
        <f t="shared" si="3"/>
        <v>420.05000000000018</v>
      </c>
      <c r="S271" s="964">
        <v>165</v>
      </c>
      <c r="T271" s="964">
        <v>165</v>
      </c>
      <c r="U271" s="964">
        <v>165</v>
      </c>
      <c r="V271" s="964">
        <v>165</v>
      </c>
    </row>
    <row r="272" spans="1:22" x14ac:dyDescent="0.25">
      <c r="A272" s="961" t="s">
        <v>6461</v>
      </c>
      <c r="B272" s="961">
        <v>2</v>
      </c>
      <c r="C272" s="961">
        <v>2</v>
      </c>
      <c r="D272" s="961" t="s">
        <v>6436</v>
      </c>
      <c r="E272" s="961" t="s">
        <v>6437</v>
      </c>
      <c r="F272" s="962">
        <v>448</v>
      </c>
      <c r="G272" s="961" t="s">
        <v>741</v>
      </c>
      <c r="H272" s="961">
        <v>1</v>
      </c>
      <c r="I272" s="963">
        <v>21401</v>
      </c>
      <c r="J272" s="961">
        <v>1</v>
      </c>
      <c r="K272" s="961">
        <v>23</v>
      </c>
      <c r="L272" s="961">
        <v>1</v>
      </c>
      <c r="M272" s="961">
        <v>1</v>
      </c>
      <c r="N272" s="961" t="s">
        <v>6438</v>
      </c>
      <c r="O272" s="961">
        <v>13</v>
      </c>
      <c r="P272" s="964">
        <v>7500</v>
      </c>
      <c r="Q272" s="964"/>
      <c r="R272" s="964">
        <f t="shared" si="3"/>
        <v>7500</v>
      </c>
      <c r="S272" s="964"/>
      <c r="T272" s="964"/>
      <c r="U272" s="964"/>
      <c r="V272" s="964"/>
    </row>
    <row r="273" spans="1:22" x14ac:dyDescent="0.25">
      <c r="A273" s="961" t="s">
        <v>6461</v>
      </c>
      <c r="B273" s="961">
        <v>2</v>
      </c>
      <c r="C273" s="961">
        <v>2</v>
      </c>
      <c r="D273" s="961" t="s">
        <v>6436</v>
      </c>
      <c r="E273" s="961" t="s">
        <v>6437</v>
      </c>
      <c r="F273" s="962">
        <v>448</v>
      </c>
      <c r="G273" s="961" t="s">
        <v>741</v>
      </c>
      <c r="H273" s="961">
        <v>1</v>
      </c>
      <c r="I273" s="963">
        <v>21801</v>
      </c>
      <c r="J273" s="961">
        <v>1</v>
      </c>
      <c r="K273" s="961">
        <v>23</v>
      </c>
      <c r="L273" s="961">
        <v>1</v>
      </c>
      <c r="M273" s="961">
        <v>1</v>
      </c>
      <c r="N273" s="961" t="s">
        <v>6438</v>
      </c>
      <c r="O273" s="961">
        <v>13</v>
      </c>
      <c r="P273" s="964">
        <v>30000</v>
      </c>
      <c r="Q273" s="964">
        <v>-11988.44</v>
      </c>
      <c r="R273" s="964">
        <f t="shared" si="3"/>
        <v>18011.559999999998</v>
      </c>
      <c r="S273" s="964">
        <v>12952</v>
      </c>
      <c r="T273" s="964">
        <v>12952</v>
      </c>
      <c r="U273" s="964">
        <v>12952</v>
      </c>
      <c r="V273" s="969">
        <v>12952</v>
      </c>
    </row>
    <row r="274" spans="1:22" x14ac:dyDescent="0.25">
      <c r="A274" s="961" t="s">
        <v>6461</v>
      </c>
      <c r="B274" s="961">
        <v>2</v>
      </c>
      <c r="C274" s="961">
        <v>2</v>
      </c>
      <c r="D274" s="961" t="s">
        <v>6436</v>
      </c>
      <c r="E274" s="961" t="s">
        <v>6437</v>
      </c>
      <c r="F274" s="962">
        <v>448</v>
      </c>
      <c r="G274" s="961" t="s">
        <v>741</v>
      </c>
      <c r="H274" s="961">
        <v>1</v>
      </c>
      <c r="I274" s="963">
        <v>22106</v>
      </c>
      <c r="J274" s="961">
        <v>1</v>
      </c>
      <c r="K274" s="961">
        <v>23</v>
      </c>
      <c r="L274" s="961">
        <v>1</v>
      </c>
      <c r="M274" s="961">
        <v>1</v>
      </c>
      <c r="N274" s="961" t="s">
        <v>6438</v>
      </c>
      <c r="O274" s="961">
        <v>13</v>
      </c>
      <c r="P274" s="964">
        <v>9000</v>
      </c>
      <c r="Q274" s="964">
        <v>-4747.6400000000003</v>
      </c>
      <c r="R274" s="964">
        <f t="shared" si="3"/>
        <v>4252.3599999999997</v>
      </c>
      <c r="S274" s="964"/>
      <c r="T274" s="964"/>
      <c r="U274" s="964"/>
      <c r="V274" s="964"/>
    </row>
    <row r="275" spans="1:22" x14ac:dyDescent="0.25">
      <c r="A275" s="961" t="s">
        <v>6461</v>
      </c>
      <c r="B275" s="961">
        <v>2</v>
      </c>
      <c r="C275" s="961">
        <v>2</v>
      </c>
      <c r="D275" s="961" t="s">
        <v>6436</v>
      </c>
      <c r="E275" s="961" t="s">
        <v>6437</v>
      </c>
      <c r="F275" s="962">
        <v>448</v>
      </c>
      <c r="G275" s="961" t="s">
        <v>741</v>
      </c>
      <c r="H275" s="961">
        <v>1</v>
      </c>
      <c r="I275" s="963">
        <v>22301</v>
      </c>
      <c r="J275" s="961">
        <v>1</v>
      </c>
      <c r="K275" s="961">
        <v>23</v>
      </c>
      <c r="L275" s="961">
        <v>1</v>
      </c>
      <c r="M275" s="961">
        <v>1</v>
      </c>
      <c r="N275" s="961" t="s">
        <v>6438</v>
      </c>
      <c r="O275" s="961">
        <v>13</v>
      </c>
      <c r="P275" s="964"/>
      <c r="Q275" s="964"/>
      <c r="R275" s="964">
        <f t="shared" si="3"/>
        <v>0</v>
      </c>
      <c r="S275" s="964"/>
      <c r="T275" s="964"/>
      <c r="U275" s="964"/>
      <c r="V275" s="964"/>
    </row>
    <row r="276" spans="1:22" x14ac:dyDescent="0.25">
      <c r="A276" s="961" t="s">
        <v>6461</v>
      </c>
      <c r="B276" s="961">
        <v>2</v>
      </c>
      <c r="C276" s="961">
        <v>2</v>
      </c>
      <c r="D276" s="961" t="s">
        <v>6436</v>
      </c>
      <c r="E276" s="961" t="s">
        <v>6437</v>
      </c>
      <c r="F276" s="962">
        <v>448</v>
      </c>
      <c r="G276" s="961" t="s">
        <v>741</v>
      </c>
      <c r="H276" s="961">
        <v>1</v>
      </c>
      <c r="I276" s="963">
        <v>25101</v>
      </c>
      <c r="J276" s="961">
        <v>1</v>
      </c>
      <c r="K276" s="961">
        <v>23</v>
      </c>
      <c r="L276" s="961">
        <v>1</v>
      </c>
      <c r="M276" s="961">
        <v>1</v>
      </c>
      <c r="N276" s="961" t="s">
        <v>6438</v>
      </c>
      <c r="O276" s="961">
        <v>13</v>
      </c>
      <c r="P276" s="964"/>
      <c r="Q276" s="964">
        <v>65000</v>
      </c>
      <c r="R276" s="964">
        <f>P276+Q276</f>
        <v>65000</v>
      </c>
      <c r="S276" s="964">
        <v>65000</v>
      </c>
      <c r="T276" s="964">
        <v>65000</v>
      </c>
      <c r="U276" s="964">
        <v>65000</v>
      </c>
      <c r="V276" s="964">
        <v>65000</v>
      </c>
    </row>
    <row r="277" spans="1:22" x14ac:dyDescent="0.25">
      <c r="A277" s="961" t="s">
        <v>6461</v>
      </c>
      <c r="B277" s="961">
        <v>2</v>
      </c>
      <c r="C277" s="961">
        <v>2</v>
      </c>
      <c r="D277" s="961" t="s">
        <v>6436</v>
      </c>
      <c r="E277" s="961" t="s">
        <v>6437</v>
      </c>
      <c r="F277" s="962">
        <v>448</v>
      </c>
      <c r="G277" s="961" t="s">
        <v>741</v>
      </c>
      <c r="H277" s="961">
        <v>1</v>
      </c>
      <c r="I277" s="963">
        <v>26101</v>
      </c>
      <c r="J277" s="961">
        <v>1</v>
      </c>
      <c r="K277" s="961">
        <v>23</v>
      </c>
      <c r="L277" s="961">
        <v>1</v>
      </c>
      <c r="M277" s="961">
        <v>1</v>
      </c>
      <c r="N277" s="961" t="s">
        <v>6438</v>
      </c>
      <c r="O277" s="961">
        <v>13</v>
      </c>
      <c r="P277" s="964">
        <v>306650</v>
      </c>
      <c r="Q277" s="964">
        <v>5144.99</v>
      </c>
      <c r="R277" s="964">
        <f t="shared" si="3"/>
        <v>311794.99</v>
      </c>
      <c r="S277" s="964">
        <v>276164.37</v>
      </c>
      <c r="T277" s="964">
        <v>276164.37</v>
      </c>
      <c r="U277" s="964">
        <v>276164.37</v>
      </c>
      <c r="V277" s="964">
        <v>276164.37</v>
      </c>
    </row>
    <row r="278" spans="1:22" x14ac:dyDescent="0.25">
      <c r="A278" s="961" t="s">
        <v>6461</v>
      </c>
      <c r="B278" s="961">
        <v>2</v>
      </c>
      <c r="C278" s="961">
        <v>2</v>
      </c>
      <c r="D278" s="961" t="s">
        <v>6436</v>
      </c>
      <c r="E278" s="961" t="s">
        <v>6437</v>
      </c>
      <c r="F278" s="962">
        <v>448</v>
      </c>
      <c r="G278" s="961" t="s">
        <v>741</v>
      </c>
      <c r="H278" s="961">
        <v>1</v>
      </c>
      <c r="I278" s="963">
        <v>26102</v>
      </c>
      <c r="J278" s="961">
        <v>1</v>
      </c>
      <c r="K278" s="961">
        <v>23</v>
      </c>
      <c r="L278" s="961">
        <v>1</v>
      </c>
      <c r="M278" s="961">
        <v>1</v>
      </c>
      <c r="N278" s="961" t="s">
        <v>6438</v>
      </c>
      <c r="O278" s="961">
        <v>13</v>
      </c>
      <c r="P278" s="964">
        <v>6000</v>
      </c>
      <c r="Q278" s="964"/>
      <c r="R278" s="964">
        <f t="shared" ref="R278:R343" si="6">SUM(P278:Q278)</f>
        <v>6000</v>
      </c>
      <c r="S278" s="964">
        <v>2300.2399999999998</v>
      </c>
      <c r="T278" s="964">
        <v>2300.2399999999998</v>
      </c>
      <c r="U278" s="964">
        <v>2300.2399999999998</v>
      </c>
      <c r="V278" s="964">
        <v>2300.2399999999998</v>
      </c>
    </row>
    <row r="279" spans="1:22" x14ac:dyDescent="0.25">
      <c r="A279" s="961" t="s">
        <v>6461</v>
      </c>
      <c r="B279" s="961">
        <v>2</v>
      </c>
      <c r="C279" s="961">
        <v>2</v>
      </c>
      <c r="D279" s="961" t="s">
        <v>6436</v>
      </c>
      <c r="E279" s="961" t="s">
        <v>6437</v>
      </c>
      <c r="F279" s="962">
        <v>448</v>
      </c>
      <c r="G279" s="961" t="s">
        <v>741</v>
      </c>
      <c r="H279" s="961">
        <v>1</v>
      </c>
      <c r="I279" s="963">
        <v>29101</v>
      </c>
      <c r="J279" s="961">
        <v>1</v>
      </c>
      <c r="K279" s="961">
        <v>23</v>
      </c>
      <c r="L279" s="961">
        <v>1</v>
      </c>
      <c r="M279" s="961">
        <v>1</v>
      </c>
      <c r="N279" s="961" t="s">
        <v>6438</v>
      </c>
      <c r="O279" s="961">
        <v>13</v>
      </c>
      <c r="P279" s="964">
        <v>3000</v>
      </c>
      <c r="Q279" s="964"/>
      <c r="R279" s="964">
        <f t="shared" si="6"/>
        <v>3000</v>
      </c>
      <c r="S279" s="964"/>
      <c r="T279" s="964"/>
      <c r="U279" s="964"/>
      <c r="V279" s="964"/>
    </row>
    <row r="280" spans="1:22" x14ac:dyDescent="0.25">
      <c r="A280" s="961" t="s">
        <v>6461</v>
      </c>
      <c r="B280" s="961">
        <v>2</v>
      </c>
      <c r="C280" s="961">
        <v>2</v>
      </c>
      <c r="D280" s="961" t="s">
        <v>6436</v>
      </c>
      <c r="E280" s="961" t="s">
        <v>6437</v>
      </c>
      <c r="F280" s="962">
        <v>448</v>
      </c>
      <c r="G280" s="961" t="s">
        <v>741</v>
      </c>
      <c r="H280" s="961">
        <v>1</v>
      </c>
      <c r="I280" s="963">
        <v>29201</v>
      </c>
      <c r="J280" s="961">
        <v>1</v>
      </c>
      <c r="K280" s="961">
        <v>23</v>
      </c>
      <c r="L280" s="961">
        <v>1</v>
      </c>
      <c r="M280" s="961">
        <v>1</v>
      </c>
      <c r="N280" s="961" t="s">
        <v>6438</v>
      </c>
      <c r="O280" s="961">
        <v>13</v>
      </c>
      <c r="P280" s="964"/>
      <c r="Q280" s="964"/>
      <c r="R280" s="964">
        <f t="shared" si="6"/>
        <v>0</v>
      </c>
      <c r="S280" s="964">
        <v>619.95000000000005</v>
      </c>
      <c r="T280" s="964">
        <v>619.95000000000005</v>
      </c>
      <c r="U280" s="964">
        <v>619.95000000000005</v>
      </c>
      <c r="V280" s="964">
        <v>619.95000000000005</v>
      </c>
    </row>
    <row r="281" spans="1:22" x14ac:dyDescent="0.25">
      <c r="A281" s="961" t="s">
        <v>6461</v>
      </c>
      <c r="B281" s="961">
        <v>2</v>
      </c>
      <c r="C281" s="961">
        <v>2</v>
      </c>
      <c r="D281" s="961" t="s">
        <v>6436</v>
      </c>
      <c r="E281" s="961" t="s">
        <v>6437</v>
      </c>
      <c r="F281" s="962">
        <v>448</v>
      </c>
      <c r="G281" s="961" t="s">
        <v>741</v>
      </c>
      <c r="H281" s="961">
        <v>1</v>
      </c>
      <c r="I281" s="963">
        <v>29401</v>
      </c>
      <c r="J281" s="961">
        <v>1</v>
      </c>
      <c r="K281" s="961">
        <v>23</v>
      </c>
      <c r="L281" s="961">
        <v>1</v>
      </c>
      <c r="M281" s="961">
        <v>1</v>
      </c>
      <c r="N281" s="961" t="s">
        <v>6438</v>
      </c>
      <c r="O281" s="961">
        <v>13</v>
      </c>
      <c r="P281" s="964"/>
      <c r="Q281" s="964"/>
      <c r="R281" s="964">
        <f t="shared" si="6"/>
        <v>0</v>
      </c>
      <c r="S281" s="964"/>
      <c r="T281" s="964"/>
      <c r="U281" s="964"/>
      <c r="V281" s="964"/>
    </row>
    <row r="282" spans="1:22" x14ac:dyDescent="0.25">
      <c r="A282" s="961" t="s">
        <v>6461</v>
      </c>
      <c r="B282" s="961">
        <v>2</v>
      </c>
      <c r="C282" s="961">
        <v>2</v>
      </c>
      <c r="D282" s="961" t="s">
        <v>6436</v>
      </c>
      <c r="E282" s="961" t="s">
        <v>6437</v>
      </c>
      <c r="F282" s="962">
        <v>448</v>
      </c>
      <c r="G282" s="961" t="s">
        <v>741</v>
      </c>
      <c r="H282" s="961">
        <v>1</v>
      </c>
      <c r="I282" s="963">
        <v>29601</v>
      </c>
      <c r="J282" s="961">
        <v>1</v>
      </c>
      <c r="K282" s="961">
        <v>23</v>
      </c>
      <c r="L282" s="961">
        <v>1</v>
      </c>
      <c r="M282" s="961">
        <v>1</v>
      </c>
      <c r="N282" s="961" t="s">
        <v>6438</v>
      </c>
      <c r="O282" s="961">
        <v>13</v>
      </c>
      <c r="P282" s="964">
        <v>90000</v>
      </c>
      <c r="Q282" s="964">
        <v>-65000</v>
      </c>
      <c r="R282" s="964">
        <f t="shared" si="6"/>
        <v>25000</v>
      </c>
      <c r="S282" s="964">
        <v>29969.119999999999</v>
      </c>
      <c r="T282" s="964">
        <v>29969.119999999999</v>
      </c>
      <c r="U282" s="964">
        <v>28320.92</v>
      </c>
      <c r="V282" s="964">
        <f>29969.12-1648.2</f>
        <v>28320.92</v>
      </c>
    </row>
    <row r="283" spans="1:22" x14ac:dyDescent="0.25">
      <c r="A283" s="961" t="s">
        <v>6461</v>
      </c>
      <c r="B283" s="961">
        <v>2</v>
      </c>
      <c r="C283" s="961">
        <v>2</v>
      </c>
      <c r="D283" s="961" t="s">
        <v>6436</v>
      </c>
      <c r="E283" s="961" t="s">
        <v>6437</v>
      </c>
      <c r="F283" s="962">
        <v>448</v>
      </c>
      <c r="G283" s="961" t="s">
        <v>741</v>
      </c>
      <c r="H283" s="961">
        <v>1</v>
      </c>
      <c r="I283" s="963">
        <v>31801</v>
      </c>
      <c r="J283" s="961">
        <v>1</v>
      </c>
      <c r="K283" s="961">
        <v>23</v>
      </c>
      <c r="L283" s="961">
        <v>1</v>
      </c>
      <c r="M283" s="961">
        <v>1</v>
      </c>
      <c r="N283" s="961" t="s">
        <v>6438</v>
      </c>
      <c r="O283" s="961">
        <v>13</v>
      </c>
      <c r="P283" s="964">
        <v>5000</v>
      </c>
      <c r="Q283" s="964">
        <v>-5000</v>
      </c>
      <c r="R283" s="964">
        <f t="shared" si="6"/>
        <v>0</v>
      </c>
      <c r="S283" s="964">
        <v>1252.1400000000001</v>
      </c>
      <c r="T283" s="964">
        <v>1252.1400000000001</v>
      </c>
      <c r="U283" s="964">
        <v>1252.1400000000001</v>
      </c>
      <c r="V283" s="964">
        <v>1252.1400000000001</v>
      </c>
    </row>
    <row r="284" spans="1:22" x14ac:dyDescent="0.25">
      <c r="A284" s="961" t="s">
        <v>6461</v>
      </c>
      <c r="B284" s="961">
        <v>2</v>
      </c>
      <c r="C284" s="961">
        <v>2</v>
      </c>
      <c r="D284" s="961" t="s">
        <v>6436</v>
      </c>
      <c r="E284" s="961" t="s">
        <v>6437</v>
      </c>
      <c r="F284" s="962">
        <v>448</v>
      </c>
      <c r="G284" s="961" t="s">
        <v>741</v>
      </c>
      <c r="H284" s="961">
        <v>1</v>
      </c>
      <c r="I284" s="963">
        <v>33401</v>
      </c>
      <c r="J284" s="961">
        <v>1</v>
      </c>
      <c r="K284" s="961">
        <v>23</v>
      </c>
      <c r="L284" s="961">
        <v>1</v>
      </c>
      <c r="M284" s="961">
        <v>1</v>
      </c>
      <c r="N284" s="961" t="s">
        <v>6438</v>
      </c>
      <c r="O284" s="961">
        <v>13</v>
      </c>
      <c r="P284" s="964"/>
      <c r="Q284" s="964">
        <v>4000</v>
      </c>
      <c r="R284" s="964">
        <f t="shared" si="6"/>
        <v>4000</v>
      </c>
      <c r="S284" s="964">
        <v>3712</v>
      </c>
      <c r="T284" s="964">
        <v>3712</v>
      </c>
      <c r="U284" s="964">
        <v>3712</v>
      </c>
      <c r="V284" s="964">
        <v>3712</v>
      </c>
    </row>
    <row r="285" spans="1:22" x14ac:dyDescent="0.25">
      <c r="A285" s="961" t="s">
        <v>6461</v>
      </c>
      <c r="B285" s="961">
        <v>2</v>
      </c>
      <c r="C285" s="961">
        <v>2</v>
      </c>
      <c r="D285" s="961" t="s">
        <v>6436</v>
      </c>
      <c r="E285" s="961" t="s">
        <v>6437</v>
      </c>
      <c r="F285" s="962">
        <v>448</v>
      </c>
      <c r="G285" s="961" t="s">
        <v>741</v>
      </c>
      <c r="H285" s="961">
        <v>1</v>
      </c>
      <c r="I285" s="963">
        <v>33501</v>
      </c>
      <c r="J285" s="961">
        <v>1</v>
      </c>
      <c r="K285" s="961">
        <v>23</v>
      </c>
      <c r="L285" s="961">
        <v>1</v>
      </c>
      <c r="M285" s="961">
        <v>1</v>
      </c>
      <c r="N285" s="961" t="s">
        <v>6438</v>
      </c>
      <c r="O285" s="961">
        <v>13</v>
      </c>
      <c r="P285" s="964">
        <v>2000</v>
      </c>
      <c r="Q285" s="964">
        <v>-1683.04</v>
      </c>
      <c r="R285" s="964">
        <f t="shared" si="6"/>
        <v>316.96000000000004</v>
      </c>
      <c r="S285" s="964"/>
      <c r="T285" s="964"/>
      <c r="U285" s="964"/>
      <c r="V285" s="964"/>
    </row>
    <row r="286" spans="1:22" x14ac:dyDescent="0.25">
      <c r="A286" s="961" t="s">
        <v>6461</v>
      </c>
      <c r="B286" s="961">
        <v>2</v>
      </c>
      <c r="C286" s="961">
        <v>2</v>
      </c>
      <c r="D286" s="961" t="s">
        <v>6436</v>
      </c>
      <c r="E286" s="961" t="s">
        <v>6437</v>
      </c>
      <c r="F286" s="962">
        <v>448</v>
      </c>
      <c r="G286" s="961" t="s">
        <v>741</v>
      </c>
      <c r="H286" s="961">
        <v>1</v>
      </c>
      <c r="I286" s="963">
        <v>33603</v>
      </c>
      <c r="J286" s="961">
        <v>1</v>
      </c>
      <c r="K286" s="961">
        <v>23</v>
      </c>
      <c r="L286" s="961">
        <v>1</v>
      </c>
      <c r="M286" s="961">
        <v>1</v>
      </c>
      <c r="N286" s="961" t="s">
        <v>6438</v>
      </c>
      <c r="O286" s="961">
        <v>13</v>
      </c>
      <c r="P286" s="964">
        <v>5000</v>
      </c>
      <c r="Q286" s="964">
        <v>-4000</v>
      </c>
      <c r="R286" s="964">
        <f t="shared" si="6"/>
        <v>1000</v>
      </c>
      <c r="S286" s="964"/>
      <c r="T286" s="964"/>
      <c r="U286" s="964"/>
      <c r="V286" s="964"/>
    </row>
    <row r="287" spans="1:22" x14ac:dyDescent="0.25">
      <c r="A287" s="961" t="s">
        <v>6461</v>
      </c>
      <c r="B287" s="961">
        <v>2</v>
      </c>
      <c r="C287" s="961">
        <v>2</v>
      </c>
      <c r="D287" s="961" t="s">
        <v>6436</v>
      </c>
      <c r="E287" s="961" t="s">
        <v>6437</v>
      </c>
      <c r="F287" s="962">
        <v>448</v>
      </c>
      <c r="G287" s="961" t="s">
        <v>741</v>
      </c>
      <c r="H287" s="961">
        <v>1</v>
      </c>
      <c r="I287" s="963">
        <v>33901</v>
      </c>
      <c r="J287" s="961">
        <v>1</v>
      </c>
      <c r="K287" s="961">
        <v>23</v>
      </c>
      <c r="L287" s="961">
        <v>1</v>
      </c>
      <c r="M287" s="961">
        <v>1</v>
      </c>
      <c r="N287" s="961" t="s">
        <v>6438</v>
      </c>
      <c r="O287" s="961">
        <v>13</v>
      </c>
      <c r="P287" s="964">
        <v>100000</v>
      </c>
      <c r="Q287" s="964">
        <v>-91704.84</v>
      </c>
      <c r="R287" s="964">
        <f t="shared" si="6"/>
        <v>8295.1600000000035</v>
      </c>
      <c r="S287" s="964">
        <v>8295.16</v>
      </c>
      <c r="T287" s="964">
        <v>8295.16</v>
      </c>
      <c r="U287" s="964">
        <v>8295.16</v>
      </c>
      <c r="V287" s="964">
        <v>8295.16</v>
      </c>
    </row>
    <row r="288" spans="1:22" x14ac:dyDescent="0.25">
      <c r="A288" s="961" t="s">
        <v>6461</v>
      </c>
      <c r="B288" s="961">
        <v>2</v>
      </c>
      <c r="C288" s="961">
        <v>2</v>
      </c>
      <c r="D288" s="961" t="s">
        <v>6436</v>
      </c>
      <c r="E288" s="961" t="s">
        <v>6437</v>
      </c>
      <c r="F288" s="962">
        <v>448</v>
      </c>
      <c r="G288" s="961" t="s">
        <v>741</v>
      </c>
      <c r="H288" s="961">
        <v>1</v>
      </c>
      <c r="I288" s="963">
        <v>34401</v>
      </c>
      <c r="J288" s="961">
        <v>1</v>
      </c>
      <c r="K288" s="961">
        <v>23</v>
      </c>
      <c r="L288" s="961">
        <v>1</v>
      </c>
      <c r="M288" s="961">
        <v>1</v>
      </c>
      <c r="N288" s="961" t="s">
        <v>6438</v>
      </c>
      <c r="O288" s="961">
        <v>13</v>
      </c>
      <c r="P288" s="964"/>
      <c r="Q288" s="964"/>
      <c r="R288" s="964">
        <f t="shared" si="6"/>
        <v>0</v>
      </c>
      <c r="S288" s="964">
        <v>27901.08</v>
      </c>
      <c r="T288" s="964">
        <v>27901.08</v>
      </c>
      <c r="U288" s="964">
        <v>27901.08</v>
      </c>
      <c r="V288" s="964">
        <v>27901.08</v>
      </c>
    </row>
    <row r="289" spans="1:22" x14ac:dyDescent="0.25">
      <c r="A289" s="961" t="s">
        <v>6461</v>
      </c>
      <c r="B289" s="961">
        <v>2</v>
      </c>
      <c r="C289" s="961">
        <v>2</v>
      </c>
      <c r="D289" s="961" t="s">
        <v>6436</v>
      </c>
      <c r="E289" s="961" t="s">
        <v>6437</v>
      </c>
      <c r="F289" s="962">
        <v>448</v>
      </c>
      <c r="G289" s="961" t="s">
        <v>741</v>
      </c>
      <c r="H289" s="961">
        <v>1</v>
      </c>
      <c r="I289" s="963">
        <v>34701</v>
      </c>
      <c r="J289" s="961">
        <v>1</v>
      </c>
      <c r="K289" s="961">
        <v>23</v>
      </c>
      <c r="L289" s="961">
        <v>1</v>
      </c>
      <c r="M289" s="961">
        <v>1</v>
      </c>
      <c r="N289" s="961" t="s">
        <v>6438</v>
      </c>
      <c r="O289" s="961">
        <v>13</v>
      </c>
      <c r="P289" s="964"/>
      <c r="Q289" s="964"/>
      <c r="R289" s="964">
        <f t="shared" si="6"/>
        <v>0</v>
      </c>
      <c r="S289" s="964"/>
      <c r="T289" s="964"/>
      <c r="U289" s="964"/>
      <c r="V289" s="964"/>
    </row>
    <row r="290" spans="1:22" x14ac:dyDescent="0.25">
      <c r="A290" s="961" t="s">
        <v>6461</v>
      </c>
      <c r="B290" s="961">
        <v>2</v>
      </c>
      <c r="C290" s="961">
        <v>2</v>
      </c>
      <c r="D290" s="961" t="s">
        <v>6436</v>
      </c>
      <c r="E290" s="961" t="s">
        <v>6437</v>
      </c>
      <c r="F290" s="962">
        <v>448</v>
      </c>
      <c r="G290" s="961" t="s">
        <v>741</v>
      </c>
      <c r="H290" s="961">
        <v>1</v>
      </c>
      <c r="I290" s="963">
        <v>35101</v>
      </c>
      <c r="J290" s="961">
        <v>1</v>
      </c>
      <c r="K290" s="961">
        <v>23</v>
      </c>
      <c r="L290" s="961">
        <v>1</v>
      </c>
      <c r="M290" s="961">
        <v>1</v>
      </c>
      <c r="N290" s="961" t="s">
        <v>6438</v>
      </c>
      <c r="O290" s="961">
        <v>13</v>
      </c>
      <c r="P290" s="964"/>
      <c r="Q290" s="964"/>
      <c r="R290" s="964">
        <f t="shared" si="6"/>
        <v>0</v>
      </c>
      <c r="S290" s="964"/>
      <c r="T290" s="964"/>
      <c r="U290" s="964"/>
      <c r="V290" s="964"/>
    </row>
    <row r="291" spans="1:22" x14ac:dyDescent="0.25">
      <c r="A291" s="961" t="s">
        <v>6461</v>
      </c>
      <c r="B291" s="961">
        <v>2</v>
      </c>
      <c r="C291" s="961">
        <v>2</v>
      </c>
      <c r="D291" s="961" t="s">
        <v>6436</v>
      </c>
      <c r="E291" s="961" t="s">
        <v>6437</v>
      </c>
      <c r="F291" s="962">
        <v>448</v>
      </c>
      <c r="G291" s="961" t="s">
        <v>741</v>
      </c>
      <c r="H291" s="961">
        <v>1</v>
      </c>
      <c r="I291" s="963">
        <v>35302</v>
      </c>
      <c r="J291" s="961">
        <v>1</v>
      </c>
      <c r="K291" s="961">
        <v>23</v>
      </c>
      <c r="L291" s="961">
        <v>1</v>
      </c>
      <c r="M291" s="961">
        <v>1</v>
      </c>
      <c r="N291" s="961" t="s">
        <v>6438</v>
      </c>
      <c r="O291" s="961">
        <v>13</v>
      </c>
      <c r="P291" s="964"/>
      <c r="Q291" s="964"/>
      <c r="R291" s="964">
        <f t="shared" si="6"/>
        <v>0</v>
      </c>
      <c r="S291" s="964"/>
      <c r="T291" s="964"/>
      <c r="U291" s="964"/>
      <c r="V291" s="964"/>
    </row>
    <row r="292" spans="1:22" x14ac:dyDescent="0.25">
      <c r="A292" s="961" t="s">
        <v>6461</v>
      </c>
      <c r="B292" s="961">
        <v>2</v>
      </c>
      <c r="C292" s="961">
        <v>2</v>
      </c>
      <c r="D292" s="961" t="s">
        <v>6436</v>
      </c>
      <c r="E292" s="961" t="s">
        <v>6437</v>
      </c>
      <c r="F292" s="962">
        <v>448</v>
      </c>
      <c r="G292" s="961" t="s">
        <v>741</v>
      </c>
      <c r="H292" s="961">
        <v>1</v>
      </c>
      <c r="I292" s="963">
        <v>35501</v>
      </c>
      <c r="J292" s="961">
        <v>1</v>
      </c>
      <c r="K292" s="961">
        <v>23</v>
      </c>
      <c r="L292" s="961">
        <v>1</v>
      </c>
      <c r="M292" s="961">
        <v>1</v>
      </c>
      <c r="N292" s="961" t="s">
        <v>6438</v>
      </c>
      <c r="O292" s="961">
        <v>13</v>
      </c>
      <c r="P292" s="964">
        <v>70000</v>
      </c>
      <c r="Q292" s="964">
        <f>-50000-20000</f>
        <v>-70000</v>
      </c>
      <c r="R292" s="964">
        <f t="shared" si="6"/>
        <v>0</v>
      </c>
      <c r="S292" s="964">
        <v>8001.6</v>
      </c>
      <c r="T292" s="964">
        <v>8001.6</v>
      </c>
      <c r="U292" s="964">
        <v>8001.6</v>
      </c>
      <c r="V292" s="964">
        <v>8001.6</v>
      </c>
    </row>
    <row r="293" spans="1:22" x14ac:dyDescent="0.25">
      <c r="A293" s="961" t="s">
        <v>6461</v>
      </c>
      <c r="B293" s="961">
        <v>2</v>
      </c>
      <c r="C293" s="961">
        <v>2</v>
      </c>
      <c r="D293" s="961" t="s">
        <v>6436</v>
      </c>
      <c r="E293" s="961" t="s">
        <v>6437</v>
      </c>
      <c r="F293" s="962">
        <v>448</v>
      </c>
      <c r="G293" s="961" t="s">
        <v>741</v>
      </c>
      <c r="H293" s="961">
        <v>1</v>
      </c>
      <c r="I293" s="963">
        <v>35701</v>
      </c>
      <c r="J293" s="961">
        <v>1</v>
      </c>
      <c r="K293" s="961">
        <v>23</v>
      </c>
      <c r="L293" s="961">
        <v>1</v>
      </c>
      <c r="M293" s="961">
        <v>1</v>
      </c>
      <c r="N293" s="961" t="s">
        <v>6438</v>
      </c>
      <c r="O293" s="961">
        <v>13</v>
      </c>
      <c r="P293" s="964">
        <v>5000</v>
      </c>
      <c r="Q293" s="964">
        <v>-15000</v>
      </c>
      <c r="R293" s="964">
        <f t="shared" si="6"/>
        <v>-10000</v>
      </c>
      <c r="S293" s="964"/>
      <c r="T293" s="964"/>
      <c r="U293" s="964"/>
      <c r="V293" s="964"/>
    </row>
    <row r="294" spans="1:22" x14ac:dyDescent="0.25">
      <c r="A294" s="961" t="s">
        <v>6461</v>
      </c>
      <c r="B294" s="961">
        <v>2</v>
      </c>
      <c r="C294" s="961">
        <v>2</v>
      </c>
      <c r="D294" s="961" t="s">
        <v>6436</v>
      </c>
      <c r="E294" s="961" t="s">
        <v>6437</v>
      </c>
      <c r="F294" s="962">
        <v>448</v>
      </c>
      <c r="G294" s="961" t="s">
        <v>741</v>
      </c>
      <c r="H294" s="961">
        <v>1</v>
      </c>
      <c r="I294" s="963">
        <v>37101</v>
      </c>
      <c r="J294" s="961">
        <v>1</v>
      </c>
      <c r="K294" s="961">
        <v>23</v>
      </c>
      <c r="L294" s="961">
        <v>1</v>
      </c>
      <c r="M294" s="961">
        <v>1</v>
      </c>
      <c r="N294" s="961" t="s">
        <v>6438</v>
      </c>
      <c r="O294" s="961">
        <v>13</v>
      </c>
      <c r="P294" s="964">
        <v>20000</v>
      </c>
      <c r="Q294" s="964"/>
      <c r="R294" s="964">
        <f t="shared" si="6"/>
        <v>20000</v>
      </c>
      <c r="S294" s="964">
        <v>14800</v>
      </c>
      <c r="T294" s="964">
        <v>14800</v>
      </c>
      <c r="U294" s="964">
        <v>14800</v>
      </c>
      <c r="V294" s="964">
        <v>14800</v>
      </c>
    </row>
    <row r="295" spans="1:22" x14ac:dyDescent="0.25">
      <c r="A295" s="961" t="s">
        <v>6461</v>
      </c>
      <c r="B295" s="961">
        <v>2</v>
      </c>
      <c r="C295" s="961">
        <v>2</v>
      </c>
      <c r="D295" s="961" t="s">
        <v>6436</v>
      </c>
      <c r="E295" s="961" t="s">
        <v>6437</v>
      </c>
      <c r="F295" s="962">
        <v>448</v>
      </c>
      <c r="G295" s="961" t="s">
        <v>741</v>
      </c>
      <c r="H295" s="961">
        <v>1</v>
      </c>
      <c r="I295" s="963">
        <v>37201</v>
      </c>
      <c r="J295" s="961">
        <v>1</v>
      </c>
      <c r="K295" s="961">
        <v>23</v>
      </c>
      <c r="L295" s="961">
        <v>1</v>
      </c>
      <c r="M295" s="961">
        <v>1</v>
      </c>
      <c r="N295" s="961" t="s">
        <v>6438</v>
      </c>
      <c r="O295" s="961">
        <v>13</v>
      </c>
      <c r="P295" s="964">
        <v>1000</v>
      </c>
      <c r="Q295" s="964"/>
      <c r="R295" s="964">
        <f t="shared" si="6"/>
        <v>1000</v>
      </c>
      <c r="S295" s="964">
        <v>1023.36</v>
      </c>
      <c r="T295" s="964">
        <v>1023.36</v>
      </c>
      <c r="U295" s="964">
        <v>1023.36</v>
      </c>
      <c r="V295" s="964">
        <v>1023.36</v>
      </c>
    </row>
    <row r="296" spans="1:22" x14ac:dyDescent="0.25">
      <c r="A296" s="961" t="s">
        <v>6461</v>
      </c>
      <c r="B296" s="961">
        <v>2</v>
      </c>
      <c r="C296" s="961">
        <v>2</v>
      </c>
      <c r="D296" s="961" t="s">
        <v>6436</v>
      </c>
      <c r="E296" s="961" t="s">
        <v>6437</v>
      </c>
      <c r="F296" s="962">
        <v>448</v>
      </c>
      <c r="G296" s="961" t="s">
        <v>741</v>
      </c>
      <c r="H296" s="961">
        <v>1</v>
      </c>
      <c r="I296" s="963">
        <v>37501</v>
      </c>
      <c r="J296" s="961">
        <v>1</v>
      </c>
      <c r="K296" s="961">
        <v>23</v>
      </c>
      <c r="L296" s="961">
        <v>1</v>
      </c>
      <c r="M296" s="961">
        <v>1</v>
      </c>
      <c r="N296" s="961" t="s">
        <v>6438</v>
      </c>
      <c r="O296" s="961">
        <v>13</v>
      </c>
      <c r="P296" s="964">
        <v>350000</v>
      </c>
      <c r="Q296" s="964">
        <v>-291450.57999999996</v>
      </c>
      <c r="R296" s="964">
        <f t="shared" si="6"/>
        <v>58549.420000000042</v>
      </c>
      <c r="S296" s="964">
        <v>58187.94</v>
      </c>
      <c r="T296" s="964">
        <v>58187.94</v>
      </c>
      <c r="U296" s="964">
        <v>57887.97</v>
      </c>
      <c r="V296" s="964">
        <v>57887.97</v>
      </c>
    </row>
    <row r="297" spans="1:22" x14ac:dyDescent="0.25">
      <c r="A297" s="961" t="s">
        <v>6461</v>
      </c>
      <c r="B297" s="961">
        <v>2</v>
      </c>
      <c r="C297" s="961">
        <v>2</v>
      </c>
      <c r="D297" s="961" t="s">
        <v>6436</v>
      </c>
      <c r="E297" s="961" t="s">
        <v>6437</v>
      </c>
      <c r="F297" s="962">
        <v>448</v>
      </c>
      <c r="G297" s="961" t="s">
        <v>741</v>
      </c>
      <c r="H297" s="961">
        <v>1</v>
      </c>
      <c r="I297" s="963">
        <v>37502</v>
      </c>
      <c r="J297" s="961">
        <v>1</v>
      </c>
      <c r="K297" s="961">
        <v>23</v>
      </c>
      <c r="L297" s="961">
        <v>1</v>
      </c>
      <c r="M297" s="961">
        <v>1</v>
      </c>
      <c r="N297" s="961" t="s">
        <v>6438</v>
      </c>
      <c r="O297" s="961">
        <v>13</v>
      </c>
      <c r="P297" s="964">
        <v>100000</v>
      </c>
      <c r="Q297" s="964">
        <v>-51700</v>
      </c>
      <c r="R297" s="964">
        <f t="shared" si="6"/>
        <v>48300</v>
      </c>
      <c r="S297" s="964">
        <v>48000</v>
      </c>
      <c r="T297" s="964">
        <v>48000</v>
      </c>
      <c r="U297" s="964">
        <v>48000</v>
      </c>
      <c r="V297" s="964">
        <v>48000</v>
      </c>
    </row>
    <row r="298" spans="1:22" x14ac:dyDescent="0.25">
      <c r="A298" s="961" t="s">
        <v>6461</v>
      </c>
      <c r="B298" s="961">
        <v>2</v>
      </c>
      <c r="C298" s="961">
        <v>2</v>
      </c>
      <c r="D298" s="961" t="s">
        <v>6436</v>
      </c>
      <c r="E298" s="961" t="s">
        <v>6437</v>
      </c>
      <c r="F298" s="962">
        <v>448</v>
      </c>
      <c r="G298" s="961" t="s">
        <v>741</v>
      </c>
      <c r="H298" s="961">
        <v>1</v>
      </c>
      <c r="I298" s="963">
        <v>37901</v>
      </c>
      <c r="J298" s="961">
        <v>1</v>
      </c>
      <c r="K298" s="961">
        <v>23</v>
      </c>
      <c r="L298" s="961">
        <v>1</v>
      </c>
      <c r="M298" s="961">
        <v>1</v>
      </c>
      <c r="N298" s="961" t="s">
        <v>6438</v>
      </c>
      <c r="O298" s="961">
        <v>13</v>
      </c>
      <c r="P298" s="964">
        <v>29639.32</v>
      </c>
      <c r="Q298" s="964">
        <v>-22245.32</v>
      </c>
      <c r="R298" s="964">
        <f t="shared" si="6"/>
        <v>7394</v>
      </c>
      <c r="S298" s="964">
        <v>7394</v>
      </c>
      <c r="T298" s="964">
        <v>7394</v>
      </c>
      <c r="U298" s="964">
        <v>7394</v>
      </c>
      <c r="V298" s="964">
        <v>7394</v>
      </c>
    </row>
    <row r="299" spans="1:22" x14ac:dyDescent="0.25">
      <c r="A299" s="961" t="s">
        <v>6461</v>
      </c>
      <c r="B299" s="961">
        <v>2</v>
      </c>
      <c r="C299" s="961">
        <v>2</v>
      </c>
      <c r="D299" s="961" t="s">
        <v>6436</v>
      </c>
      <c r="E299" s="961" t="s">
        <v>6437</v>
      </c>
      <c r="F299" s="962">
        <v>448</v>
      </c>
      <c r="G299" s="961" t="s">
        <v>741</v>
      </c>
      <c r="H299" s="961">
        <v>1</v>
      </c>
      <c r="I299" s="963">
        <v>39201</v>
      </c>
      <c r="J299" s="961">
        <v>1</v>
      </c>
      <c r="K299" s="961">
        <v>23</v>
      </c>
      <c r="L299" s="961">
        <v>1</v>
      </c>
      <c r="M299" s="961">
        <v>1</v>
      </c>
      <c r="N299" s="961" t="s">
        <v>6438</v>
      </c>
      <c r="O299" s="961">
        <v>13</v>
      </c>
      <c r="P299" s="964">
        <v>70000</v>
      </c>
      <c r="Q299" s="964"/>
      <c r="R299" s="964">
        <f t="shared" si="6"/>
        <v>70000</v>
      </c>
      <c r="S299" s="964">
        <v>64834</v>
      </c>
      <c r="T299" s="964">
        <v>64834</v>
      </c>
      <c r="U299" s="964">
        <v>64834</v>
      </c>
      <c r="V299" s="964">
        <v>64834</v>
      </c>
    </row>
    <row r="300" spans="1:22" x14ac:dyDescent="0.25">
      <c r="A300" s="961" t="s">
        <v>6461</v>
      </c>
      <c r="B300" s="961">
        <v>2</v>
      </c>
      <c r="C300" s="961">
        <v>2</v>
      </c>
      <c r="D300" s="961" t="s">
        <v>6436</v>
      </c>
      <c r="E300" s="961" t="s">
        <v>6437</v>
      </c>
      <c r="F300" s="962">
        <v>448</v>
      </c>
      <c r="G300" s="961" t="s">
        <v>741</v>
      </c>
      <c r="H300" s="961">
        <v>1</v>
      </c>
      <c r="I300" s="963" t="s">
        <v>6440</v>
      </c>
      <c r="J300" s="961">
        <v>1</v>
      </c>
      <c r="K300" s="961">
        <v>23</v>
      </c>
      <c r="L300" s="961">
        <v>1</v>
      </c>
      <c r="M300" s="961">
        <v>1</v>
      </c>
      <c r="N300" s="961" t="s">
        <v>6438</v>
      </c>
      <c r="O300" s="961">
        <v>13</v>
      </c>
      <c r="P300" s="964">
        <v>2963372.4</v>
      </c>
      <c r="Q300" s="964">
        <v>12461</v>
      </c>
      <c r="R300" s="964">
        <f t="shared" si="6"/>
        <v>2975833.4</v>
      </c>
      <c r="S300" s="964">
        <v>2963372.4</v>
      </c>
      <c r="T300" s="964">
        <v>2785904.08</v>
      </c>
      <c r="U300" s="964">
        <v>2785904.08</v>
      </c>
      <c r="V300" s="964">
        <v>2785904.08</v>
      </c>
    </row>
    <row r="301" spans="1:22" x14ac:dyDescent="0.25">
      <c r="A301" s="961" t="s">
        <v>6461</v>
      </c>
      <c r="B301" s="961">
        <v>2</v>
      </c>
      <c r="C301" s="961">
        <v>2</v>
      </c>
      <c r="D301" s="961" t="s">
        <v>6436</v>
      </c>
      <c r="E301" s="961" t="s">
        <v>6437</v>
      </c>
      <c r="F301" s="962">
        <v>448</v>
      </c>
      <c r="G301" s="961" t="s">
        <v>741</v>
      </c>
      <c r="H301" s="961">
        <v>1</v>
      </c>
      <c r="I301" s="963" t="s">
        <v>6441</v>
      </c>
      <c r="J301" s="961">
        <v>1</v>
      </c>
      <c r="K301" s="961">
        <v>23</v>
      </c>
      <c r="L301" s="961">
        <v>1</v>
      </c>
      <c r="M301" s="961">
        <v>1</v>
      </c>
      <c r="N301" s="961" t="s">
        <v>6438</v>
      </c>
      <c r="O301" s="961">
        <v>13</v>
      </c>
      <c r="P301" s="964">
        <v>350343.87</v>
      </c>
      <c r="Q301" s="964"/>
      <c r="R301" s="964">
        <f t="shared" si="6"/>
        <v>350343.87</v>
      </c>
      <c r="S301" s="964">
        <v>360335.74</v>
      </c>
      <c r="T301" s="964">
        <v>360335.74</v>
      </c>
      <c r="U301" s="964">
        <v>360335.74</v>
      </c>
      <c r="V301" s="964">
        <v>360335.74</v>
      </c>
    </row>
    <row r="302" spans="1:22" x14ac:dyDescent="0.25">
      <c r="A302" s="961" t="s">
        <v>6461</v>
      </c>
      <c r="B302" s="961">
        <v>2</v>
      </c>
      <c r="C302" s="961">
        <v>2</v>
      </c>
      <c r="D302" s="961" t="s">
        <v>6436</v>
      </c>
      <c r="E302" s="961" t="s">
        <v>6437</v>
      </c>
      <c r="F302" s="962">
        <v>448</v>
      </c>
      <c r="G302" s="961" t="s">
        <v>741</v>
      </c>
      <c r="H302" s="961">
        <v>1</v>
      </c>
      <c r="I302" s="963" t="s">
        <v>6442</v>
      </c>
      <c r="J302" s="961">
        <v>1</v>
      </c>
      <c r="K302" s="961">
        <v>23</v>
      </c>
      <c r="L302" s="961">
        <v>1</v>
      </c>
      <c r="M302" s="961">
        <v>1</v>
      </c>
      <c r="N302" s="961" t="s">
        <v>6438</v>
      </c>
      <c r="O302" s="961">
        <v>13</v>
      </c>
      <c r="P302" s="964">
        <v>503745.36</v>
      </c>
      <c r="Q302" s="964">
        <v>-5247</v>
      </c>
      <c r="R302" s="964">
        <f t="shared" si="6"/>
        <v>498498.36</v>
      </c>
      <c r="S302" s="964">
        <v>498498.36</v>
      </c>
      <c r="T302" s="964">
        <v>422999.57</v>
      </c>
      <c r="U302" s="964">
        <v>422999.57</v>
      </c>
      <c r="V302" s="964">
        <v>422999.57</v>
      </c>
    </row>
    <row r="303" spans="1:22" x14ac:dyDescent="0.25">
      <c r="A303" s="961" t="s">
        <v>6461</v>
      </c>
      <c r="B303" s="961">
        <v>2</v>
      </c>
      <c r="C303" s="961">
        <v>2</v>
      </c>
      <c r="D303" s="961" t="s">
        <v>6436</v>
      </c>
      <c r="E303" s="961" t="s">
        <v>6437</v>
      </c>
      <c r="F303" s="962">
        <v>448</v>
      </c>
      <c r="G303" s="961" t="s">
        <v>741</v>
      </c>
      <c r="H303" s="961">
        <v>1</v>
      </c>
      <c r="I303" s="963" t="s">
        <v>6443</v>
      </c>
      <c r="J303" s="961">
        <v>1</v>
      </c>
      <c r="K303" s="961">
        <v>23</v>
      </c>
      <c r="L303" s="961">
        <v>1</v>
      </c>
      <c r="M303" s="961">
        <v>1</v>
      </c>
      <c r="N303" s="961" t="s">
        <v>6438</v>
      </c>
      <c r="O303" s="961">
        <v>13</v>
      </c>
      <c r="P303" s="964">
        <v>38895.75</v>
      </c>
      <c r="Q303" s="964"/>
      <c r="R303" s="964">
        <f t="shared" si="6"/>
        <v>38895.75</v>
      </c>
      <c r="S303" s="964">
        <v>38895.75</v>
      </c>
      <c r="T303" s="964">
        <v>21785.4</v>
      </c>
      <c r="U303" s="964">
        <v>21785.4</v>
      </c>
      <c r="V303" s="964">
        <v>21785.4</v>
      </c>
    </row>
    <row r="304" spans="1:22" x14ac:dyDescent="0.25">
      <c r="A304" s="961" t="s">
        <v>6461</v>
      </c>
      <c r="B304" s="961">
        <v>2</v>
      </c>
      <c r="C304" s="961">
        <v>2</v>
      </c>
      <c r="D304" s="961" t="s">
        <v>6436</v>
      </c>
      <c r="E304" s="961" t="s">
        <v>6437</v>
      </c>
      <c r="F304" s="962">
        <v>448</v>
      </c>
      <c r="G304" s="961" t="s">
        <v>741</v>
      </c>
      <c r="H304" s="961">
        <v>1</v>
      </c>
      <c r="I304" s="963" t="s">
        <v>6444</v>
      </c>
      <c r="J304" s="961">
        <v>1</v>
      </c>
      <c r="K304" s="961">
        <v>23</v>
      </c>
      <c r="L304" s="961">
        <v>1</v>
      </c>
      <c r="M304" s="961">
        <v>1</v>
      </c>
      <c r="N304" s="961" t="s">
        <v>6438</v>
      </c>
      <c r="O304" s="961">
        <v>13</v>
      </c>
      <c r="P304" s="964">
        <v>77791.5</v>
      </c>
      <c r="Q304" s="964"/>
      <c r="R304" s="964">
        <f t="shared" si="6"/>
        <v>77791.5</v>
      </c>
      <c r="S304" s="964">
        <v>77791.5</v>
      </c>
      <c r="T304" s="964">
        <v>44151.8</v>
      </c>
      <c r="U304" s="964">
        <v>44151.8</v>
      </c>
      <c r="V304" s="964">
        <v>44151.8</v>
      </c>
    </row>
    <row r="305" spans="1:22" x14ac:dyDescent="0.25">
      <c r="A305" s="961" t="s">
        <v>6461</v>
      </c>
      <c r="B305" s="961">
        <v>2</v>
      </c>
      <c r="C305" s="961">
        <v>2</v>
      </c>
      <c r="D305" s="961" t="s">
        <v>6436</v>
      </c>
      <c r="E305" s="961" t="s">
        <v>6437</v>
      </c>
      <c r="F305" s="962">
        <v>448</v>
      </c>
      <c r="G305" s="961" t="s">
        <v>741</v>
      </c>
      <c r="H305" s="961">
        <v>1</v>
      </c>
      <c r="I305" s="963" t="s">
        <v>6445</v>
      </c>
      <c r="J305" s="961">
        <v>1</v>
      </c>
      <c r="K305" s="961">
        <v>23</v>
      </c>
      <c r="L305" s="961">
        <v>1</v>
      </c>
      <c r="M305" s="961">
        <v>1</v>
      </c>
      <c r="N305" s="961" t="s">
        <v>6438</v>
      </c>
      <c r="O305" s="961">
        <v>13</v>
      </c>
      <c r="P305" s="964">
        <v>876401.04</v>
      </c>
      <c r="Q305" s="964"/>
      <c r="R305" s="964">
        <f t="shared" si="6"/>
        <v>876401.04</v>
      </c>
      <c r="S305" s="964">
        <v>876401.04</v>
      </c>
      <c r="T305" s="964">
        <v>815042.41</v>
      </c>
      <c r="U305" s="964">
        <v>781171.31</v>
      </c>
      <c r="V305" s="964">
        <v>781171.31</v>
      </c>
    </row>
    <row r="306" spans="1:22" x14ac:dyDescent="0.25">
      <c r="A306" s="961" t="s">
        <v>6461</v>
      </c>
      <c r="B306" s="961">
        <v>2</v>
      </c>
      <c r="C306" s="961">
        <v>2</v>
      </c>
      <c r="D306" s="961" t="s">
        <v>6436</v>
      </c>
      <c r="E306" s="961" t="s">
        <v>6437</v>
      </c>
      <c r="F306" s="962">
        <v>448</v>
      </c>
      <c r="G306" s="961" t="s">
        <v>741</v>
      </c>
      <c r="H306" s="961">
        <v>1</v>
      </c>
      <c r="I306" s="963" t="s">
        <v>6446</v>
      </c>
      <c r="J306" s="961">
        <v>1</v>
      </c>
      <c r="K306" s="961">
        <v>23</v>
      </c>
      <c r="L306" s="961">
        <v>1</v>
      </c>
      <c r="M306" s="961">
        <v>1</v>
      </c>
      <c r="N306" s="961" t="s">
        <v>6438</v>
      </c>
      <c r="O306" s="961">
        <v>13</v>
      </c>
      <c r="P306" s="964">
        <v>2017518.24</v>
      </c>
      <c r="Q306" s="964"/>
      <c r="R306" s="964">
        <f t="shared" si="6"/>
        <v>2017518.24</v>
      </c>
      <c r="S306" s="964">
        <v>2017518.24</v>
      </c>
      <c r="T306" s="964">
        <v>1845792.86</v>
      </c>
      <c r="U306" s="964">
        <v>1845790.86</v>
      </c>
      <c r="V306" s="964">
        <v>1845790.86</v>
      </c>
    </row>
    <row r="307" spans="1:22" x14ac:dyDescent="0.25">
      <c r="A307" s="961" t="s">
        <v>6461</v>
      </c>
      <c r="B307" s="961">
        <v>2</v>
      </c>
      <c r="C307" s="961">
        <v>2</v>
      </c>
      <c r="D307" s="961" t="s">
        <v>6436</v>
      </c>
      <c r="E307" s="961" t="s">
        <v>6437</v>
      </c>
      <c r="F307" s="962">
        <v>448</v>
      </c>
      <c r="G307" s="961" t="s">
        <v>741</v>
      </c>
      <c r="H307" s="961">
        <v>1</v>
      </c>
      <c r="I307" s="963" t="s">
        <v>6447</v>
      </c>
      <c r="J307" s="961">
        <v>1</v>
      </c>
      <c r="K307" s="961">
        <v>23</v>
      </c>
      <c r="L307" s="961">
        <v>1</v>
      </c>
      <c r="M307" s="961">
        <v>1</v>
      </c>
      <c r="N307" s="961" t="s">
        <v>6438</v>
      </c>
      <c r="O307" s="961">
        <v>13</v>
      </c>
      <c r="P307" s="964">
        <v>3960</v>
      </c>
      <c r="Q307" s="964">
        <v>42000</v>
      </c>
      <c r="R307" s="964">
        <f t="shared" si="6"/>
        <v>45960</v>
      </c>
      <c r="S307" s="964">
        <v>45960</v>
      </c>
      <c r="T307" s="964">
        <v>45663</v>
      </c>
      <c r="U307" s="964">
        <v>45663</v>
      </c>
      <c r="V307" s="964">
        <v>45663</v>
      </c>
    </row>
    <row r="308" spans="1:22" x14ac:dyDescent="0.25">
      <c r="A308" s="961" t="s">
        <v>6461</v>
      </c>
      <c r="B308" s="961">
        <v>2</v>
      </c>
      <c r="C308" s="961">
        <v>2</v>
      </c>
      <c r="D308" s="961" t="s">
        <v>6436</v>
      </c>
      <c r="E308" s="961" t="s">
        <v>6437</v>
      </c>
      <c r="F308" s="962">
        <v>448</v>
      </c>
      <c r="G308" s="961" t="s">
        <v>741</v>
      </c>
      <c r="H308" s="961">
        <v>1</v>
      </c>
      <c r="I308" s="963" t="s">
        <v>6448</v>
      </c>
      <c r="J308" s="961">
        <v>1</v>
      </c>
      <c r="K308" s="961">
        <v>23</v>
      </c>
      <c r="L308" s="961">
        <v>1</v>
      </c>
      <c r="M308" s="961">
        <v>1</v>
      </c>
      <c r="N308" s="961" t="s">
        <v>6438</v>
      </c>
      <c r="O308" s="961">
        <v>13</v>
      </c>
      <c r="P308" s="964">
        <v>972</v>
      </c>
      <c r="Q308" s="964"/>
      <c r="R308" s="964">
        <f t="shared" si="6"/>
        <v>972</v>
      </c>
      <c r="S308" s="964">
        <v>972</v>
      </c>
      <c r="T308" s="964">
        <v>648</v>
      </c>
      <c r="U308" s="964">
        <v>648</v>
      </c>
      <c r="V308" s="964">
        <v>648</v>
      </c>
    </row>
    <row r="309" spans="1:22" x14ac:dyDescent="0.25">
      <c r="A309" s="961" t="s">
        <v>6461</v>
      </c>
      <c r="B309" s="961">
        <v>2</v>
      </c>
      <c r="C309" s="961">
        <v>2</v>
      </c>
      <c r="D309" s="961" t="s">
        <v>6436</v>
      </c>
      <c r="E309" s="961" t="s">
        <v>6437</v>
      </c>
      <c r="F309" s="962">
        <v>448</v>
      </c>
      <c r="G309" s="961" t="s">
        <v>741</v>
      </c>
      <c r="H309" s="961">
        <v>1</v>
      </c>
      <c r="I309" s="963" t="s">
        <v>6449</v>
      </c>
      <c r="J309" s="961">
        <v>1</v>
      </c>
      <c r="K309" s="961">
        <v>23</v>
      </c>
      <c r="L309" s="961">
        <v>1</v>
      </c>
      <c r="M309" s="961">
        <v>1</v>
      </c>
      <c r="N309" s="961" t="s">
        <v>6438</v>
      </c>
      <c r="O309" s="961">
        <v>13</v>
      </c>
      <c r="P309" s="964">
        <v>8284.32</v>
      </c>
      <c r="Q309" s="964"/>
      <c r="R309" s="964">
        <f t="shared" si="6"/>
        <v>8284.32</v>
      </c>
      <c r="S309" s="964">
        <v>8284.32</v>
      </c>
      <c r="T309" s="964">
        <v>6125.92</v>
      </c>
      <c r="U309" s="964">
        <v>6125.92</v>
      </c>
      <c r="V309" s="964">
        <v>6125.92</v>
      </c>
    </row>
    <row r="310" spans="1:22" x14ac:dyDescent="0.25">
      <c r="A310" s="961" t="s">
        <v>6461</v>
      </c>
      <c r="B310" s="961">
        <v>2</v>
      </c>
      <c r="C310" s="961">
        <v>2</v>
      </c>
      <c r="D310" s="961" t="s">
        <v>6436</v>
      </c>
      <c r="E310" s="961" t="s">
        <v>6437</v>
      </c>
      <c r="F310" s="962">
        <v>448</v>
      </c>
      <c r="G310" s="961" t="s">
        <v>741</v>
      </c>
      <c r="H310" s="961">
        <v>1</v>
      </c>
      <c r="I310" s="963">
        <v>15404</v>
      </c>
      <c r="J310" s="961">
        <v>1</v>
      </c>
      <c r="K310" s="961">
        <v>23</v>
      </c>
      <c r="L310" s="961">
        <v>1</v>
      </c>
      <c r="M310" s="961">
        <v>1</v>
      </c>
      <c r="N310" s="961" t="s">
        <v>6438</v>
      </c>
      <c r="O310" s="961">
        <v>13</v>
      </c>
      <c r="P310" s="964">
        <v>74959.28</v>
      </c>
      <c r="Q310" s="964"/>
      <c r="R310" s="964">
        <f t="shared" si="6"/>
        <v>74959.28</v>
      </c>
      <c r="S310" s="964">
        <v>74959.28</v>
      </c>
      <c r="T310" s="964">
        <v>61881.84</v>
      </c>
      <c r="U310" s="964">
        <v>61881.84</v>
      </c>
      <c r="V310" s="964">
        <v>61881.84</v>
      </c>
    </row>
    <row r="311" spans="1:22" x14ac:dyDescent="0.25">
      <c r="A311" s="961" t="s">
        <v>6461</v>
      </c>
      <c r="B311" s="961">
        <v>2</v>
      </c>
      <c r="C311" s="961">
        <v>2</v>
      </c>
      <c r="D311" s="961" t="s">
        <v>6436</v>
      </c>
      <c r="E311" s="961" t="s">
        <v>6437</v>
      </c>
      <c r="F311" s="962">
        <v>448</v>
      </c>
      <c r="G311" s="961" t="s">
        <v>741</v>
      </c>
      <c r="H311" s="961">
        <v>1</v>
      </c>
      <c r="I311" s="963">
        <v>15409</v>
      </c>
      <c r="J311" s="961">
        <v>1</v>
      </c>
      <c r="K311" s="961">
        <v>23</v>
      </c>
      <c r="L311" s="961">
        <v>1</v>
      </c>
      <c r="M311" s="961">
        <v>1</v>
      </c>
      <c r="N311" s="961" t="s">
        <v>6438</v>
      </c>
      <c r="O311" s="961">
        <v>13</v>
      </c>
      <c r="P311" s="964">
        <v>157200</v>
      </c>
      <c r="Q311" s="964"/>
      <c r="R311" s="964">
        <f t="shared" si="6"/>
        <v>157200</v>
      </c>
      <c r="S311" s="964">
        <v>157200</v>
      </c>
      <c r="T311" s="964">
        <v>141483</v>
      </c>
      <c r="U311" s="964">
        <v>141483</v>
      </c>
      <c r="V311" s="964">
        <v>141483</v>
      </c>
    </row>
    <row r="312" spans="1:22" x14ac:dyDescent="0.25">
      <c r="A312" s="961" t="s">
        <v>6461</v>
      </c>
      <c r="B312" s="961">
        <v>2</v>
      </c>
      <c r="C312" s="961">
        <v>2</v>
      </c>
      <c r="D312" s="961" t="s">
        <v>6436</v>
      </c>
      <c r="E312" s="961" t="s">
        <v>6437</v>
      </c>
      <c r="F312" s="962">
        <v>448</v>
      </c>
      <c r="G312" s="961" t="s">
        <v>741</v>
      </c>
      <c r="H312" s="961">
        <v>1</v>
      </c>
      <c r="I312" s="963">
        <v>15416</v>
      </c>
      <c r="J312" s="961">
        <v>1</v>
      </c>
      <c r="K312" s="961">
        <v>23</v>
      </c>
      <c r="L312" s="961">
        <v>1</v>
      </c>
      <c r="M312" s="961">
        <v>1</v>
      </c>
      <c r="N312" s="961" t="s">
        <v>6438</v>
      </c>
      <c r="O312" s="961">
        <v>13</v>
      </c>
      <c r="P312" s="964">
        <v>11400</v>
      </c>
      <c r="Q312" s="964"/>
      <c r="R312" s="964">
        <f t="shared" si="6"/>
        <v>11400</v>
      </c>
      <c r="S312" s="964">
        <v>11400</v>
      </c>
      <c r="T312" s="964">
        <v>8700</v>
      </c>
      <c r="U312" s="964">
        <v>8700</v>
      </c>
      <c r="V312" s="964">
        <v>8700</v>
      </c>
    </row>
    <row r="313" spans="1:22" x14ac:dyDescent="0.25">
      <c r="A313" s="961" t="s">
        <v>6461</v>
      </c>
      <c r="B313" s="961">
        <v>2</v>
      </c>
      <c r="C313" s="961">
        <v>2</v>
      </c>
      <c r="D313" s="961" t="s">
        <v>6436</v>
      </c>
      <c r="E313" s="961" t="s">
        <v>6437</v>
      </c>
      <c r="F313" s="962">
        <v>448</v>
      </c>
      <c r="G313" s="961" t="s">
        <v>741</v>
      </c>
      <c r="H313" s="961">
        <v>1</v>
      </c>
      <c r="I313" s="963">
        <v>15417</v>
      </c>
      <c r="J313" s="961">
        <v>1</v>
      </c>
      <c r="K313" s="961">
        <v>23</v>
      </c>
      <c r="L313" s="961">
        <v>1</v>
      </c>
      <c r="M313" s="961">
        <v>1</v>
      </c>
      <c r="N313" s="961" t="s">
        <v>6438</v>
      </c>
      <c r="O313" s="961">
        <v>13</v>
      </c>
      <c r="P313" s="964">
        <v>87720</v>
      </c>
      <c r="Q313" s="964"/>
      <c r="R313" s="964">
        <f t="shared" si="6"/>
        <v>87720</v>
      </c>
      <c r="S313" s="964">
        <v>87720</v>
      </c>
      <c r="T313" s="964">
        <v>82728</v>
      </c>
      <c r="U313" s="964">
        <v>82728</v>
      </c>
      <c r="V313" s="964">
        <v>82728</v>
      </c>
    </row>
    <row r="314" spans="1:22" x14ac:dyDescent="0.25">
      <c r="A314" s="961" t="s">
        <v>6461</v>
      </c>
      <c r="B314" s="961">
        <v>2</v>
      </c>
      <c r="C314" s="961">
        <v>2</v>
      </c>
      <c r="D314" s="961" t="s">
        <v>6436</v>
      </c>
      <c r="E314" s="961" t="s">
        <v>6437</v>
      </c>
      <c r="F314" s="962">
        <v>448</v>
      </c>
      <c r="G314" s="961" t="s">
        <v>741</v>
      </c>
      <c r="H314" s="961">
        <v>1</v>
      </c>
      <c r="I314" s="963">
        <v>15418</v>
      </c>
      <c r="J314" s="961">
        <v>1</v>
      </c>
      <c r="K314" s="961">
        <v>23</v>
      </c>
      <c r="L314" s="961">
        <v>1</v>
      </c>
      <c r="M314" s="961">
        <v>1</v>
      </c>
      <c r="N314" s="961" t="s">
        <v>6438</v>
      </c>
      <c r="O314" s="961">
        <v>13</v>
      </c>
      <c r="P314" s="964">
        <v>44975.55</v>
      </c>
      <c r="Q314" s="964">
        <v>-7011</v>
      </c>
      <c r="R314" s="964">
        <f t="shared" si="6"/>
        <v>37964.550000000003</v>
      </c>
      <c r="S314" s="964">
        <v>44975.55</v>
      </c>
      <c r="T314" s="964">
        <v>40337.17</v>
      </c>
      <c r="U314" s="964">
        <v>40337.17</v>
      </c>
      <c r="V314" s="964">
        <v>40337.17</v>
      </c>
    </row>
    <row r="315" spans="1:22" x14ac:dyDescent="0.25">
      <c r="A315" s="961" t="s">
        <v>6461</v>
      </c>
      <c r="B315" s="961">
        <v>2</v>
      </c>
      <c r="C315" s="961">
        <v>2</v>
      </c>
      <c r="D315" s="961" t="s">
        <v>6436</v>
      </c>
      <c r="E315" s="961" t="s">
        <v>6437</v>
      </c>
      <c r="F315" s="962">
        <v>448</v>
      </c>
      <c r="G315" s="961" t="s">
        <v>741</v>
      </c>
      <c r="H315" s="961">
        <v>1</v>
      </c>
      <c r="I315" s="963" t="s">
        <v>6450</v>
      </c>
      <c r="J315" s="961">
        <v>1</v>
      </c>
      <c r="K315" s="961">
        <v>23</v>
      </c>
      <c r="L315" s="961">
        <v>1</v>
      </c>
      <c r="M315" s="961">
        <v>1</v>
      </c>
      <c r="N315" s="961" t="s">
        <v>6438</v>
      </c>
      <c r="O315" s="961">
        <v>13</v>
      </c>
      <c r="P315" s="964">
        <v>96960</v>
      </c>
      <c r="Q315" s="964"/>
      <c r="R315" s="964">
        <f t="shared" si="6"/>
        <v>96960</v>
      </c>
      <c r="S315" s="964">
        <v>96960</v>
      </c>
      <c r="T315" s="964">
        <v>91044</v>
      </c>
      <c r="U315" s="964">
        <v>91044</v>
      </c>
      <c r="V315" s="964">
        <v>91044</v>
      </c>
    </row>
    <row r="316" spans="1:22" x14ac:dyDescent="0.25">
      <c r="A316" s="961" t="s">
        <v>6461</v>
      </c>
      <c r="B316" s="961">
        <v>2</v>
      </c>
      <c r="C316" s="961">
        <v>2</v>
      </c>
      <c r="D316" s="961" t="s">
        <v>6436</v>
      </c>
      <c r="E316" s="961" t="s">
        <v>6437</v>
      </c>
      <c r="F316" s="962">
        <v>448</v>
      </c>
      <c r="G316" s="961" t="s">
        <v>741</v>
      </c>
      <c r="H316" s="961">
        <v>1</v>
      </c>
      <c r="I316" s="963">
        <v>15421</v>
      </c>
      <c r="J316" s="961">
        <v>1</v>
      </c>
      <c r="K316" s="961">
        <v>23</v>
      </c>
      <c r="L316" s="961">
        <v>1</v>
      </c>
      <c r="M316" s="961">
        <v>1</v>
      </c>
      <c r="N316" s="961" t="s">
        <v>6438</v>
      </c>
      <c r="O316" s="961">
        <v>13</v>
      </c>
      <c r="P316" s="964">
        <v>3705</v>
      </c>
      <c r="Q316" s="964"/>
      <c r="R316" s="964">
        <f t="shared" si="6"/>
        <v>3705</v>
      </c>
      <c r="S316" s="964">
        <v>3840</v>
      </c>
      <c r="T316" s="964">
        <v>3840</v>
      </c>
      <c r="U316" s="964">
        <v>3840</v>
      </c>
      <c r="V316" s="964">
        <v>3840</v>
      </c>
    </row>
    <row r="317" spans="1:22" x14ac:dyDescent="0.25">
      <c r="A317" s="961" t="s">
        <v>6461</v>
      </c>
      <c r="B317" s="961">
        <v>2</v>
      </c>
      <c r="C317" s="961">
        <v>2</v>
      </c>
      <c r="D317" s="961" t="s">
        <v>6436</v>
      </c>
      <c r="E317" s="961" t="s">
        <v>6437</v>
      </c>
      <c r="F317" s="962">
        <v>448</v>
      </c>
      <c r="G317" s="961" t="s">
        <v>741</v>
      </c>
      <c r="H317" s="961">
        <v>1</v>
      </c>
      <c r="I317" s="963">
        <v>15423</v>
      </c>
      <c r="J317" s="961">
        <v>1</v>
      </c>
      <c r="K317" s="961">
        <v>23</v>
      </c>
      <c r="L317" s="961">
        <v>1</v>
      </c>
      <c r="M317" s="961">
        <v>1</v>
      </c>
      <c r="N317" s="961" t="s">
        <v>6438</v>
      </c>
      <c r="O317" s="961">
        <v>13</v>
      </c>
      <c r="P317" s="964">
        <v>6300</v>
      </c>
      <c r="Q317" s="964"/>
      <c r="R317" s="964">
        <f t="shared" si="6"/>
        <v>6300</v>
      </c>
      <c r="S317" s="964">
        <v>6570</v>
      </c>
      <c r="T317" s="964">
        <v>6570</v>
      </c>
      <c r="U317" s="964">
        <v>6570</v>
      </c>
      <c r="V317" s="964">
        <v>6570</v>
      </c>
    </row>
    <row r="318" spans="1:22" x14ac:dyDescent="0.25">
      <c r="A318" s="961" t="s">
        <v>6461</v>
      </c>
      <c r="B318" s="961">
        <v>2</v>
      </c>
      <c r="C318" s="961">
        <v>2</v>
      </c>
      <c r="D318" s="961" t="s">
        <v>6436</v>
      </c>
      <c r="E318" s="961" t="s">
        <v>6437</v>
      </c>
      <c r="F318" s="962">
        <v>448</v>
      </c>
      <c r="G318" s="961" t="s">
        <v>741</v>
      </c>
      <c r="H318" s="961">
        <v>1</v>
      </c>
      <c r="I318" s="963">
        <v>15424</v>
      </c>
      <c r="J318" s="961">
        <v>1</v>
      </c>
      <c r="K318" s="961">
        <v>23</v>
      </c>
      <c r="L318" s="961">
        <v>1</v>
      </c>
      <c r="M318" s="961">
        <v>1</v>
      </c>
      <c r="N318" s="961" t="s">
        <v>6438</v>
      </c>
      <c r="O318" s="961">
        <v>13</v>
      </c>
      <c r="P318" s="964">
        <v>6300</v>
      </c>
      <c r="Q318" s="964">
        <v>-5450</v>
      </c>
      <c r="R318" s="964">
        <f t="shared" si="6"/>
        <v>850</v>
      </c>
      <c r="S318" s="964">
        <v>6300</v>
      </c>
      <c r="T318" s="964">
        <v>4750</v>
      </c>
      <c r="U318" s="964">
        <v>4750</v>
      </c>
      <c r="V318" s="964">
        <v>4750</v>
      </c>
    </row>
    <row r="319" spans="1:22" x14ac:dyDescent="0.25">
      <c r="A319" s="961" t="s">
        <v>6461</v>
      </c>
      <c r="B319" s="961">
        <v>2</v>
      </c>
      <c r="C319" s="961">
        <v>2</v>
      </c>
      <c r="D319" s="961" t="s">
        <v>6436</v>
      </c>
      <c r="E319" s="961" t="s">
        <v>6437</v>
      </c>
      <c r="F319" s="962">
        <v>448</v>
      </c>
      <c r="G319" s="961" t="s">
        <v>741</v>
      </c>
      <c r="H319" s="961">
        <v>1</v>
      </c>
      <c r="I319" s="963">
        <v>15425</v>
      </c>
      <c r="J319" s="961">
        <v>1</v>
      </c>
      <c r="K319" s="961">
        <v>23</v>
      </c>
      <c r="L319" s="961">
        <v>1</v>
      </c>
      <c r="M319" s="961">
        <v>1</v>
      </c>
      <c r="N319" s="961" t="s">
        <v>6438</v>
      </c>
      <c r="O319" s="961">
        <v>13</v>
      </c>
      <c r="P319" s="964">
        <v>50040</v>
      </c>
      <c r="Q319" s="964"/>
      <c r="R319" s="964">
        <f t="shared" si="6"/>
        <v>50040</v>
      </c>
      <c r="S319" s="964">
        <v>51516</v>
      </c>
      <c r="T319" s="964">
        <v>51516</v>
      </c>
      <c r="U319" s="964">
        <v>51516</v>
      </c>
      <c r="V319" s="964">
        <v>51516</v>
      </c>
    </row>
    <row r="320" spans="1:22" x14ac:dyDescent="0.25">
      <c r="A320" s="961" t="s">
        <v>6461</v>
      </c>
      <c r="B320" s="961">
        <v>2</v>
      </c>
      <c r="C320" s="961">
        <v>2</v>
      </c>
      <c r="D320" s="961" t="s">
        <v>6436</v>
      </c>
      <c r="E320" s="961" t="s">
        <v>6437</v>
      </c>
      <c r="F320" s="962">
        <v>448</v>
      </c>
      <c r="G320" s="961" t="s">
        <v>741</v>
      </c>
      <c r="H320" s="961">
        <v>1</v>
      </c>
      <c r="I320" s="963">
        <v>15426</v>
      </c>
      <c r="J320" s="961">
        <v>1</v>
      </c>
      <c r="K320" s="961">
        <v>23</v>
      </c>
      <c r="L320" s="961">
        <v>1</v>
      </c>
      <c r="M320" s="961">
        <v>1</v>
      </c>
      <c r="N320" s="961" t="s">
        <v>6438</v>
      </c>
      <c r="O320" s="961">
        <v>13</v>
      </c>
      <c r="P320" s="964"/>
      <c r="Q320" s="964"/>
      <c r="R320" s="964">
        <f t="shared" si="6"/>
        <v>0</v>
      </c>
      <c r="S320" s="964">
        <v>1412.5</v>
      </c>
      <c r="T320" s="964">
        <v>1412.5</v>
      </c>
      <c r="U320" s="964">
        <v>1412.5</v>
      </c>
      <c r="V320" s="964">
        <v>1412.5</v>
      </c>
    </row>
    <row r="321" spans="1:22" x14ac:dyDescent="0.25">
      <c r="A321" s="961" t="s">
        <v>6461</v>
      </c>
      <c r="B321" s="961">
        <v>2</v>
      </c>
      <c r="C321" s="961">
        <v>2</v>
      </c>
      <c r="D321" s="961" t="s">
        <v>6436</v>
      </c>
      <c r="E321" s="961" t="s">
        <v>6437</v>
      </c>
      <c r="F321" s="962">
        <v>448</v>
      </c>
      <c r="G321" s="961" t="s">
        <v>741</v>
      </c>
      <c r="H321" s="961">
        <v>1</v>
      </c>
      <c r="I321" s="963">
        <v>15427</v>
      </c>
      <c r="J321" s="961">
        <v>1</v>
      </c>
      <c r="K321" s="961">
        <v>23</v>
      </c>
      <c r="L321" s="961">
        <v>1</v>
      </c>
      <c r="M321" s="961">
        <v>1</v>
      </c>
      <c r="N321" s="961" t="s">
        <v>6438</v>
      </c>
      <c r="O321" s="961">
        <v>13</v>
      </c>
      <c r="P321" s="964">
        <v>18000</v>
      </c>
      <c r="Q321" s="964"/>
      <c r="R321" s="964">
        <f t="shared" si="6"/>
        <v>18000</v>
      </c>
      <c r="S321" s="964">
        <v>18000</v>
      </c>
      <c r="T321" s="964">
        <v>16200</v>
      </c>
      <c r="U321" s="964">
        <v>16200</v>
      </c>
      <c r="V321" s="964">
        <v>16200</v>
      </c>
    </row>
    <row r="322" spans="1:22" x14ac:dyDescent="0.25">
      <c r="A322" s="961" t="s">
        <v>6461</v>
      </c>
      <c r="B322" s="961">
        <v>2</v>
      </c>
      <c r="C322" s="961">
        <v>2</v>
      </c>
      <c r="D322" s="961" t="s">
        <v>6436</v>
      </c>
      <c r="E322" s="961" t="s">
        <v>6437</v>
      </c>
      <c r="F322" s="962">
        <v>448</v>
      </c>
      <c r="G322" s="961" t="s">
        <v>741</v>
      </c>
      <c r="H322" s="961">
        <v>1</v>
      </c>
      <c r="I322" s="963">
        <v>15430</v>
      </c>
      <c r="J322" s="961">
        <v>1</v>
      </c>
      <c r="K322" s="961">
        <v>23</v>
      </c>
      <c r="L322" s="961">
        <v>1</v>
      </c>
      <c r="M322" s="961">
        <v>1</v>
      </c>
      <c r="N322" s="961" t="s">
        <v>6438</v>
      </c>
      <c r="O322" s="961">
        <v>13</v>
      </c>
      <c r="P322" s="964">
        <v>7500</v>
      </c>
      <c r="Q322" s="964"/>
      <c r="R322" s="964">
        <f t="shared" si="6"/>
        <v>7500</v>
      </c>
      <c r="S322" s="964">
        <v>7500</v>
      </c>
      <c r="T322" s="964">
        <v>7200</v>
      </c>
      <c r="U322" s="964">
        <v>7200</v>
      </c>
      <c r="V322" s="964">
        <v>7200</v>
      </c>
    </row>
    <row r="323" spans="1:22" x14ac:dyDescent="0.25">
      <c r="A323" s="961" t="s">
        <v>6461</v>
      </c>
      <c r="B323" s="961">
        <v>2</v>
      </c>
      <c r="C323" s="961">
        <v>2</v>
      </c>
      <c r="D323" s="961" t="s">
        <v>6436</v>
      </c>
      <c r="E323" s="961" t="s">
        <v>6437</v>
      </c>
      <c r="F323" s="962">
        <v>448</v>
      </c>
      <c r="G323" s="961" t="s">
        <v>741</v>
      </c>
      <c r="H323" s="961">
        <v>1</v>
      </c>
      <c r="I323" s="963" t="s">
        <v>6451</v>
      </c>
      <c r="J323" s="961">
        <v>1</v>
      </c>
      <c r="K323" s="961">
        <v>23</v>
      </c>
      <c r="L323" s="961">
        <v>1</v>
      </c>
      <c r="M323" s="961">
        <v>1</v>
      </c>
      <c r="N323" s="961" t="s">
        <v>6438</v>
      </c>
      <c r="O323" s="961">
        <v>13</v>
      </c>
      <c r="P323" s="964">
        <v>1067869.7633333299</v>
      </c>
      <c r="Q323" s="964">
        <v>-2753</v>
      </c>
      <c r="R323" s="964">
        <f t="shared" si="6"/>
        <v>1065116.7633333299</v>
      </c>
      <c r="S323" s="964">
        <v>1065116.7633333299</v>
      </c>
      <c r="T323" s="964">
        <v>997690.35</v>
      </c>
      <c r="U323" s="964">
        <v>919827.85</v>
      </c>
      <c r="V323" s="964">
        <v>919827.85</v>
      </c>
    </row>
    <row r="324" spans="1:22" x14ac:dyDescent="0.25">
      <c r="A324" s="961" t="s">
        <v>6461</v>
      </c>
      <c r="B324" s="961">
        <v>2</v>
      </c>
      <c r="C324" s="961">
        <v>2</v>
      </c>
      <c r="D324" s="961" t="s">
        <v>6436</v>
      </c>
      <c r="E324" s="961" t="s">
        <v>6437</v>
      </c>
      <c r="F324" s="962">
        <v>448</v>
      </c>
      <c r="G324" s="961" t="s">
        <v>741</v>
      </c>
      <c r="H324" s="961">
        <v>1</v>
      </c>
      <c r="I324" s="963" t="s">
        <v>6454</v>
      </c>
      <c r="J324" s="961">
        <v>1</v>
      </c>
      <c r="K324" s="961">
        <v>23</v>
      </c>
      <c r="L324" s="961">
        <v>1</v>
      </c>
      <c r="M324" s="961">
        <v>1</v>
      </c>
      <c r="N324" s="961" t="s">
        <v>6438</v>
      </c>
      <c r="O324" s="961">
        <v>13</v>
      </c>
      <c r="P324" s="964">
        <v>22800</v>
      </c>
      <c r="Q324" s="964"/>
      <c r="R324" s="964">
        <f t="shared" si="6"/>
        <v>22800</v>
      </c>
      <c r="S324" s="964">
        <v>72750</v>
      </c>
      <c r="T324" s="964">
        <v>72750</v>
      </c>
      <c r="U324" s="964">
        <v>72750</v>
      </c>
      <c r="V324" s="964">
        <v>72750</v>
      </c>
    </row>
    <row r="325" spans="1:22" x14ac:dyDescent="0.25">
      <c r="A325" s="961" t="s">
        <v>6461</v>
      </c>
      <c r="B325" s="961">
        <v>2</v>
      </c>
      <c r="C325" s="961">
        <v>2</v>
      </c>
      <c r="D325" s="961" t="s">
        <v>6436</v>
      </c>
      <c r="E325" s="961" t="s">
        <v>6437</v>
      </c>
      <c r="F325" s="962">
        <v>448</v>
      </c>
      <c r="G325" s="961" t="s">
        <v>741</v>
      </c>
      <c r="H325" s="961">
        <v>1</v>
      </c>
      <c r="I325" s="963" t="s">
        <v>6457</v>
      </c>
      <c r="J325" s="961">
        <v>1</v>
      </c>
      <c r="K325" s="961">
        <v>23</v>
      </c>
      <c r="L325" s="961">
        <v>1</v>
      </c>
      <c r="M325" s="961">
        <v>1</v>
      </c>
      <c r="N325" s="961" t="s">
        <v>6438</v>
      </c>
      <c r="O325" s="961">
        <v>13</v>
      </c>
      <c r="P325" s="964">
        <v>35200</v>
      </c>
      <c r="Q325" s="964">
        <v>-21282</v>
      </c>
      <c r="R325" s="964">
        <f t="shared" si="6"/>
        <v>13918</v>
      </c>
      <c r="S325" s="964">
        <v>35200</v>
      </c>
      <c r="T325" s="964">
        <v>21120</v>
      </c>
      <c r="U325" s="964">
        <v>21120</v>
      </c>
      <c r="V325" s="964">
        <v>21120</v>
      </c>
    </row>
    <row r="326" spans="1:22" x14ac:dyDescent="0.25">
      <c r="A326" s="961" t="s">
        <v>6461</v>
      </c>
      <c r="B326" s="961">
        <v>2</v>
      </c>
      <c r="C326" s="961">
        <v>2</v>
      </c>
      <c r="D326" s="961" t="s">
        <v>6436</v>
      </c>
      <c r="E326" s="961" t="s">
        <v>6437</v>
      </c>
      <c r="F326" s="962">
        <v>448</v>
      </c>
      <c r="G326" s="961" t="s">
        <v>741</v>
      </c>
      <c r="H326" s="961">
        <v>1</v>
      </c>
      <c r="I326" s="963">
        <v>17105</v>
      </c>
      <c r="J326" s="961">
        <v>1</v>
      </c>
      <c r="K326" s="961">
        <v>23</v>
      </c>
      <c r="L326" s="961">
        <v>1</v>
      </c>
      <c r="M326" s="961">
        <v>1</v>
      </c>
      <c r="N326" s="961" t="s">
        <v>6438</v>
      </c>
      <c r="O326" s="961">
        <v>13</v>
      </c>
      <c r="P326" s="964">
        <v>55032.959999999999</v>
      </c>
      <c r="Q326" s="964"/>
      <c r="R326" s="964">
        <f t="shared" si="6"/>
        <v>55032.959999999999</v>
      </c>
      <c r="S326" s="964">
        <v>57234.43</v>
      </c>
      <c r="T326" s="964">
        <v>57234.43</v>
      </c>
      <c r="U326" s="964">
        <v>57234.43</v>
      </c>
      <c r="V326" s="964">
        <v>57234.43</v>
      </c>
    </row>
    <row r="327" spans="1:22" x14ac:dyDescent="0.25">
      <c r="A327" s="961" t="s">
        <v>6461</v>
      </c>
      <c r="B327" s="961">
        <v>2</v>
      </c>
      <c r="C327" s="961">
        <v>2</v>
      </c>
      <c r="D327" s="961" t="s">
        <v>6436</v>
      </c>
      <c r="E327" s="961" t="s">
        <v>6437</v>
      </c>
      <c r="F327" s="962">
        <v>448</v>
      </c>
      <c r="G327" s="961" t="s">
        <v>741</v>
      </c>
      <c r="H327" s="961">
        <v>1</v>
      </c>
      <c r="I327" s="963">
        <v>99101</v>
      </c>
      <c r="J327" s="961">
        <v>1</v>
      </c>
      <c r="K327" s="961">
        <v>23</v>
      </c>
      <c r="L327" s="961">
        <v>1</v>
      </c>
      <c r="M327" s="961">
        <v>1</v>
      </c>
      <c r="N327" s="961" t="s">
        <v>6438</v>
      </c>
      <c r="O327" s="961">
        <v>13</v>
      </c>
      <c r="P327" s="964"/>
      <c r="Q327" s="964"/>
      <c r="R327" s="964">
        <f t="shared" si="6"/>
        <v>0</v>
      </c>
      <c r="S327" s="964"/>
      <c r="T327" s="964"/>
      <c r="U327" s="964"/>
      <c r="V327" s="964"/>
    </row>
    <row r="328" spans="1:22" x14ac:dyDescent="0.25">
      <c r="A328" s="961" t="s">
        <v>6461</v>
      </c>
      <c r="B328" s="961">
        <v>2</v>
      </c>
      <c r="C328" s="961">
        <v>2</v>
      </c>
      <c r="D328" s="961" t="s">
        <v>6436</v>
      </c>
      <c r="E328" s="961" t="s">
        <v>6437</v>
      </c>
      <c r="F328" s="962">
        <v>448</v>
      </c>
      <c r="G328" s="961" t="s">
        <v>741</v>
      </c>
      <c r="H328" s="961">
        <v>1</v>
      </c>
      <c r="I328" s="963">
        <v>61406</v>
      </c>
      <c r="J328" s="961">
        <v>2</v>
      </c>
      <c r="K328" s="961">
        <v>22</v>
      </c>
      <c r="L328" s="961">
        <v>2</v>
      </c>
      <c r="M328" s="961">
        <v>5</v>
      </c>
      <c r="N328" s="961" t="s">
        <v>6460</v>
      </c>
      <c r="O328" s="961">
        <v>13</v>
      </c>
      <c r="P328" s="964"/>
      <c r="Q328" s="964">
        <v>2792120.12</v>
      </c>
      <c r="R328" s="964">
        <f t="shared" si="6"/>
        <v>2792120.12</v>
      </c>
      <c r="S328" s="964">
        <v>1954552.16</v>
      </c>
      <c r="T328" s="964">
        <v>1035684.72</v>
      </c>
      <c r="U328" s="964">
        <v>1035684.72</v>
      </c>
      <c r="V328" s="964">
        <v>1035684.72</v>
      </c>
    </row>
    <row r="329" spans="1:22" x14ac:dyDescent="0.25">
      <c r="A329" s="961" t="s">
        <v>6461</v>
      </c>
      <c r="B329" s="961">
        <v>2</v>
      </c>
      <c r="C329" s="961">
        <v>2</v>
      </c>
      <c r="D329" s="961" t="s">
        <v>6436</v>
      </c>
      <c r="E329" s="961" t="s">
        <v>6437</v>
      </c>
      <c r="F329" s="962">
        <v>448</v>
      </c>
      <c r="G329" s="961" t="s">
        <v>741</v>
      </c>
      <c r="H329" s="961">
        <v>1</v>
      </c>
      <c r="I329" s="963">
        <v>61406</v>
      </c>
      <c r="J329" s="961">
        <v>2</v>
      </c>
      <c r="K329" s="961">
        <v>23</v>
      </c>
      <c r="L329" s="961">
        <v>2</v>
      </c>
      <c r="M329" s="961">
        <v>5</v>
      </c>
      <c r="N329" s="961" t="s">
        <v>6460</v>
      </c>
      <c r="O329" s="961">
        <v>13</v>
      </c>
      <c r="P329" s="964"/>
      <c r="Q329" s="964"/>
      <c r="R329" s="964">
        <f t="shared" si="6"/>
        <v>0</v>
      </c>
      <c r="S329" s="964"/>
      <c r="T329" s="964"/>
      <c r="U329" s="964"/>
      <c r="V329" s="964"/>
    </row>
    <row r="330" spans="1:22" x14ac:dyDescent="0.25">
      <c r="A330" s="967">
        <v>4121500200</v>
      </c>
      <c r="B330" s="961">
        <v>2</v>
      </c>
      <c r="C330" s="961">
        <v>2</v>
      </c>
      <c r="D330" s="961" t="s">
        <v>6436</v>
      </c>
      <c r="E330" s="961" t="s">
        <v>6437</v>
      </c>
      <c r="F330" s="962">
        <v>448</v>
      </c>
      <c r="G330" s="961" t="s">
        <v>741</v>
      </c>
      <c r="H330" s="961">
        <v>1</v>
      </c>
      <c r="I330" s="963">
        <v>61408</v>
      </c>
      <c r="J330" s="961">
        <v>2</v>
      </c>
      <c r="K330" s="961">
        <v>23</v>
      </c>
      <c r="L330" s="961">
        <v>1</v>
      </c>
      <c r="M330" s="961">
        <v>1</v>
      </c>
      <c r="N330" s="961" t="s">
        <v>6438</v>
      </c>
      <c r="O330" s="961">
        <v>13</v>
      </c>
      <c r="P330" s="964"/>
      <c r="Q330" s="964">
        <v>62164506.859999999</v>
      </c>
      <c r="R330" s="964">
        <f t="shared" si="6"/>
        <v>62164506.859999999</v>
      </c>
      <c r="S330" s="964">
        <v>62164506.260000005</v>
      </c>
      <c r="T330" s="964">
        <v>62164506.260000005</v>
      </c>
      <c r="U330" s="964">
        <v>62164506.859999999</v>
      </c>
      <c r="V330" s="964">
        <v>62164506.859999999</v>
      </c>
    </row>
    <row r="331" spans="1:22" x14ac:dyDescent="0.25">
      <c r="A331" s="961" t="s">
        <v>6461</v>
      </c>
      <c r="B331" s="961">
        <v>2</v>
      </c>
      <c r="C331" s="961">
        <v>2</v>
      </c>
      <c r="D331" s="961" t="s">
        <v>6436</v>
      </c>
      <c r="E331" s="961" t="s">
        <v>6437</v>
      </c>
      <c r="F331" s="962">
        <v>448</v>
      </c>
      <c r="G331" s="961" t="s">
        <v>741</v>
      </c>
      <c r="H331" s="961">
        <v>1</v>
      </c>
      <c r="I331" s="963">
        <v>61406</v>
      </c>
      <c r="J331" s="961">
        <v>2</v>
      </c>
      <c r="K331" s="961">
        <v>23</v>
      </c>
      <c r="L331" s="961">
        <v>1</v>
      </c>
      <c r="M331" s="961">
        <v>1</v>
      </c>
      <c r="N331" s="961" t="s">
        <v>6438</v>
      </c>
      <c r="O331" s="961">
        <v>13</v>
      </c>
      <c r="P331" s="964"/>
      <c r="Q331" s="964">
        <v>12393447.560000001</v>
      </c>
      <c r="R331" s="964">
        <f t="shared" si="6"/>
        <v>12393447.560000001</v>
      </c>
      <c r="S331" s="964">
        <v>9767649.2199999988</v>
      </c>
      <c r="T331" s="964">
        <v>9767649.2199999988</v>
      </c>
      <c r="U331" s="964">
        <v>9767649.2199999988</v>
      </c>
      <c r="V331" s="964">
        <f>7115156.88+'[9]Reporte de Compac'!$I$43</f>
        <v>10974049.219999999</v>
      </c>
    </row>
    <row r="332" spans="1:22" x14ac:dyDescent="0.25">
      <c r="A332" s="961" t="s">
        <v>6461</v>
      </c>
      <c r="B332" s="961">
        <v>2</v>
      </c>
      <c r="C332" s="961">
        <v>2</v>
      </c>
      <c r="D332" s="961" t="s">
        <v>6436</v>
      </c>
      <c r="E332" s="961" t="s">
        <v>6437</v>
      </c>
      <c r="F332" s="962">
        <v>448</v>
      </c>
      <c r="G332" s="961" t="s">
        <v>741</v>
      </c>
      <c r="H332" s="961">
        <v>1</v>
      </c>
      <c r="I332" s="963">
        <v>61408</v>
      </c>
      <c r="J332" s="961">
        <v>2</v>
      </c>
      <c r="K332" s="961">
        <v>22</v>
      </c>
      <c r="L332" s="961">
        <v>1</v>
      </c>
      <c r="M332" s="961">
        <v>1</v>
      </c>
      <c r="N332" s="961" t="s">
        <v>6438</v>
      </c>
      <c r="O332" s="961">
        <v>13</v>
      </c>
      <c r="P332" s="964"/>
      <c r="Q332" s="964">
        <f>19890556.72+1413027</f>
        <v>21303583.719999999</v>
      </c>
      <c r="R332" s="964">
        <f t="shared" si="6"/>
        <v>21303583.719999999</v>
      </c>
      <c r="S332" s="964">
        <f>24965894.75-4087179.09</f>
        <v>20878715.66</v>
      </c>
      <c r="T332" s="964">
        <v>24965894.75</v>
      </c>
      <c r="U332" s="964">
        <v>24965894.75</v>
      </c>
      <c r="V332" s="964">
        <v>23040677.329999998</v>
      </c>
    </row>
    <row r="333" spans="1:22" x14ac:dyDescent="0.25">
      <c r="A333" s="961" t="s">
        <v>6461</v>
      </c>
      <c r="B333" s="961">
        <v>2</v>
      </c>
      <c r="C333" s="961">
        <v>2</v>
      </c>
      <c r="D333" s="961" t="s">
        <v>6436</v>
      </c>
      <c r="E333" s="961" t="s">
        <v>6437</v>
      </c>
      <c r="F333" s="962">
        <v>448</v>
      </c>
      <c r="G333" s="961" t="s">
        <v>741</v>
      </c>
      <c r="H333" s="961">
        <v>1</v>
      </c>
      <c r="I333" s="963">
        <v>61408</v>
      </c>
      <c r="J333" s="961">
        <v>2</v>
      </c>
      <c r="K333" s="961">
        <v>23</v>
      </c>
      <c r="L333" s="961">
        <v>1</v>
      </c>
      <c r="M333" s="961">
        <v>1</v>
      </c>
      <c r="N333" s="961" t="s">
        <v>6438</v>
      </c>
      <c r="O333" s="961">
        <v>13</v>
      </c>
      <c r="P333" s="964">
        <v>33640828.600593105</v>
      </c>
      <c r="Q333" s="964">
        <v>-8084902.1600000001</v>
      </c>
      <c r="R333" s="964">
        <f t="shared" si="6"/>
        <v>25555926.440593105</v>
      </c>
      <c r="S333" s="964">
        <v>39273329.609999999</v>
      </c>
      <c r="T333" s="964">
        <v>39273329.609999999</v>
      </c>
      <c r="U333" s="964">
        <v>39273329.609999999</v>
      </c>
      <c r="V333" s="964">
        <v>36551834.280000001</v>
      </c>
    </row>
    <row r="334" spans="1:22" x14ac:dyDescent="0.25">
      <c r="A334" s="961" t="s">
        <v>6461</v>
      </c>
      <c r="B334" s="961">
        <v>2</v>
      </c>
      <c r="C334" s="961">
        <v>2</v>
      </c>
      <c r="D334" s="961" t="s">
        <v>6436</v>
      </c>
      <c r="E334" s="961" t="s">
        <v>6437</v>
      </c>
      <c r="F334" s="962">
        <v>448</v>
      </c>
      <c r="G334" s="961" t="s">
        <v>741</v>
      </c>
      <c r="H334" s="961">
        <v>1</v>
      </c>
      <c r="I334" s="963">
        <v>61408</v>
      </c>
      <c r="J334" s="961">
        <v>2</v>
      </c>
      <c r="K334" s="961">
        <v>22</v>
      </c>
      <c r="L334" s="961">
        <v>2</v>
      </c>
      <c r="M334" s="961">
        <v>5</v>
      </c>
      <c r="N334" s="961" t="s">
        <v>6460</v>
      </c>
      <c r="O334" s="961">
        <v>13</v>
      </c>
      <c r="P334" s="964"/>
      <c r="Q334" s="964">
        <v>17911074.02</v>
      </c>
      <c r="R334" s="964">
        <f t="shared" si="6"/>
        <v>17911074.02</v>
      </c>
      <c r="S334" s="964">
        <v>16798725.850000001</v>
      </c>
      <c r="T334" s="964">
        <v>16798725.850000001</v>
      </c>
      <c r="U334" s="964">
        <v>16798725.850000001</v>
      </c>
      <c r="V334" s="964">
        <v>16454257.689999998</v>
      </c>
    </row>
    <row r="335" spans="1:22" x14ac:dyDescent="0.25">
      <c r="A335" s="961" t="s">
        <v>6461</v>
      </c>
      <c r="B335" s="961">
        <v>2</v>
      </c>
      <c r="C335" s="961">
        <v>2</v>
      </c>
      <c r="D335" s="961" t="s">
        <v>6436</v>
      </c>
      <c r="E335" s="961" t="s">
        <v>6437</v>
      </c>
      <c r="F335" s="962">
        <v>448</v>
      </c>
      <c r="G335" s="961" t="s">
        <v>741</v>
      </c>
      <c r="H335" s="961">
        <v>1</v>
      </c>
      <c r="I335" s="963">
        <v>61408</v>
      </c>
      <c r="J335" s="961">
        <v>2</v>
      </c>
      <c r="K335" s="961">
        <v>23</v>
      </c>
      <c r="L335" s="961">
        <v>2</v>
      </c>
      <c r="M335" s="961">
        <v>5</v>
      </c>
      <c r="N335" s="961" t="s">
        <v>6460</v>
      </c>
      <c r="O335" s="961">
        <v>13</v>
      </c>
      <c r="P335" s="964">
        <v>43534646.605593137</v>
      </c>
      <c r="Q335" s="964"/>
      <c r="R335" s="964">
        <f t="shared" si="6"/>
        <v>43534646.605593137</v>
      </c>
      <c r="S335" s="964">
        <v>8817670.9600000009</v>
      </c>
      <c r="T335" s="964">
        <v>8817670.9600000009</v>
      </c>
      <c r="U335" s="964">
        <v>8817670.9600000009</v>
      </c>
      <c r="V335" s="964">
        <v>6304952.1299999999</v>
      </c>
    </row>
    <row r="336" spans="1:22" x14ac:dyDescent="0.25">
      <c r="A336" s="961" t="s">
        <v>6461</v>
      </c>
      <c r="B336" s="961">
        <v>2</v>
      </c>
      <c r="C336" s="961">
        <v>2</v>
      </c>
      <c r="D336" s="961" t="s">
        <v>6436</v>
      </c>
      <c r="E336" s="961" t="s">
        <v>6437</v>
      </c>
      <c r="F336" s="962">
        <v>448</v>
      </c>
      <c r="G336" s="961" t="s">
        <v>741</v>
      </c>
      <c r="H336" s="961">
        <v>1</v>
      </c>
      <c r="I336" s="963">
        <v>61409</v>
      </c>
      <c r="J336" s="961">
        <v>2</v>
      </c>
      <c r="K336" s="961">
        <v>22</v>
      </c>
      <c r="L336" s="961">
        <v>2</v>
      </c>
      <c r="M336" s="961">
        <v>5</v>
      </c>
      <c r="N336" s="961" t="s">
        <v>6460</v>
      </c>
      <c r="O336" s="961">
        <v>13</v>
      </c>
      <c r="P336" s="964"/>
      <c r="Q336" s="964">
        <v>4511137.84</v>
      </c>
      <c r="R336" s="964">
        <f t="shared" si="6"/>
        <v>4511137.84</v>
      </c>
      <c r="S336" s="964">
        <v>6444482.6100000003</v>
      </c>
      <c r="T336" s="964">
        <v>6444482.6100000003</v>
      </c>
      <c r="U336" s="964">
        <v>6444482.6100000003</v>
      </c>
      <c r="V336" s="964">
        <v>6374282.0899999989</v>
      </c>
    </row>
    <row r="337" spans="1:22" x14ac:dyDescent="0.25">
      <c r="A337" s="961" t="s">
        <v>6461</v>
      </c>
      <c r="B337" s="961">
        <v>2</v>
      </c>
      <c r="C337" s="961">
        <v>2</v>
      </c>
      <c r="D337" s="961" t="s">
        <v>6436</v>
      </c>
      <c r="E337" s="961" t="s">
        <v>6437</v>
      </c>
      <c r="F337" s="962">
        <v>448</v>
      </c>
      <c r="G337" s="961" t="s">
        <v>741</v>
      </c>
      <c r="H337" s="961">
        <v>1</v>
      </c>
      <c r="I337" s="963">
        <v>61409</v>
      </c>
      <c r="J337" s="961">
        <v>2</v>
      </c>
      <c r="K337" s="961">
        <v>23</v>
      </c>
      <c r="L337" s="961">
        <v>2</v>
      </c>
      <c r="M337" s="961">
        <v>5</v>
      </c>
      <c r="N337" s="961" t="s">
        <v>6460</v>
      </c>
      <c r="O337" s="961">
        <v>13</v>
      </c>
      <c r="P337" s="964">
        <v>45554103.390000001</v>
      </c>
      <c r="Q337" s="964"/>
      <c r="R337" s="964">
        <f t="shared" si="6"/>
        <v>45554103.390000001</v>
      </c>
      <c r="S337" s="964">
        <v>15583392.75</v>
      </c>
      <c r="T337" s="964">
        <v>15583392.75</v>
      </c>
      <c r="U337" s="964">
        <v>15583392.75</v>
      </c>
      <c r="V337" s="964">
        <v>15087453.49</v>
      </c>
    </row>
    <row r="338" spans="1:22" x14ac:dyDescent="0.25">
      <c r="A338" s="961" t="s">
        <v>6461</v>
      </c>
      <c r="B338" s="961">
        <v>2</v>
      </c>
      <c r="C338" s="961">
        <v>2</v>
      </c>
      <c r="D338" s="961" t="s">
        <v>6436</v>
      </c>
      <c r="E338" s="961" t="s">
        <v>6437</v>
      </c>
      <c r="F338" s="962">
        <v>448</v>
      </c>
      <c r="G338" s="961" t="s">
        <v>741</v>
      </c>
      <c r="H338" s="961">
        <v>1</v>
      </c>
      <c r="I338" s="963">
        <v>61409</v>
      </c>
      <c r="J338" s="961">
        <v>2</v>
      </c>
      <c r="K338" s="961">
        <v>23</v>
      </c>
      <c r="L338" s="961">
        <v>1</v>
      </c>
      <c r="M338" s="961">
        <v>1</v>
      </c>
      <c r="N338" s="961" t="s">
        <v>6438</v>
      </c>
      <c r="O338" s="961">
        <v>13</v>
      </c>
      <c r="P338" s="964"/>
      <c r="Q338" s="964"/>
      <c r="R338" s="964">
        <f t="shared" si="6"/>
        <v>0</v>
      </c>
      <c r="S338" s="964"/>
      <c r="T338" s="964"/>
      <c r="U338" s="964"/>
      <c r="V338" s="964"/>
    </row>
    <row r="339" spans="1:22" x14ac:dyDescent="0.25">
      <c r="A339" s="961" t="s">
        <v>6461</v>
      </c>
      <c r="B339" s="961">
        <v>2</v>
      </c>
      <c r="C339" s="961">
        <v>2</v>
      </c>
      <c r="D339" s="961" t="s">
        <v>6436</v>
      </c>
      <c r="E339" s="961" t="s">
        <v>6437</v>
      </c>
      <c r="F339" s="962">
        <v>448</v>
      </c>
      <c r="G339" s="961" t="s">
        <v>741</v>
      </c>
      <c r="H339" s="961">
        <v>1</v>
      </c>
      <c r="I339" s="963">
        <v>61424</v>
      </c>
      <c r="J339" s="961">
        <v>2</v>
      </c>
      <c r="K339" s="961">
        <v>23</v>
      </c>
      <c r="L339" s="961">
        <v>1</v>
      </c>
      <c r="M339" s="961">
        <v>1</v>
      </c>
      <c r="N339" s="961" t="s">
        <v>6438</v>
      </c>
      <c r="O339" s="961">
        <v>13</v>
      </c>
      <c r="P339" s="964"/>
      <c r="Q339" s="964">
        <f>744272.88+'[10]Reporte de Compac'!$G$43</f>
        <v>1438258.85</v>
      </c>
      <c r="R339" s="964">
        <f t="shared" si="6"/>
        <v>1438258.85</v>
      </c>
      <c r="S339" s="964">
        <v>623013.51</v>
      </c>
      <c r="T339" s="964">
        <v>623013.51</v>
      </c>
      <c r="U339" s="964">
        <v>616743.73</v>
      </c>
      <c r="V339" s="964">
        <v>616743.73</v>
      </c>
    </row>
    <row r="340" spans="1:22" x14ac:dyDescent="0.25">
      <c r="A340" s="961" t="s">
        <v>6461</v>
      </c>
      <c r="B340" s="961">
        <v>2</v>
      </c>
      <c r="C340" s="961">
        <v>2</v>
      </c>
      <c r="D340" s="961" t="s">
        <v>6436</v>
      </c>
      <c r="E340" s="961" t="s">
        <v>6437</v>
      </c>
      <c r="F340" s="962">
        <v>448</v>
      </c>
      <c r="G340" s="961" t="s">
        <v>741</v>
      </c>
      <c r="H340" s="961">
        <v>1</v>
      </c>
      <c r="I340" s="963">
        <v>61425</v>
      </c>
      <c r="J340" s="961">
        <v>2</v>
      </c>
      <c r="K340" s="961">
        <v>22</v>
      </c>
      <c r="L340" s="961">
        <v>1</v>
      </c>
      <c r="M340" s="961">
        <v>1</v>
      </c>
      <c r="N340" s="961" t="s">
        <v>6438</v>
      </c>
      <c r="O340" s="961">
        <v>13</v>
      </c>
      <c r="P340" s="964"/>
      <c r="Q340" s="964"/>
      <c r="R340" s="964">
        <f t="shared" si="6"/>
        <v>0</v>
      </c>
      <c r="S340" s="964">
        <f>23551.53+'[11]Reporte de Compac'!$F$158</f>
        <v>88830.07</v>
      </c>
      <c r="T340" s="964">
        <f>23551.53+'[11]Reporte de Compac'!$F$158</f>
        <v>88830.07</v>
      </c>
      <c r="U340" s="964">
        <f>23551.53+'[11]Reporte de Compac'!$F$158</f>
        <v>88830.07</v>
      </c>
      <c r="V340" s="964">
        <f>22281.49+'[12]Reporte de Compac'!$F$96</f>
        <v>87560.03</v>
      </c>
    </row>
    <row r="341" spans="1:22" x14ac:dyDescent="0.25">
      <c r="A341" s="961" t="s">
        <v>6461</v>
      </c>
      <c r="B341" s="961">
        <v>2</v>
      </c>
      <c r="C341" s="961">
        <v>2</v>
      </c>
      <c r="D341" s="961" t="s">
        <v>6436</v>
      </c>
      <c r="E341" s="961" t="s">
        <v>6437</v>
      </c>
      <c r="F341" s="962">
        <v>448</v>
      </c>
      <c r="G341" s="961" t="s">
        <v>741</v>
      </c>
      <c r="H341" s="961">
        <v>1</v>
      </c>
      <c r="I341" s="963">
        <v>61425</v>
      </c>
      <c r="J341" s="961">
        <v>2</v>
      </c>
      <c r="K341" s="961">
        <v>23</v>
      </c>
      <c r="L341" s="961">
        <v>1</v>
      </c>
      <c r="M341" s="961">
        <v>1</v>
      </c>
      <c r="N341" s="961" t="s">
        <v>6438</v>
      </c>
      <c r="O341" s="961">
        <v>13</v>
      </c>
      <c r="P341" s="964"/>
      <c r="Q341" s="964">
        <v>903710.77</v>
      </c>
      <c r="R341" s="964">
        <f t="shared" si="6"/>
        <v>903710.77</v>
      </c>
      <c r="S341" s="964">
        <v>679523.96</v>
      </c>
      <c r="T341" s="964">
        <v>679523.96</v>
      </c>
      <c r="U341" s="964">
        <v>679523.96</v>
      </c>
      <c r="V341" s="964">
        <v>389547.1</v>
      </c>
    </row>
    <row r="342" spans="1:22" x14ac:dyDescent="0.25">
      <c r="A342" s="961" t="s">
        <v>6461</v>
      </c>
      <c r="B342" s="961">
        <v>2</v>
      </c>
      <c r="C342" s="961">
        <v>2</v>
      </c>
      <c r="D342" s="961" t="s">
        <v>6436</v>
      </c>
      <c r="E342" s="961" t="s">
        <v>6437</v>
      </c>
      <c r="F342" s="962">
        <v>448</v>
      </c>
      <c r="G342" s="961" t="s">
        <v>741</v>
      </c>
      <c r="H342" s="961">
        <v>1</v>
      </c>
      <c r="I342" s="963">
        <v>61425</v>
      </c>
      <c r="J342" s="961">
        <v>2</v>
      </c>
      <c r="K342" s="961">
        <v>22</v>
      </c>
      <c r="L342" s="961">
        <v>2</v>
      </c>
      <c r="M342" s="961">
        <v>5</v>
      </c>
      <c r="N342" s="961" t="s">
        <v>6460</v>
      </c>
      <c r="O342" s="961">
        <v>13</v>
      </c>
      <c r="P342" s="964"/>
      <c r="Q342" s="964">
        <v>444505.52</v>
      </c>
      <c r="R342" s="964">
        <f t="shared" si="6"/>
        <v>444505.52</v>
      </c>
      <c r="S342" s="964">
        <v>444505.52</v>
      </c>
      <c r="T342" s="964">
        <v>246147.94000000003</v>
      </c>
      <c r="U342" s="964">
        <v>263786.89999999997</v>
      </c>
      <c r="V342" s="964">
        <v>263786.89999999997</v>
      </c>
    </row>
    <row r="343" spans="1:22" x14ac:dyDescent="0.25">
      <c r="A343" s="961" t="s">
        <v>6461</v>
      </c>
      <c r="B343" s="961">
        <v>2</v>
      </c>
      <c r="C343" s="961">
        <v>2</v>
      </c>
      <c r="D343" s="961" t="s">
        <v>6436</v>
      </c>
      <c r="E343" s="961" t="s">
        <v>6437</v>
      </c>
      <c r="F343" s="962">
        <v>448</v>
      </c>
      <c r="G343" s="961" t="s">
        <v>741</v>
      </c>
      <c r="H343" s="961">
        <v>1</v>
      </c>
      <c r="I343" s="963">
        <v>61425</v>
      </c>
      <c r="J343" s="961">
        <v>2</v>
      </c>
      <c r="K343" s="961">
        <v>23</v>
      </c>
      <c r="L343" s="961">
        <v>2</v>
      </c>
      <c r="M343" s="961">
        <v>5</v>
      </c>
      <c r="N343" s="961" t="s">
        <v>6460</v>
      </c>
      <c r="O343" s="961">
        <v>13</v>
      </c>
      <c r="P343" s="964"/>
      <c r="Q343" s="964">
        <v>806320.63</v>
      </c>
      <c r="R343" s="964">
        <f t="shared" si="6"/>
        <v>806320.63</v>
      </c>
      <c r="S343" s="964">
        <v>471910.59</v>
      </c>
      <c r="T343" s="964">
        <v>471910.59</v>
      </c>
      <c r="U343" s="964">
        <v>471910.59</v>
      </c>
      <c r="V343" s="964">
        <v>454271.63</v>
      </c>
    </row>
    <row r="344" spans="1:22" x14ac:dyDescent="0.25">
      <c r="A344" s="961" t="s">
        <v>6461</v>
      </c>
      <c r="B344" s="961">
        <v>2</v>
      </c>
      <c r="C344" s="961">
        <v>2</v>
      </c>
      <c r="D344" s="961" t="s">
        <v>6436</v>
      </c>
      <c r="E344" s="961" t="s">
        <v>6437</v>
      </c>
      <c r="F344" s="962">
        <v>448</v>
      </c>
      <c r="G344" s="961" t="s">
        <v>741</v>
      </c>
      <c r="H344" s="961">
        <v>1</v>
      </c>
      <c r="I344" s="963">
        <v>61409</v>
      </c>
      <c r="J344" s="961">
        <v>2</v>
      </c>
      <c r="K344" s="961">
        <v>23</v>
      </c>
      <c r="L344" s="961">
        <v>1</v>
      </c>
      <c r="M344" s="961">
        <v>1</v>
      </c>
      <c r="N344" s="961" t="s">
        <v>6438</v>
      </c>
      <c r="O344" s="961">
        <v>13</v>
      </c>
      <c r="P344" s="964">
        <v>84447921.400000006</v>
      </c>
      <c r="Q344" s="964">
        <v>-27348698.760000002</v>
      </c>
      <c r="R344" s="964">
        <f t="shared" ref="R344:R410" si="7">SUM(P344:Q344)</f>
        <v>57099222.640000001</v>
      </c>
      <c r="S344" s="964">
        <v>26826101.07</v>
      </c>
      <c r="T344" s="964">
        <v>26826101.07</v>
      </c>
      <c r="U344" s="964">
        <v>25495243.300000001</v>
      </c>
      <c r="V344" s="964">
        <f>25790117.91-294874.61</f>
        <v>25495243.300000001</v>
      </c>
    </row>
    <row r="345" spans="1:22" x14ac:dyDescent="0.25">
      <c r="A345" s="961" t="s">
        <v>6462</v>
      </c>
      <c r="B345" s="961">
        <v>2</v>
      </c>
      <c r="C345" s="961">
        <v>2</v>
      </c>
      <c r="D345" s="961" t="s">
        <v>6436</v>
      </c>
      <c r="E345" s="961" t="s">
        <v>6437</v>
      </c>
      <c r="F345" s="961">
        <v>274</v>
      </c>
      <c r="G345" s="961" t="s">
        <v>741</v>
      </c>
      <c r="H345" s="961">
        <v>1</v>
      </c>
      <c r="I345" s="963">
        <v>21101</v>
      </c>
      <c r="J345" s="961">
        <v>1</v>
      </c>
      <c r="K345" s="961">
        <v>23</v>
      </c>
      <c r="L345" s="961">
        <v>1</v>
      </c>
      <c r="M345" s="961">
        <v>1</v>
      </c>
      <c r="N345" s="961" t="s">
        <v>6438</v>
      </c>
      <c r="O345" s="961">
        <v>13</v>
      </c>
      <c r="P345" s="964">
        <v>15000</v>
      </c>
      <c r="Q345" s="964"/>
      <c r="R345" s="964">
        <f t="shared" si="7"/>
        <v>15000</v>
      </c>
      <c r="S345" s="964">
        <v>14775.68</v>
      </c>
      <c r="T345" s="964">
        <v>14775.68</v>
      </c>
      <c r="U345" s="964">
        <v>14775.68</v>
      </c>
      <c r="V345" s="964">
        <v>14775.68</v>
      </c>
    </row>
    <row r="346" spans="1:22" x14ac:dyDescent="0.25">
      <c r="A346" s="961" t="s">
        <v>6462</v>
      </c>
      <c r="B346" s="961">
        <v>2</v>
      </c>
      <c r="C346" s="961">
        <v>2</v>
      </c>
      <c r="D346" s="961" t="s">
        <v>6436</v>
      </c>
      <c r="E346" s="961" t="s">
        <v>6437</v>
      </c>
      <c r="F346" s="961">
        <v>274</v>
      </c>
      <c r="G346" s="961" t="s">
        <v>741</v>
      </c>
      <c r="H346" s="961">
        <v>1</v>
      </c>
      <c r="I346" s="963">
        <v>21201</v>
      </c>
      <c r="J346" s="961">
        <v>1</v>
      </c>
      <c r="K346" s="961">
        <v>23</v>
      </c>
      <c r="L346" s="961">
        <v>1</v>
      </c>
      <c r="M346" s="961">
        <v>1</v>
      </c>
      <c r="N346" s="961" t="s">
        <v>6438</v>
      </c>
      <c r="O346" s="961">
        <v>13</v>
      </c>
      <c r="P346" s="964">
        <v>7500</v>
      </c>
      <c r="Q346" s="964"/>
      <c r="R346" s="964">
        <f t="shared" si="7"/>
        <v>7500</v>
      </c>
      <c r="S346" s="964">
        <v>7871.1</v>
      </c>
      <c r="T346" s="964">
        <v>7871.1</v>
      </c>
      <c r="U346" s="964">
        <v>7871.1</v>
      </c>
      <c r="V346" s="964">
        <v>7871.1</v>
      </c>
    </row>
    <row r="347" spans="1:22" x14ac:dyDescent="0.25">
      <c r="A347" s="961" t="s">
        <v>6462</v>
      </c>
      <c r="B347" s="961">
        <v>2</v>
      </c>
      <c r="C347" s="961">
        <v>2</v>
      </c>
      <c r="D347" s="961" t="s">
        <v>6436</v>
      </c>
      <c r="E347" s="961" t="s">
        <v>6437</v>
      </c>
      <c r="F347" s="961">
        <v>274</v>
      </c>
      <c r="G347" s="961" t="s">
        <v>741</v>
      </c>
      <c r="H347" s="961">
        <v>1</v>
      </c>
      <c r="I347" s="963">
        <v>21401</v>
      </c>
      <c r="J347" s="961">
        <v>1</v>
      </c>
      <c r="K347" s="961">
        <v>23</v>
      </c>
      <c r="L347" s="961">
        <v>1</v>
      </c>
      <c r="M347" s="961">
        <v>1</v>
      </c>
      <c r="N347" s="961" t="s">
        <v>6438</v>
      </c>
      <c r="O347" s="961">
        <v>13</v>
      </c>
      <c r="P347" s="964">
        <v>10000</v>
      </c>
      <c r="Q347" s="964">
        <v>19000</v>
      </c>
      <c r="R347" s="964">
        <f t="shared" si="7"/>
        <v>29000</v>
      </c>
      <c r="S347" s="964">
        <v>41874.370000000003</v>
      </c>
      <c r="T347" s="964">
        <v>41874.370000000003</v>
      </c>
      <c r="U347" s="964">
        <v>41874.370000000003</v>
      </c>
      <c r="V347" s="964">
        <v>41874.370000000003</v>
      </c>
    </row>
    <row r="348" spans="1:22" x14ac:dyDescent="0.25">
      <c r="A348" s="961" t="s">
        <v>6462</v>
      </c>
      <c r="B348" s="961">
        <v>2</v>
      </c>
      <c r="C348" s="961">
        <v>2</v>
      </c>
      <c r="D348" s="961" t="s">
        <v>6436</v>
      </c>
      <c r="E348" s="961" t="s">
        <v>6437</v>
      </c>
      <c r="F348" s="961">
        <v>274</v>
      </c>
      <c r="G348" s="961" t="s">
        <v>741</v>
      </c>
      <c r="H348" s="961">
        <v>1</v>
      </c>
      <c r="I348" s="963">
        <v>21801</v>
      </c>
      <c r="J348" s="961">
        <v>1</v>
      </c>
      <c r="K348" s="961">
        <v>23</v>
      </c>
      <c r="L348" s="961">
        <v>1</v>
      </c>
      <c r="M348" s="961">
        <v>1</v>
      </c>
      <c r="N348" s="961" t="s">
        <v>6438</v>
      </c>
      <c r="O348" s="961">
        <v>13</v>
      </c>
      <c r="P348" s="964">
        <v>10000</v>
      </c>
      <c r="Q348" s="964"/>
      <c r="R348" s="964">
        <f t="shared" si="7"/>
        <v>10000</v>
      </c>
      <c r="S348" s="964">
        <v>8095</v>
      </c>
      <c r="T348" s="964">
        <v>8095</v>
      </c>
      <c r="U348" s="964">
        <v>8095</v>
      </c>
      <c r="V348" s="964">
        <v>8095</v>
      </c>
    </row>
    <row r="349" spans="1:22" x14ac:dyDescent="0.25">
      <c r="A349" s="961" t="s">
        <v>6462</v>
      </c>
      <c r="B349" s="961">
        <v>2</v>
      </c>
      <c r="C349" s="961">
        <v>2</v>
      </c>
      <c r="D349" s="961" t="s">
        <v>6436</v>
      </c>
      <c r="E349" s="961" t="s">
        <v>6437</v>
      </c>
      <c r="F349" s="961">
        <v>274</v>
      </c>
      <c r="G349" s="961" t="s">
        <v>741</v>
      </c>
      <c r="H349" s="961">
        <v>1</v>
      </c>
      <c r="I349" s="963">
        <v>22101</v>
      </c>
      <c r="J349" s="961">
        <v>1</v>
      </c>
      <c r="K349" s="961">
        <v>23</v>
      </c>
      <c r="L349" s="961">
        <v>1</v>
      </c>
      <c r="M349" s="961">
        <v>1</v>
      </c>
      <c r="N349" s="961" t="s">
        <v>6438</v>
      </c>
      <c r="O349" s="961">
        <v>13</v>
      </c>
      <c r="P349" s="964"/>
      <c r="Q349" s="964"/>
      <c r="R349" s="964">
        <f t="shared" si="7"/>
        <v>0</v>
      </c>
      <c r="S349" s="964">
        <v>255.03</v>
      </c>
      <c r="T349" s="964">
        <v>255.03</v>
      </c>
      <c r="U349" s="964">
        <v>255.03</v>
      </c>
      <c r="V349" s="964">
        <v>255.03</v>
      </c>
    </row>
    <row r="350" spans="1:22" x14ac:dyDescent="0.25">
      <c r="A350" s="961" t="s">
        <v>6462</v>
      </c>
      <c r="B350" s="961">
        <v>2</v>
      </c>
      <c r="C350" s="961">
        <v>2</v>
      </c>
      <c r="D350" s="961" t="s">
        <v>6436</v>
      </c>
      <c r="E350" s="961" t="s">
        <v>6437</v>
      </c>
      <c r="F350" s="961">
        <v>274</v>
      </c>
      <c r="G350" s="961" t="s">
        <v>741</v>
      </c>
      <c r="H350" s="961">
        <v>1</v>
      </c>
      <c r="I350" s="963">
        <v>26101</v>
      </c>
      <c r="J350" s="961">
        <v>1</v>
      </c>
      <c r="K350" s="961">
        <v>23</v>
      </c>
      <c r="L350" s="961">
        <v>1</v>
      </c>
      <c r="M350" s="961">
        <v>1</v>
      </c>
      <c r="N350" s="961" t="s">
        <v>6438</v>
      </c>
      <c r="O350" s="961">
        <v>13</v>
      </c>
      <c r="P350" s="964">
        <v>300000</v>
      </c>
      <c r="Q350" s="964">
        <v>145100</v>
      </c>
      <c r="R350" s="964">
        <f t="shared" si="7"/>
        <v>445100</v>
      </c>
      <c r="S350" s="964">
        <v>461100.37</v>
      </c>
      <c r="T350" s="964">
        <f>462452.92-12633</f>
        <v>449819.92</v>
      </c>
      <c r="U350" s="964">
        <v>449819.92</v>
      </c>
      <c r="V350" s="964">
        <v>449819.92</v>
      </c>
    </row>
    <row r="351" spans="1:22" x14ac:dyDescent="0.25">
      <c r="A351" s="961" t="s">
        <v>6462</v>
      </c>
      <c r="B351" s="961">
        <v>2</v>
      </c>
      <c r="C351" s="961">
        <v>2</v>
      </c>
      <c r="D351" s="961" t="s">
        <v>6436</v>
      </c>
      <c r="E351" s="961" t="s">
        <v>6437</v>
      </c>
      <c r="F351" s="961">
        <v>274</v>
      </c>
      <c r="G351" s="961" t="s">
        <v>741</v>
      </c>
      <c r="H351" s="961">
        <v>1</v>
      </c>
      <c r="I351" s="963">
        <v>26102</v>
      </c>
      <c r="J351" s="961">
        <v>1</v>
      </c>
      <c r="K351" s="961">
        <v>23</v>
      </c>
      <c r="L351" s="961">
        <v>1</v>
      </c>
      <c r="M351" s="961">
        <v>1</v>
      </c>
      <c r="N351" s="961" t="s">
        <v>6438</v>
      </c>
      <c r="O351" s="961">
        <v>13</v>
      </c>
      <c r="P351" s="964">
        <v>6000</v>
      </c>
      <c r="Q351" s="964">
        <v>8200</v>
      </c>
      <c r="R351" s="964">
        <f t="shared" si="7"/>
        <v>14200</v>
      </c>
      <c r="S351" s="964">
        <v>18103.46</v>
      </c>
      <c r="T351" s="964">
        <v>18103.46</v>
      </c>
      <c r="U351" s="964">
        <v>18073.46</v>
      </c>
      <c r="V351" s="964">
        <v>18073.46</v>
      </c>
    </row>
    <row r="352" spans="1:22" x14ac:dyDescent="0.25">
      <c r="A352" s="961" t="s">
        <v>6462</v>
      </c>
      <c r="B352" s="961">
        <v>2</v>
      </c>
      <c r="C352" s="961">
        <v>2</v>
      </c>
      <c r="D352" s="961" t="s">
        <v>6436</v>
      </c>
      <c r="E352" s="961" t="s">
        <v>6437</v>
      </c>
      <c r="F352" s="961">
        <v>274</v>
      </c>
      <c r="G352" s="961" t="s">
        <v>741</v>
      </c>
      <c r="H352" s="961">
        <v>1</v>
      </c>
      <c r="I352" s="963">
        <v>29101</v>
      </c>
      <c r="J352" s="961">
        <v>1</v>
      </c>
      <c r="K352" s="961">
        <v>23</v>
      </c>
      <c r="L352" s="961">
        <v>1</v>
      </c>
      <c r="M352" s="961">
        <v>1</v>
      </c>
      <c r="N352" s="961" t="s">
        <v>6438</v>
      </c>
      <c r="O352" s="961">
        <v>13</v>
      </c>
      <c r="P352" s="964"/>
      <c r="Q352" s="964"/>
      <c r="R352" s="964">
        <f t="shared" si="7"/>
        <v>0</v>
      </c>
      <c r="S352" s="964"/>
      <c r="T352" s="964"/>
      <c r="U352" s="964"/>
      <c r="V352" s="964"/>
    </row>
    <row r="353" spans="1:22" x14ac:dyDescent="0.25">
      <c r="A353" s="961" t="s">
        <v>6462</v>
      </c>
      <c r="B353" s="961">
        <v>2</v>
      </c>
      <c r="C353" s="961">
        <v>2</v>
      </c>
      <c r="D353" s="961" t="s">
        <v>6436</v>
      </c>
      <c r="E353" s="961" t="s">
        <v>6437</v>
      </c>
      <c r="F353" s="961">
        <v>274</v>
      </c>
      <c r="G353" s="961" t="s">
        <v>741</v>
      </c>
      <c r="H353" s="961">
        <v>1</v>
      </c>
      <c r="I353" s="963">
        <v>29401</v>
      </c>
      <c r="J353" s="961">
        <v>1</v>
      </c>
      <c r="K353" s="961">
        <v>23</v>
      </c>
      <c r="L353" s="961">
        <v>1</v>
      </c>
      <c r="M353" s="961">
        <v>1</v>
      </c>
      <c r="N353" s="961" t="s">
        <v>6438</v>
      </c>
      <c r="O353" s="961">
        <v>13</v>
      </c>
      <c r="P353" s="964"/>
      <c r="Q353" s="964"/>
      <c r="R353" s="964">
        <f t="shared" si="7"/>
        <v>0</v>
      </c>
      <c r="S353" s="964">
        <v>359</v>
      </c>
      <c r="T353" s="964">
        <v>359</v>
      </c>
      <c r="U353" s="964">
        <v>359</v>
      </c>
      <c r="V353" s="964">
        <v>359</v>
      </c>
    </row>
    <row r="354" spans="1:22" x14ac:dyDescent="0.25">
      <c r="A354" s="961" t="s">
        <v>6462</v>
      </c>
      <c r="B354" s="961">
        <v>2</v>
      </c>
      <c r="C354" s="961">
        <v>2</v>
      </c>
      <c r="D354" s="961" t="s">
        <v>6436</v>
      </c>
      <c r="E354" s="961" t="s">
        <v>6437</v>
      </c>
      <c r="F354" s="961">
        <v>274</v>
      </c>
      <c r="G354" s="961" t="s">
        <v>741</v>
      </c>
      <c r="H354" s="961">
        <v>1</v>
      </c>
      <c r="I354" s="963">
        <v>29601</v>
      </c>
      <c r="J354" s="961">
        <v>1</v>
      </c>
      <c r="K354" s="961">
        <v>23</v>
      </c>
      <c r="L354" s="961">
        <v>1</v>
      </c>
      <c r="M354" s="961">
        <v>1</v>
      </c>
      <c r="N354" s="961" t="s">
        <v>6438</v>
      </c>
      <c r="O354" s="961">
        <v>13</v>
      </c>
      <c r="P354" s="964">
        <v>90000</v>
      </c>
      <c r="Q354" s="964"/>
      <c r="R354" s="964">
        <f t="shared" si="7"/>
        <v>90000</v>
      </c>
      <c r="S354" s="964">
        <v>164870.60999999999</v>
      </c>
      <c r="T354" s="964">
        <f>182758.99-17188.38-700</f>
        <v>164870.60999999999</v>
      </c>
      <c r="U354" s="964">
        <v>164870.60999999999</v>
      </c>
      <c r="V354" s="964">
        <v>164870.60999999999</v>
      </c>
    </row>
    <row r="355" spans="1:22" x14ac:dyDescent="0.25">
      <c r="A355" s="961" t="s">
        <v>6462</v>
      </c>
      <c r="B355" s="961">
        <v>2</v>
      </c>
      <c r="C355" s="961">
        <v>2</v>
      </c>
      <c r="D355" s="961" t="s">
        <v>6436</v>
      </c>
      <c r="E355" s="961" t="s">
        <v>6437</v>
      </c>
      <c r="F355" s="961">
        <v>274</v>
      </c>
      <c r="G355" s="961" t="s">
        <v>741</v>
      </c>
      <c r="H355" s="961">
        <v>1</v>
      </c>
      <c r="I355" s="963">
        <v>29801</v>
      </c>
      <c r="J355" s="961">
        <v>1</v>
      </c>
      <c r="K355" s="961">
        <v>23</v>
      </c>
      <c r="L355" s="961">
        <v>1</v>
      </c>
      <c r="M355" s="961">
        <v>1</v>
      </c>
      <c r="N355" s="961" t="s">
        <v>6438</v>
      </c>
      <c r="O355" s="961">
        <v>13</v>
      </c>
      <c r="P355" s="964"/>
      <c r="Q355" s="964"/>
      <c r="R355" s="964">
        <f t="shared" si="7"/>
        <v>0</v>
      </c>
      <c r="S355" s="964">
        <v>358</v>
      </c>
      <c r="T355" s="964">
        <v>358</v>
      </c>
      <c r="U355" s="964">
        <v>358</v>
      </c>
      <c r="V355" s="964">
        <v>358</v>
      </c>
    </row>
    <row r="356" spans="1:22" x14ac:dyDescent="0.25">
      <c r="A356" s="961" t="s">
        <v>6462</v>
      </c>
      <c r="B356" s="961">
        <v>2</v>
      </c>
      <c r="C356" s="961">
        <v>2</v>
      </c>
      <c r="D356" s="961" t="s">
        <v>6436</v>
      </c>
      <c r="E356" s="961" t="s">
        <v>6437</v>
      </c>
      <c r="F356" s="961">
        <v>274</v>
      </c>
      <c r="G356" s="961" t="s">
        <v>741</v>
      </c>
      <c r="H356" s="961">
        <v>1</v>
      </c>
      <c r="I356" s="963">
        <v>31801</v>
      </c>
      <c r="J356" s="961">
        <v>1</v>
      </c>
      <c r="K356" s="961">
        <v>23</v>
      </c>
      <c r="L356" s="961">
        <v>1</v>
      </c>
      <c r="M356" s="961">
        <v>1</v>
      </c>
      <c r="N356" s="961" t="s">
        <v>6438</v>
      </c>
      <c r="O356" s="961">
        <v>13</v>
      </c>
      <c r="P356" s="964">
        <v>4000</v>
      </c>
      <c r="Q356" s="964"/>
      <c r="R356" s="964">
        <f t="shared" si="7"/>
        <v>4000</v>
      </c>
      <c r="S356" s="964">
        <v>5145.53</v>
      </c>
      <c r="T356" s="964">
        <v>5145.53</v>
      </c>
      <c r="U356" s="964">
        <v>5145.53</v>
      </c>
      <c r="V356" s="964">
        <v>5145.53</v>
      </c>
    </row>
    <row r="357" spans="1:22" x14ac:dyDescent="0.25">
      <c r="A357" s="961" t="s">
        <v>6462</v>
      </c>
      <c r="B357" s="961">
        <v>2</v>
      </c>
      <c r="C357" s="961">
        <v>2</v>
      </c>
      <c r="D357" s="961" t="s">
        <v>6436</v>
      </c>
      <c r="E357" s="961" t="s">
        <v>6437</v>
      </c>
      <c r="F357" s="961">
        <v>274</v>
      </c>
      <c r="G357" s="961" t="s">
        <v>741</v>
      </c>
      <c r="H357" s="961">
        <v>1</v>
      </c>
      <c r="I357" s="963">
        <v>33101</v>
      </c>
      <c r="J357" s="961">
        <v>1</v>
      </c>
      <c r="K357" s="961">
        <v>23</v>
      </c>
      <c r="L357" s="961">
        <v>1</v>
      </c>
      <c r="M357" s="961">
        <v>1</v>
      </c>
      <c r="N357" s="961" t="s">
        <v>6438</v>
      </c>
      <c r="O357" s="961">
        <v>13</v>
      </c>
      <c r="P357" s="964"/>
      <c r="Q357" s="964">
        <v>1127029.75</v>
      </c>
      <c r="R357" s="964">
        <f t="shared" si="7"/>
        <v>1127029.75</v>
      </c>
      <c r="S357" s="964">
        <v>1202500</v>
      </c>
      <c r="T357" s="964">
        <v>1202500</v>
      </c>
      <c r="U357" s="964">
        <v>1202500</v>
      </c>
      <c r="V357" s="964">
        <v>1202500</v>
      </c>
    </row>
    <row r="358" spans="1:22" x14ac:dyDescent="0.25">
      <c r="A358" s="961" t="s">
        <v>6462</v>
      </c>
      <c r="B358" s="961">
        <v>2</v>
      </c>
      <c r="C358" s="961">
        <v>2</v>
      </c>
      <c r="D358" s="961" t="s">
        <v>6436</v>
      </c>
      <c r="E358" s="961" t="s">
        <v>6437</v>
      </c>
      <c r="F358" s="961">
        <v>274</v>
      </c>
      <c r="G358" s="961" t="s">
        <v>741</v>
      </c>
      <c r="H358" s="961">
        <v>1</v>
      </c>
      <c r="I358" s="963">
        <v>33301</v>
      </c>
      <c r="J358" s="961">
        <v>1</v>
      </c>
      <c r="K358" s="961">
        <v>23</v>
      </c>
      <c r="L358" s="961">
        <v>1</v>
      </c>
      <c r="M358" s="961">
        <v>1</v>
      </c>
      <c r="N358" s="961" t="s">
        <v>6438</v>
      </c>
      <c r="O358" s="961">
        <v>13</v>
      </c>
      <c r="P358" s="964"/>
      <c r="Q358" s="964"/>
      <c r="R358" s="964"/>
      <c r="S358" s="964">
        <v>659.99</v>
      </c>
      <c r="T358" s="964">
        <v>659.99</v>
      </c>
      <c r="U358" s="964">
        <v>659.99</v>
      </c>
      <c r="V358" s="964">
        <v>659.99</v>
      </c>
    </row>
    <row r="359" spans="1:22" x14ac:dyDescent="0.25">
      <c r="A359" s="961" t="s">
        <v>6462</v>
      </c>
      <c r="B359" s="961">
        <v>2</v>
      </c>
      <c r="C359" s="961">
        <v>2</v>
      </c>
      <c r="D359" s="961" t="s">
        <v>6436</v>
      </c>
      <c r="E359" s="961" t="s">
        <v>6437</v>
      </c>
      <c r="F359" s="961">
        <v>274</v>
      </c>
      <c r="G359" s="961" t="s">
        <v>741</v>
      </c>
      <c r="H359" s="961">
        <v>1</v>
      </c>
      <c r="I359" s="963">
        <v>33401</v>
      </c>
      <c r="J359" s="961">
        <v>1</v>
      </c>
      <c r="K359" s="961">
        <v>23</v>
      </c>
      <c r="L359" s="961">
        <v>1</v>
      </c>
      <c r="M359" s="961">
        <v>1</v>
      </c>
      <c r="N359" s="961" t="s">
        <v>6438</v>
      </c>
      <c r="O359" s="961">
        <v>13</v>
      </c>
      <c r="P359" s="964">
        <v>1000</v>
      </c>
      <c r="Q359" s="964"/>
      <c r="R359" s="964">
        <f t="shared" si="7"/>
        <v>1000</v>
      </c>
      <c r="S359" s="964"/>
      <c r="T359" s="964"/>
      <c r="U359" s="964"/>
      <c r="V359" s="964"/>
    </row>
    <row r="360" spans="1:22" x14ac:dyDescent="0.25">
      <c r="A360" s="961" t="s">
        <v>6462</v>
      </c>
      <c r="B360" s="961">
        <v>2</v>
      </c>
      <c r="C360" s="961">
        <v>2</v>
      </c>
      <c r="D360" s="961" t="s">
        <v>6436</v>
      </c>
      <c r="E360" s="961" t="s">
        <v>6437</v>
      </c>
      <c r="F360" s="961">
        <v>274</v>
      </c>
      <c r="G360" s="961" t="s">
        <v>741</v>
      </c>
      <c r="H360" s="961">
        <v>1</v>
      </c>
      <c r="I360" s="963">
        <v>33608</v>
      </c>
      <c r="J360" s="961">
        <v>1</v>
      </c>
      <c r="K360" s="961">
        <v>23</v>
      </c>
      <c r="L360" s="961">
        <v>1</v>
      </c>
      <c r="M360" s="961">
        <v>1</v>
      </c>
      <c r="N360" s="961" t="s">
        <v>6438</v>
      </c>
      <c r="O360" s="961">
        <v>13</v>
      </c>
      <c r="P360" s="964"/>
      <c r="Q360" s="964"/>
      <c r="R360" s="964">
        <f t="shared" si="7"/>
        <v>0</v>
      </c>
      <c r="S360" s="964"/>
      <c r="T360" s="964"/>
      <c r="U360" s="964">
        <v>1403.6</v>
      </c>
      <c r="V360" s="964">
        <v>1403.6</v>
      </c>
    </row>
    <row r="361" spans="1:22" x14ac:dyDescent="0.25">
      <c r="A361" s="961" t="s">
        <v>6462</v>
      </c>
      <c r="B361" s="961">
        <v>2</v>
      </c>
      <c r="C361" s="961">
        <v>2</v>
      </c>
      <c r="D361" s="961" t="s">
        <v>6436</v>
      </c>
      <c r="E361" s="961" t="s">
        <v>6437</v>
      </c>
      <c r="F361" s="961">
        <v>274</v>
      </c>
      <c r="G361" s="961" t="s">
        <v>741</v>
      </c>
      <c r="H361" s="961">
        <v>1</v>
      </c>
      <c r="I361" s="963">
        <v>34401</v>
      </c>
      <c r="J361" s="961">
        <v>1</v>
      </c>
      <c r="K361" s="961">
        <v>23</v>
      </c>
      <c r="L361" s="961">
        <v>1</v>
      </c>
      <c r="M361" s="961">
        <v>1</v>
      </c>
      <c r="N361" s="961" t="s">
        <v>6438</v>
      </c>
      <c r="O361" s="961">
        <v>13</v>
      </c>
      <c r="P361" s="964"/>
      <c r="Q361" s="964"/>
      <c r="R361" s="964">
        <f t="shared" si="7"/>
        <v>0</v>
      </c>
      <c r="S361" s="964">
        <v>22194.91</v>
      </c>
      <c r="T361" s="964">
        <v>22194.91</v>
      </c>
      <c r="U361" s="964">
        <v>22194.91</v>
      </c>
      <c r="V361" s="964">
        <v>22194.91</v>
      </c>
    </row>
    <row r="362" spans="1:22" x14ac:dyDescent="0.25">
      <c r="A362" s="961" t="s">
        <v>6462</v>
      </c>
      <c r="B362" s="961">
        <v>2</v>
      </c>
      <c r="C362" s="961">
        <v>2</v>
      </c>
      <c r="D362" s="961" t="s">
        <v>6436</v>
      </c>
      <c r="E362" s="961" t="s">
        <v>6437</v>
      </c>
      <c r="F362" s="961">
        <v>274</v>
      </c>
      <c r="G362" s="961" t="s">
        <v>741</v>
      </c>
      <c r="H362" s="961">
        <v>1</v>
      </c>
      <c r="I362" s="963">
        <v>35501</v>
      </c>
      <c r="J362" s="961">
        <v>1</v>
      </c>
      <c r="K362" s="961">
        <v>23</v>
      </c>
      <c r="L362" s="961">
        <v>1</v>
      </c>
      <c r="M362" s="961">
        <v>1</v>
      </c>
      <c r="N362" s="961" t="s">
        <v>6438</v>
      </c>
      <c r="O362" s="961">
        <v>13</v>
      </c>
      <c r="P362" s="964">
        <v>70000</v>
      </c>
      <c r="Q362" s="964">
        <v>-30000</v>
      </c>
      <c r="R362" s="964">
        <f t="shared" si="7"/>
        <v>40000</v>
      </c>
      <c r="S362" s="964">
        <v>56019.42</v>
      </c>
      <c r="T362" s="964">
        <v>56019.42</v>
      </c>
      <c r="U362" s="964">
        <v>56019.42</v>
      </c>
      <c r="V362" s="964">
        <v>56019.42</v>
      </c>
    </row>
    <row r="363" spans="1:22" x14ac:dyDescent="0.25">
      <c r="A363" s="961" t="s">
        <v>6462</v>
      </c>
      <c r="B363" s="961">
        <v>2</v>
      </c>
      <c r="C363" s="961">
        <v>2</v>
      </c>
      <c r="D363" s="961" t="s">
        <v>6436</v>
      </c>
      <c r="E363" s="961" t="s">
        <v>6437</v>
      </c>
      <c r="F363" s="961">
        <v>274</v>
      </c>
      <c r="G363" s="961" t="s">
        <v>741</v>
      </c>
      <c r="H363" s="961">
        <v>1</v>
      </c>
      <c r="I363" s="963">
        <v>37101</v>
      </c>
      <c r="J363" s="961">
        <v>1</v>
      </c>
      <c r="K363" s="961">
        <v>23</v>
      </c>
      <c r="L363" s="961">
        <v>1</v>
      </c>
      <c r="M363" s="961">
        <v>1</v>
      </c>
      <c r="N363" s="961" t="s">
        <v>6438</v>
      </c>
      <c r="O363" s="961">
        <v>13</v>
      </c>
      <c r="P363" s="964">
        <v>20000</v>
      </c>
      <c r="Q363" s="964">
        <v>12000</v>
      </c>
      <c r="R363" s="964">
        <f t="shared" si="7"/>
        <v>32000</v>
      </c>
      <c r="S363" s="964">
        <v>45378</v>
      </c>
      <c r="T363" s="964">
        <v>45378</v>
      </c>
      <c r="U363" s="964">
        <v>45378</v>
      </c>
      <c r="V363" s="964">
        <v>45378</v>
      </c>
    </row>
    <row r="364" spans="1:22" x14ac:dyDescent="0.25">
      <c r="A364" s="961" t="s">
        <v>6462</v>
      </c>
      <c r="B364" s="961">
        <v>2</v>
      </c>
      <c r="C364" s="961">
        <v>2</v>
      </c>
      <c r="D364" s="961" t="s">
        <v>6436</v>
      </c>
      <c r="E364" s="961" t="s">
        <v>6437</v>
      </c>
      <c r="F364" s="961">
        <v>274</v>
      </c>
      <c r="G364" s="961" t="s">
        <v>741</v>
      </c>
      <c r="H364" s="961">
        <v>1</v>
      </c>
      <c r="I364" s="963">
        <v>37201</v>
      </c>
      <c r="J364" s="961">
        <v>1</v>
      </c>
      <c r="K364" s="961">
        <v>23</v>
      </c>
      <c r="L364" s="961">
        <v>1</v>
      </c>
      <c r="M364" s="961">
        <v>1</v>
      </c>
      <c r="N364" s="961" t="s">
        <v>6438</v>
      </c>
      <c r="O364" s="961">
        <v>13</v>
      </c>
      <c r="P364" s="964">
        <v>3500</v>
      </c>
      <c r="Q364" s="964"/>
      <c r="R364" s="964">
        <f t="shared" si="7"/>
        <v>3500</v>
      </c>
      <c r="S364" s="964">
        <v>3568</v>
      </c>
      <c r="T364" s="964">
        <v>3568</v>
      </c>
      <c r="U364" s="964">
        <v>3568</v>
      </c>
      <c r="V364" s="964">
        <v>3568</v>
      </c>
    </row>
    <row r="365" spans="1:22" x14ac:dyDescent="0.25">
      <c r="A365" s="961" t="s">
        <v>6462</v>
      </c>
      <c r="B365" s="961">
        <v>2</v>
      </c>
      <c r="C365" s="961">
        <v>2</v>
      </c>
      <c r="D365" s="961" t="s">
        <v>6436</v>
      </c>
      <c r="E365" s="961" t="s">
        <v>6437</v>
      </c>
      <c r="F365" s="961">
        <v>274</v>
      </c>
      <c r="G365" s="961" t="s">
        <v>741</v>
      </c>
      <c r="H365" s="961">
        <v>1</v>
      </c>
      <c r="I365" s="963">
        <v>37501</v>
      </c>
      <c r="J365" s="961">
        <v>1</v>
      </c>
      <c r="K365" s="961">
        <v>23</v>
      </c>
      <c r="L365" s="961">
        <v>1</v>
      </c>
      <c r="M365" s="961">
        <v>1</v>
      </c>
      <c r="N365" s="961" t="s">
        <v>6438</v>
      </c>
      <c r="O365" s="961">
        <v>13</v>
      </c>
      <c r="P365" s="964">
        <v>200000</v>
      </c>
      <c r="Q365" s="964"/>
      <c r="R365" s="964">
        <f t="shared" si="7"/>
        <v>200000</v>
      </c>
      <c r="S365" s="964">
        <v>224363.8</v>
      </c>
      <c r="T365" s="964">
        <v>224363.8</v>
      </c>
      <c r="U365" s="964">
        <v>222963.8</v>
      </c>
      <c r="V365" s="964">
        <v>222963.8</v>
      </c>
    </row>
    <row r="366" spans="1:22" x14ac:dyDescent="0.25">
      <c r="A366" s="961" t="s">
        <v>6462</v>
      </c>
      <c r="B366" s="961">
        <v>2</v>
      </c>
      <c r="C366" s="961">
        <v>2</v>
      </c>
      <c r="D366" s="961" t="s">
        <v>6436</v>
      </c>
      <c r="E366" s="961" t="s">
        <v>6437</v>
      </c>
      <c r="F366" s="961">
        <v>274</v>
      </c>
      <c r="G366" s="961" t="s">
        <v>741</v>
      </c>
      <c r="H366" s="961">
        <v>1</v>
      </c>
      <c r="I366" s="963">
        <v>37502</v>
      </c>
      <c r="J366" s="961">
        <v>1</v>
      </c>
      <c r="K366" s="961">
        <v>23</v>
      </c>
      <c r="L366" s="961">
        <v>1</v>
      </c>
      <c r="M366" s="961">
        <v>1</v>
      </c>
      <c r="N366" s="961" t="s">
        <v>6438</v>
      </c>
      <c r="O366" s="961">
        <v>13</v>
      </c>
      <c r="P366" s="964">
        <v>100000</v>
      </c>
      <c r="Q366" s="964">
        <v>-12200</v>
      </c>
      <c r="R366" s="964">
        <f t="shared" si="7"/>
        <v>87800</v>
      </c>
      <c r="S366" s="964">
        <v>88100</v>
      </c>
      <c r="T366" s="964">
        <v>88100</v>
      </c>
      <c r="U366" s="964">
        <v>88100</v>
      </c>
      <c r="V366" s="964">
        <v>88100</v>
      </c>
    </row>
    <row r="367" spans="1:22" x14ac:dyDescent="0.25">
      <c r="A367" s="961" t="s">
        <v>6462</v>
      </c>
      <c r="B367" s="961">
        <v>2</v>
      </c>
      <c r="C367" s="961">
        <v>2</v>
      </c>
      <c r="D367" s="961" t="s">
        <v>6436</v>
      </c>
      <c r="E367" s="961" t="s">
        <v>6437</v>
      </c>
      <c r="F367" s="961">
        <v>274</v>
      </c>
      <c r="G367" s="961" t="s">
        <v>741</v>
      </c>
      <c r="H367" s="961">
        <v>1</v>
      </c>
      <c r="I367" s="963">
        <v>37601</v>
      </c>
      <c r="J367" s="961">
        <v>1</v>
      </c>
      <c r="K367" s="961">
        <v>23</v>
      </c>
      <c r="L367" s="961">
        <v>1</v>
      </c>
      <c r="M367" s="961">
        <v>1</v>
      </c>
      <c r="N367" s="961" t="s">
        <v>6438</v>
      </c>
      <c r="O367" s="961">
        <v>13</v>
      </c>
      <c r="P367" s="964">
        <v>10000</v>
      </c>
      <c r="Q367" s="964">
        <v>-10000</v>
      </c>
      <c r="R367" s="964">
        <f t="shared" si="7"/>
        <v>0</v>
      </c>
      <c r="S367" s="964"/>
      <c r="T367" s="964"/>
      <c r="U367" s="964"/>
      <c r="V367" s="964"/>
    </row>
    <row r="368" spans="1:22" x14ac:dyDescent="0.25">
      <c r="A368" s="961" t="s">
        <v>6462</v>
      </c>
      <c r="B368" s="961">
        <v>2</v>
      </c>
      <c r="C368" s="961">
        <v>2</v>
      </c>
      <c r="D368" s="961" t="s">
        <v>6436</v>
      </c>
      <c r="E368" s="961" t="s">
        <v>6437</v>
      </c>
      <c r="F368" s="961">
        <v>274</v>
      </c>
      <c r="G368" s="961" t="s">
        <v>741</v>
      </c>
      <c r="H368" s="961">
        <v>1</v>
      </c>
      <c r="I368" s="963">
        <v>37801</v>
      </c>
      <c r="J368" s="961">
        <v>1</v>
      </c>
      <c r="K368" s="961">
        <v>23</v>
      </c>
      <c r="L368" s="961">
        <v>1</v>
      </c>
      <c r="M368" s="961">
        <v>1</v>
      </c>
      <c r="N368" s="961" t="s">
        <v>6438</v>
      </c>
      <c r="O368" s="961">
        <v>13</v>
      </c>
      <c r="P368" s="964"/>
      <c r="Q368" s="964">
        <v>800</v>
      </c>
      <c r="R368" s="964">
        <f>P368+Q368</f>
        <v>800</v>
      </c>
      <c r="S368" s="964">
        <v>2788.5</v>
      </c>
      <c r="T368" s="964">
        <v>2788.5</v>
      </c>
      <c r="U368" s="964">
        <v>2788.5</v>
      </c>
      <c r="V368" s="964">
        <v>2788.5</v>
      </c>
    </row>
    <row r="369" spans="1:22" x14ac:dyDescent="0.25">
      <c r="A369" s="961" t="s">
        <v>6462</v>
      </c>
      <c r="B369" s="961">
        <v>2</v>
      </c>
      <c r="C369" s="961">
        <v>2</v>
      </c>
      <c r="D369" s="961" t="s">
        <v>6436</v>
      </c>
      <c r="E369" s="961" t="s">
        <v>6437</v>
      </c>
      <c r="F369" s="961">
        <v>274</v>
      </c>
      <c r="G369" s="961" t="s">
        <v>741</v>
      </c>
      <c r="H369" s="961">
        <v>1</v>
      </c>
      <c r="I369" s="963">
        <v>37901</v>
      </c>
      <c r="J369" s="961">
        <v>1</v>
      </c>
      <c r="K369" s="961">
        <v>23</v>
      </c>
      <c r="L369" s="961">
        <v>1</v>
      </c>
      <c r="M369" s="961">
        <v>1</v>
      </c>
      <c r="N369" s="961" t="s">
        <v>6438</v>
      </c>
      <c r="O369" s="961">
        <v>13</v>
      </c>
      <c r="P369" s="964">
        <v>30000</v>
      </c>
      <c r="Q369" s="964">
        <v>-300</v>
      </c>
      <c r="R369" s="964">
        <f t="shared" si="7"/>
        <v>29700</v>
      </c>
      <c r="S369" s="964">
        <v>28423</v>
      </c>
      <c r="T369" s="964">
        <v>28423</v>
      </c>
      <c r="U369" s="964">
        <v>28383.84</v>
      </c>
      <c r="V369" s="964">
        <v>28383.84</v>
      </c>
    </row>
    <row r="370" spans="1:22" x14ac:dyDescent="0.25">
      <c r="A370" s="961" t="s">
        <v>6462</v>
      </c>
      <c r="B370" s="961">
        <v>2</v>
      </c>
      <c r="C370" s="961">
        <v>2</v>
      </c>
      <c r="D370" s="961" t="s">
        <v>6436</v>
      </c>
      <c r="E370" s="961" t="s">
        <v>6437</v>
      </c>
      <c r="F370" s="961">
        <v>274</v>
      </c>
      <c r="G370" s="961" t="s">
        <v>741</v>
      </c>
      <c r="H370" s="961">
        <v>1</v>
      </c>
      <c r="I370" s="963">
        <v>39201</v>
      </c>
      <c r="J370" s="961">
        <v>1</v>
      </c>
      <c r="K370" s="961">
        <v>23</v>
      </c>
      <c r="L370" s="961">
        <v>1</v>
      </c>
      <c r="M370" s="961">
        <v>1</v>
      </c>
      <c r="N370" s="961" t="s">
        <v>6438</v>
      </c>
      <c r="O370" s="961">
        <v>13</v>
      </c>
      <c r="P370" s="964">
        <v>25000</v>
      </c>
      <c r="Q370" s="964">
        <v>-2000</v>
      </c>
      <c r="R370" s="964">
        <f t="shared" si="7"/>
        <v>23000</v>
      </c>
      <c r="S370" s="964"/>
      <c r="T370" s="964"/>
      <c r="U370" s="964"/>
      <c r="V370" s="964"/>
    </row>
    <row r="371" spans="1:22" x14ac:dyDescent="0.25">
      <c r="A371" s="961" t="s">
        <v>6462</v>
      </c>
      <c r="B371" s="961">
        <v>2</v>
      </c>
      <c r="C371" s="961">
        <v>2</v>
      </c>
      <c r="D371" s="961" t="s">
        <v>6436</v>
      </c>
      <c r="E371" s="961" t="s">
        <v>6437</v>
      </c>
      <c r="F371" s="961">
        <v>274</v>
      </c>
      <c r="G371" s="961" t="s">
        <v>741</v>
      </c>
      <c r="H371" s="961">
        <v>1</v>
      </c>
      <c r="I371" s="963">
        <v>56901</v>
      </c>
      <c r="J371" s="961">
        <v>1</v>
      </c>
      <c r="K371" s="961">
        <v>23</v>
      </c>
      <c r="L371" s="961">
        <v>1</v>
      </c>
      <c r="M371" s="961">
        <v>1</v>
      </c>
      <c r="N371" s="961" t="s">
        <v>6438</v>
      </c>
      <c r="O371" s="961">
        <v>13</v>
      </c>
      <c r="P371" s="964"/>
      <c r="Q371" s="964">
        <v>1520000</v>
      </c>
      <c r="R371" s="964">
        <f t="shared" si="7"/>
        <v>1520000</v>
      </c>
      <c r="S371" s="964">
        <v>1520000</v>
      </c>
      <c r="T371" s="964">
        <v>1520000</v>
      </c>
      <c r="U371" s="964">
        <v>1520000</v>
      </c>
      <c r="V371" s="964">
        <v>1520000</v>
      </c>
    </row>
    <row r="372" spans="1:22" x14ac:dyDescent="0.25">
      <c r="A372" s="961" t="s">
        <v>6462</v>
      </c>
      <c r="B372" s="961">
        <v>2</v>
      </c>
      <c r="C372" s="961">
        <v>2</v>
      </c>
      <c r="D372" s="961" t="s">
        <v>6436</v>
      </c>
      <c r="E372" s="961" t="s">
        <v>6437</v>
      </c>
      <c r="F372" s="961">
        <v>274</v>
      </c>
      <c r="G372" s="961" t="s">
        <v>741</v>
      </c>
      <c r="H372" s="961">
        <v>1</v>
      </c>
      <c r="I372" s="963" t="s">
        <v>6440</v>
      </c>
      <c r="J372" s="961">
        <v>1</v>
      </c>
      <c r="K372" s="961">
        <v>23</v>
      </c>
      <c r="L372" s="961">
        <v>1</v>
      </c>
      <c r="M372" s="961">
        <v>1</v>
      </c>
      <c r="N372" s="961" t="s">
        <v>6438</v>
      </c>
      <c r="O372" s="961">
        <v>13</v>
      </c>
      <c r="P372" s="964">
        <v>2966241.36</v>
      </c>
      <c r="Q372" s="964">
        <v>1678379.74</v>
      </c>
      <c r="R372" s="964">
        <f t="shared" si="7"/>
        <v>4644621.0999999996</v>
      </c>
      <c r="S372" s="964">
        <v>2966241.36</v>
      </c>
      <c r="T372" s="964">
        <v>2506611.7799999998</v>
      </c>
      <c r="U372" s="964">
        <v>2506611.7799999998</v>
      </c>
      <c r="V372" s="964">
        <v>2506611.7799999998</v>
      </c>
    </row>
    <row r="373" spans="1:22" x14ac:dyDescent="0.25">
      <c r="A373" s="961" t="s">
        <v>6462</v>
      </c>
      <c r="B373" s="961">
        <v>2</v>
      </c>
      <c r="C373" s="961">
        <v>2</v>
      </c>
      <c r="D373" s="961" t="s">
        <v>6436</v>
      </c>
      <c r="E373" s="961" t="s">
        <v>6437</v>
      </c>
      <c r="F373" s="961">
        <v>274</v>
      </c>
      <c r="G373" s="961" t="s">
        <v>741</v>
      </c>
      <c r="H373" s="961">
        <v>1</v>
      </c>
      <c r="I373" s="963" t="s">
        <v>6441</v>
      </c>
      <c r="J373" s="961">
        <v>1</v>
      </c>
      <c r="K373" s="961">
        <v>23</v>
      </c>
      <c r="L373" s="961">
        <v>1</v>
      </c>
      <c r="M373" s="961">
        <v>1</v>
      </c>
      <c r="N373" s="961" t="s">
        <v>6438</v>
      </c>
      <c r="O373" s="961">
        <v>13</v>
      </c>
      <c r="P373" s="964">
        <v>344263.17</v>
      </c>
      <c r="Q373" s="964">
        <v>172551</v>
      </c>
      <c r="R373" s="964">
        <f t="shared" si="7"/>
        <v>516814.17</v>
      </c>
      <c r="S373" s="964">
        <v>344263.17</v>
      </c>
      <c r="T373" s="964">
        <v>301371.13</v>
      </c>
      <c r="U373" s="964">
        <v>298772.53999999998</v>
      </c>
      <c r="V373" s="964">
        <f>277943.22+20829.32</f>
        <v>298772.53999999998</v>
      </c>
    </row>
    <row r="374" spans="1:22" x14ac:dyDescent="0.25">
      <c r="A374" s="961" t="s">
        <v>6462</v>
      </c>
      <c r="B374" s="961">
        <v>2</v>
      </c>
      <c r="C374" s="961">
        <v>2</v>
      </c>
      <c r="D374" s="961" t="s">
        <v>6436</v>
      </c>
      <c r="E374" s="961" t="s">
        <v>6437</v>
      </c>
      <c r="F374" s="961">
        <v>274</v>
      </c>
      <c r="G374" s="961" t="s">
        <v>741</v>
      </c>
      <c r="H374" s="961">
        <v>1</v>
      </c>
      <c r="I374" s="963">
        <v>12101</v>
      </c>
      <c r="J374" s="961">
        <v>1</v>
      </c>
      <c r="K374" s="961">
        <v>23</v>
      </c>
      <c r="L374" s="961">
        <v>1</v>
      </c>
      <c r="M374" s="961">
        <v>1</v>
      </c>
      <c r="N374" s="961" t="s">
        <v>6438</v>
      </c>
      <c r="O374" s="961">
        <v>13</v>
      </c>
      <c r="P374" s="964"/>
      <c r="Q374" s="964"/>
      <c r="R374" s="964">
        <f t="shared" si="7"/>
        <v>0</v>
      </c>
      <c r="S374" s="964">
        <v>0</v>
      </c>
      <c r="T374" s="964"/>
      <c r="U374" s="964"/>
      <c r="V374" s="964"/>
    </row>
    <row r="375" spans="1:22" x14ac:dyDescent="0.25">
      <c r="A375" s="961" t="s">
        <v>6462</v>
      </c>
      <c r="B375" s="961">
        <v>2</v>
      </c>
      <c r="C375" s="961">
        <v>2</v>
      </c>
      <c r="D375" s="961" t="s">
        <v>6436</v>
      </c>
      <c r="E375" s="961" t="s">
        <v>6437</v>
      </c>
      <c r="F375" s="961">
        <v>274</v>
      </c>
      <c r="G375" s="961" t="s">
        <v>741</v>
      </c>
      <c r="H375" s="961">
        <v>1</v>
      </c>
      <c r="I375" s="963" t="s">
        <v>6442</v>
      </c>
      <c r="J375" s="961">
        <v>1</v>
      </c>
      <c r="K375" s="961">
        <v>23</v>
      </c>
      <c r="L375" s="961">
        <v>1</v>
      </c>
      <c r="M375" s="961">
        <v>1</v>
      </c>
      <c r="N375" s="961" t="s">
        <v>6438</v>
      </c>
      <c r="O375" s="961">
        <v>13</v>
      </c>
      <c r="P375" s="964">
        <v>288678.48</v>
      </c>
      <c r="Q375" s="964"/>
      <c r="R375" s="964">
        <f t="shared" si="7"/>
        <v>288678.48</v>
      </c>
      <c r="S375" s="964">
        <v>288678.48</v>
      </c>
      <c r="T375" s="964">
        <v>284321.3</v>
      </c>
      <c r="U375" s="964">
        <v>284321.3</v>
      </c>
      <c r="V375" s="964">
        <v>284321.3</v>
      </c>
    </row>
    <row r="376" spans="1:22" x14ac:dyDescent="0.25">
      <c r="A376" s="961" t="s">
        <v>6462</v>
      </c>
      <c r="B376" s="961">
        <v>2</v>
      </c>
      <c r="C376" s="961">
        <v>2</v>
      </c>
      <c r="D376" s="961" t="s">
        <v>6436</v>
      </c>
      <c r="E376" s="961" t="s">
        <v>6437</v>
      </c>
      <c r="F376" s="961">
        <v>274</v>
      </c>
      <c r="G376" s="961" t="s">
        <v>741</v>
      </c>
      <c r="H376" s="961">
        <v>1</v>
      </c>
      <c r="I376" s="963" t="s">
        <v>6443</v>
      </c>
      <c r="J376" s="961">
        <v>1</v>
      </c>
      <c r="K376" s="961">
        <v>23</v>
      </c>
      <c r="L376" s="961">
        <v>1</v>
      </c>
      <c r="M376" s="961">
        <v>1</v>
      </c>
      <c r="N376" s="961" t="s">
        <v>6438</v>
      </c>
      <c r="O376" s="961">
        <v>13</v>
      </c>
      <c r="P376" s="964">
        <v>33709.65</v>
      </c>
      <c r="Q376" s="964">
        <v>-27726.6</v>
      </c>
      <c r="R376" s="964">
        <f t="shared" si="7"/>
        <v>5983.0500000000029</v>
      </c>
      <c r="S376" s="964">
        <v>33709.65</v>
      </c>
      <c r="T376" s="964">
        <v>16339.05</v>
      </c>
      <c r="U376" s="964">
        <v>16339.05</v>
      </c>
      <c r="V376" s="964">
        <v>16339.05</v>
      </c>
    </row>
    <row r="377" spans="1:22" x14ac:dyDescent="0.25">
      <c r="A377" s="961" t="s">
        <v>6462</v>
      </c>
      <c r="B377" s="961">
        <v>2</v>
      </c>
      <c r="C377" s="961">
        <v>2</v>
      </c>
      <c r="D377" s="961" t="s">
        <v>6436</v>
      </c>
      <c r="E377" s="961" t="s">
        <v>6437</v>
      </c>
      <c r="F377" s="961">
        <v>274</v>
      </c>
      <c r="G377" s="961" t="s">
        <v>741</v>
      </c>
      <c r="H377" s="961">
        <v>1</v>
      </c>
      <c r="I377" s="963" t="s">
        <v>6444</v>
      </c>
      <c r="J377" s="961">
        <v>1</v>
      </c>
      <c r="K377" s="961">
        <v>23</v>
      </c>
      <c r="L377" s="961">
        <v>1</v>
      </c>
      <c r="M377" s="961">
        <v>1</v>
      </c>
      <c r="N377" s="961" t="s">
        <v>6438</v>
      </c>
      <c r="O377" s="961">
        <v>13</v>
      </c>
      <c r="P377" s="964">
        <v>67419.3</v>
      </c>
      <c r="Q377" s="964"/>
      <c r="R377" s="964">
        <f t="shared" si="7"/>
        <v>67419.3</v>
      </c>
      <c r="S377" s="964">
        <v>67419.3</v>
      </c>
      <c r="T377" s="964">
        <v>37844.400000000001</v>
      </c>
      <c r="U377" s="964">
        <v>37844.400000000001</v>
      </c>
      <c r="V377" s="964">
        <v>37844.400000000001</v>
      </c>
    </row>
    <row r="378" spans="1:22" x14ac:dyDescent="0.25">
      <c r="A378" s="961" t="s">
        <v>6462</v>
      </c>
      <c r="B378" s="961">
        <v>2</v>
      </c>
      <c r="C378" s="961">
        <v>2</v>
      </c>
      <c r="D378" s="961" t="s">
        <v>6436</v>
      </c>
      <c r="E378" s="961" t="s">
        <v>6437</v>
      </c>
      <c r="F378" s="961">
        <v>274</v>
      </c>
      <c r="G378" s="961" t="s">
        <v>741</v>
      </c>
      <c r="H378" s="961">
        <v>1</v>
      </c>
      <c r="I378" s="963" t="s">
        <v>6445</v>
      </c>
      <c r="J378" s="961">
        <v>1</v>
      </c>
      <c r="K378" s="961">
        <v>23</v>
      </c>
      <c r="L378" s="961">
        <v>1</v>
      </c>
      <c r="M378" s="961">
        <v>1</v>
      </c>
      <c r="N378" s="961" t="s">
        <v>6438</v>
      </c>
      <c r="O378" s="961">
        <v>13</v>
      </c>
      <c r="P378" s="964">
        <v>868653.12</v>
      </c>
      <c r="Q378" s="964"/>
      <c r="R378" s="964">
        <f t="shared" si="7"/>
        <v>868653.12</v>
      </c>
      <c r="S378" s="964">
        <v>868653.12</v>
      </c>
      <c r="T378" s="964">
        <v>710849.01</v>
      </c>
      <c r="U378" s="964">
        <v>706833.46</v>
      </c>
      <c r="V378" s="964">
        <v>706833.46</v>
      </c>
    </row>
    <row r="379" spans="1:22" x14ac:dyDescent="0.25">
      <c r="A379" s="961" t="s">
        <v>6462</v>
      </c>
      <c r="B379" s="961">
        <v>2</v>
      </c>
      <c r="C379" s="961">
        <v>2</v>
      </c>
      <c r="D379" s="961" t="s">
        <v>6436</v>
      </c>
      <c r="E379" s="961" t="s">
        <v>6437</v>
      </c>
      <c r="F379" s="961">
        <v>274</v>
      </c>
      <c r="G379" s="961" t="s">
        <v>741</v>
      </c>
      <c r="H379" s="961">
        <v>1</v>
      </c>
      <c r="I379" s="963" t="s">
        <v>6446</v>
      </c>
      <c r="J379" s="961">
        <v>1</v>
      </c>
      <c r="K379" s="961">
        <v>23</v>
      </c>
      <c r="L379" s="961">
        <v>1</v>
      </c>
      <c r="M379" s="961">
        <v>1</v>
      </c>
      <c r="N379" s="961" t="s">
        <v>6438</v>
      </c>
      <c r="O379" s="961">
        <v>13</v>
      </c>
      <c r="P379" s="964">
        <v>1982836.8</v>
      </c>
      <c r="Q379" s="964"/>
      <c r="R379" s="964">
        <f t="shared" si="7"/>
        <v>1982836.8</v>
      </c>
      <c r="S379" s="964">
        <v>1982836.8</v>
      </c>
      <c r="T379" s="964">
        <v>1622370.24</v>
      </c>
      <c r="U379" s="964">
        <v>1622370.24</v>
      </c>
      <c r="V379" s="964">
        <v>1622370.24</v>
      </c>
    </row>
    <row r="380" spans="1:22" x14ac:dyDescent="0.25">
      <c r="A380" s="961" t="s">
        <v>6462</v>
      </c>
      <c r="B380" s="961">
        <v>2</v>
      </c>
      <c r="C380" s="961">
        <v>2</v>
      </c>
      <c r="D380" s="961" t="s">
        <v>6436</v>
      </c>
      <c r="E380" s="961" t="s">
        <v>6437</v>
      </c>
      <c r="F380" s="961">
        <v>274</v>
      </c>
      <c r="G380" s="961" t="s">
        <v>741</v>
      </c>
      <c r="H380" s="961">
        <v>1</v>
      </c>
      <c r="I380" s="963" t="s">
        <v>6447</v>
      </c>
      <c r="J380" s="961">
        <v>1</v>
      </c>
      <c r="K380" s="961">
        <v>23</v>
      </c>
      <c r="L380" s="961">
        <v>1</v>
      </c>
      <c r="M380" s="961">
        <v>1</v>
      </c>
      <c r="N380" s="961" t="s">
        <v>6438</v>
      </c>
      <c r="O380" s="961">
        <v>13</v>
      </c>
      <c r="P380" s="964">
        <v>3432</v>
      </c>
      <c r="Q380" s="964"/>
      <c r="R380" s="964">
        <f t="shared" si="7"/>
        <v>3432</v>
      </c>
      <c r="S380" s="964">
        <v>3432</v>
      </c>
      <c r="T380" s="964">
        <v>2882</v>
      </c>
      <c r="U380" s="964">
        <v>2684</v>
      </c>
      <c r="V380" s="964">
        <v>2684</v>
      </c>
    </row>
    <row r="381" spans="1:22" x14ac:dyDescent="0.25">
      <c r="A381" s="961" t="s">
        <v>6462</v>
      </c>
      <c r="B381" s="961">
        <v>2</v>
      </c>
      <c r="C381" s="961">
        <v>2</v>
      </c>
      <c r="D381" s="961" t="s">
        <v>6436</v>
      </c>
      <c r="E381" s="961" t="s">
        <v>6437</v>
      </c>
      <c r="F381" s="961">
        <v>274</v>
      </c>
      <c r="G381" s="961" t="s">
        <v>741</v>
      </c>
      <c r="H381" s="961">
        <v>1</v>
      </c>
      <c r="I381" s="963" t="s">
        <v>6448</v>
      </c>
      <c r="J381" s="961">
        <v>1</v>
      </c>
      <c r="K381" s="961">
        <v>23</v>
      </c>
      <c r="L381" s="961">
        <v>1</v>
      </c>
      <c r="M381" s="961">
        <v>1</v>
      </c>
      <c r="N381" s="961" t="s">
        <v>6438</v>
      </c>
      <c r="O381" s="961">
        <v>13</v>
      </c>
      <c r="P381" s="964">
        <v>486</v>
      </c>
      <c r="Q381" s="964"/>
      <c r="R381" s="964">
        <f t="shared" si="7"/>
        <v>486</v>
      </c>
      <c r="S381" s="964">
        <v>486</v>
      </c>
      <c r="T381" s="964">
        <v>175.5</v>
      </c>
      <c r="U381" s="964">
        <v>175.5</v>
      </c>
      <c r="V381" s="964">
        <v>175.5</v>
      </c>
    </row>
    <row r="382" spans="1:22" x14ac:dyDescent="0.25">
      <c r="A382" s="961" t="s">
        <v>6462</v>
      </c>
      <c r="B382" s="961">
        <v>2</v>
      </c>
      <c r="C382" s="961">
        <v>2</v>
      </c>
      <c r="D382" s="961" t="s">
        <v>6436</v>
      </c>
      <c r="E382" s="961" t="s">
        <v>6437</v>
      </c>
      <c r="F382" s="961">
        <v>274</v>
      </c>
      <c r="G382" s="961" t="s">
        <v>741</v>
      </c>
      <c r="H382" s="961">
        <v>1</v>
      </c>
      <c r="I382" s="963" t="s">
        <v>6449</v>
      </c>
      <c r="J382" s="961">
        <v>1</v>
      </c>
      <c r="K382" s="961">
        <v>23</v>
      </c>
      <c r="L382" s="961">
        <v>1</v>
      </c>
      <c r="M382" s="961">
        <v>1</v>
      </c>
      <c r="N382" s="961" t="s">
        <v>6438</v>
      </c>
      <c r="O382" s="961">
        <v>13</v>
      </c>
      <c r="P382" s="964">
        <v>9222.9599999999991</v>
      </c>
      <c r="Q382" s="964"/>
      <c r="R382" s="964">
        <f t="shared" si="7"/>
        <v>9222.9599999999991</v>
      </c>
      <c r="S382" s="964">
        <v>9222.9599999999991</v>
      </c>
      <c r="T382" s="964">
        <v>7785.08</v>
      </c>
      <c r="U382" s="964">
        <v>7785.08</v>
      </c>
      <c r="V382" s="964">
        <v>7785.08</v>
      </c>
    </row>
    <row r="383" spans="1:22" x14ac:dyDescent="0.25">
      <c r="A383" s="961" t="s">
        <v>6462</v>
      </c>
      <c r="B383" s="961">
        <v>2</v>
      </c>
      <c r="C383" s="961">
        <v>2</v>
      </c>
      <c r="D383" s="961" t="s">
        <v>6436</v>
      </c>
      <c r="E383" s="961" t="s">
        <v>6437</v>
      </c>
      <c r="F383" s="961">
        <v>274</v>
      </c>
      <c r="G383" s="961" t="s">
        <v>741</v>
      </c>
      <c r="H383" s="961">
        <v>1</v>
      </c>
      <c r="I383" s="963">
        <v>15404</v>
      </c>
      <c r="J383" s="961">
        <v>1</v>
      </c>
      <c r="K383" s="961">
        <v>23</v>
      </c>
      <c r="L383" s="961">
        <v>1</v>
      </c>
      <c r="M383" s="961">
        <v>1</v>
      </c>
      <c r="N383" s="961" t="s">
        <v>6438</v>
      </c>
      <c r="O383" s="961">
        <v>13</v>
      </c>
      <c r="P383" s="964">
        <v>47749.79</v>
      </c>
      <c r="Q383" s="964"/>
      <c r="R383" s="964">
        <f t="shared" si="7"/>
        <v>47749.79</v>
      </c>
      <c r="S383" s="964">
        <v>47749.79</v>
      </c>
      <c r="T383" s="964">
        <v>32708.3</v>
      </c>
      <c r="U383" s="964">
        <v>32708.3</v>
      </c>
      <c r="V383" s="964">
        <v>32708.3</v>
      </c>
    </row>
    <row r="384" spans="1:22" x14ac:dyDescent="0.25">
      <c r="A384" s="961" t="s">
        <v>6462</v>
      </c>
      <c r="B384" s="961">
        <v>2</v>
      </c>
      <c r="C384" s="961">
        <v>2</v>
      </c>
      <c r="D384" s="961" t="s">
        <v>6436</v>
      </c>
      <c r="E384" s="961" t="s">
        <v>6437</v>
      </c>
      <c r="F384" s="961">
        <v>274</v>
      </c>
      <c r="G384" s="961" t="s">
        <v>741</v>
      </c>
      <c r="H384" s="961">
        <v>1</v>
      </c>
      <c r="I384" s="963">
        <v>15409</v>
      </c>
      <c r="J384" s="961">
        <v>1</v>
      </c>
      <c r="K384" s="961">
        <v>23</v>
      </c>
      <c r="L384" s="961">
        <v>1</v>
      </c>
      <c r="M384" s="961">
        <v>1</v>
      </c>
      <c r="N384" s="961" t="s">
        <v>6438</v>
      </c>
      <c r="O384" s="961">
        <v>13</v>
      </c>
      <c r="P384" s="964">
        <v>94320</v>
      </c>
      <c r="Q384" s="964"/>
      <c r="R384" s="964">
        <f t="shared" si="7"/>
        <v>94320</v>
      </c>
      <c r="S384" s="964">
        <v>94320</v>
      </c>
      <c r="T384" s="964">
        <v>78600</v>
      </c>
      <c r="U384" s="964">
        <v>78600</v>
      </c>
      <c r="V384" s="964">
        <v>78600</v>
      </c>
    </row>
    <row r="385" spans="1:22" x14ac:dyDescent="0.25">
      <c r="A385" s="961" t="s">
        <v>6462</v>
      </c>
      <c r="B385" s="961">
        <v>2</v>
      </c>
      <c r="C385" s="961">
        <v>2</v>
      </c>
      <c r="D385" s="961" t="s">
        <v>6436</v>
      </c>
      <c r="E385" s="961" t="s">
        <v>6437</v>
      </c>
      <c r="F385" s="961">
        <v>274</v>
      </c>
      <c r="G385" s="961" t="s">
        <v>741</v>
      </c>
      <c r="H385" s="961">
        <v>1</v>
      </c>
      <c r="I385" s="963">
        <v>15416</v>
      </c>
      <c r="J385" s="961">
        <v>1</v>
      </c>
      <c r="K385" s="961">
        <v>23</v>
      </c>
      <c r="L385" s="961">
        <v>1</v>
      </c>
      <c r="M385" s="961">
        <v>1</v>
      </c>
      <c r="N385" s="961" t="s">
        <v>6438</v>
      </c>
      <c r="O385" s="961">
        <v>13</v>
      </c>
      <c r="P385" s="964">
        <v>7125</v>
      </c>
      <c r="Q385" s="964"/>
      <c r="R385" s="964">
        <f t="shared" si="7"/>
        <v>7125</v>
      </c>
      <c r="S385" s="964">
        <v>7125</v>
      </c>
      <c r="T385" s="964">
        <v>4350</v>
      </c>
      <c r="U385" s="964">
        <v>4350</v>
      </c>
      <c r="V385" s="964">
        <v>4350</v>
      </c>
    </row>
    <row r="386" spans="1:22" x14ac:dyDescent="0.25">
      <c r="A386" s="961" t="s">
        <v>6462</v>
      </c>
      <c r="B386" s="961">
        <v>2</v>
      </c>
      <c r="C386" s="961">
        <v>2</v>
      </c>
      <c r="D386" s="961" t="s">
        <v>6436</v>
      </c>
      <c r="E386" s="961" t="s">
        <v>6437</v>
      </c>
      <c r="F386" s="961">
        <v>274</v>
      </c>
      <c r="G386" s="961" t="s">
        <v>741</v>
      </c>
      <c r="H386" s="961">
        <v>1</v>
      </c>
      <c r="I386" s="963">
        <v>15417</v>
      </c>
      <c r="J386" s="961">
        <v>1</v>
      </c>
      <c r="K386" s="961">
        <v>23</v>
      </c>
      <c r="L386" s="961">
        <v>1</v>
      </c>
      <c r="M386" s="961">
        <v>1</v>
      </c>
      <c r="N386" s="961" t="s">
        <v>6438</v>
      </c>
      <c r="O386" s="961">
        <v>13</v>
      </c>
      <c r="P386" s="964">
        <v>52632</v>
      </c>
      <c r="Q386" s="964">
        <v>21282</v>
      </c>
      <c r="R386" s="964">
        <f t="shared" si="7"/>
        <v>73914</v>
      </c>
      <c r="S386" s="964">
        <v>52632</v>
      </c>
      <c r="T386" s="964">
        <v>45960</v>
      </c>
      <c r="U386" s="964">
        <v>45960</v>
      </c>
      <c r="V386" s="964">
        <v>45960</v>
      </c>
    </row>
    <row r="387" spans="1:22" x14ac:dyDescent="0.25">
      <c r="A387" s="961" t="s">
        <v>6462</v>
      </c>
      <c r="B387" s="961">
        <v>2</v>
      </c>
      <c r="C387" s="961">
        <v>2</v>
      </c>
      <c r="D387" s="961" t="s">
        <v>6436</v>
      </c>
      <c r="E387" s="961" t="s">
        <v>6437</v>
      </c>
      <c r="F387" s="961">
        <v>274</v>
      </c>
      <c r="G387" s="961" t="s">
        <v>741</v>
      </c>
      <c r="H387" s="961">
        <v>1</v>
      </c>
      <c r="I387" s="963">
        <v>15418</v>
      </c>
      <c r="J387" s="961">
        <v>1</v>
      </c>
      <c r="K387" s="961">
        <v>23</v>
      </c>
      <c r="L387" s="961">
        <v>1</v>
      </c>
      <c r="M387" s="961">
        <v>1</v>
      </c>
      <c r="N387" s="961" t="s">
        <v>6438</v>
      </c>
      <c r="O387" s="961">
        <v>13</v>
      </c>
      <c r="P387" s="964">
        <v>28649.87</v>
      </c>
      <c r="Q387" s="964"/>
      <c r="R387" s="964">
        <f t="shared" si="7"/>
        <v>28649.87</v>
      </c>
      <c r="S387" s="964">
        <v>28649.87</v>
      </c>
      <c r="T387" s="964">
        <v>24828.69</v>
      </c>
      <c r="U387" s="964">
        <v>24828.69</v>
      </c>
      <c r="V387" s="964">
        <v>24828.69</v>
      </c>
    </row>
    <row r="388" spans="1:22" x14ac:dyDescent="0.25">
      <c r="A388" s="961" t="s">
        <v>6462</v>
      </c>
      <c r="B388" s="961">
        <v>2</v>
      </c>
      <c r="C388" s="961">
        <v>2</v>
      </c>
      <c r="D388" s="961" t="s">
        <v>6436</v>
      </c>
      <c r="E388" s="961" t="s">
        <v>6437</v>
      </c>
      <c r="F388" s="961">
        <v>274</v>
      </c>
      <c r="G388" s="961" t="s">
        <v>741</v>
      </c>
      <c r="H388" s="961">
        <v>1</v>
      </c>
      <c r="I388" s="963" t="s">
        <v>6450</v>
      </c>
      <c r="J388" s="961">
        <v>1</v>
      </c>
      <c r="K388" s="961">
        <v>23</v>
      </c>
      <c r="L388" s="961">
        <v>1</v>
      </c>
      <c r="M388" s="961">
        <v>1</v>
      </c>
      <c r="N388" s="961" t="s">
        <v>6438</v>
      </c>
      <c r="O388" s="961">
        <v>13</v>
      </c>
      <c r="P388" s="964">
        <v>58176</v>
      </c>
      <c r="Q388" s="964"/>
      <c r="R388" s="964">
        <f t="shared" si="7"/>
        <v>58176</v>
      </c>
      <c r="S388" s="964">
        <v>58176</v>
      </c>
      <c r="T388" s="964">
        <v>50580</v>
      </c>
      <c r="U388" s="964">
        <v>50580</v>
      </c>
      <c r="V388" s="964">
        <v>50580</v>
      </c>
    </row>
    <row r="389" spans="1:22" x14ac:dyDescent="0.25">
      <c r="A389" s="961" t="s">
        <v>6462</v>
      </c>
      <c r="B389" s="961">
        <v>2</v>
      </c>
      <c r="C389" s="961">
        <v>2</v>
      </c>
      <c r="D389" s="961" t="s">
        <v>6436</v>
      </c>
      <c r="E389" s="961" t="s">
        <v>6437</v>
      </c>
      <c r="F389" s="961">
        <v>274</v>
      </c>
      <c r="G389" s="961" t="s">
        <v>741</v>
      </c>
      <c r="H389" s="961">
        <v>1</v>
      </c>
      <c r="I389" s="963">
        <v>15420</v>
      </c>
      <c r="J389" s="961">
        <v>1</v>
      </c>
      <c r="K389" s="961">
        <v>23</v>
      </c>
      <c r="L389" s="961">
        <v>1</v>
      </c>
      <c r="M389" s="961">
        <v>1</v>
      </c>
      <c r="N389" s="961" t="s">
        <v>6438</v>
      </c>
      <c r="O389" s="961">
        <v>13</v>
      </c>
      <c r="P389" s="964">
        <v>21000</v>
      </c>
      <c r="Q389" s="964">
        <v>11040</v>
      </c>
      <c r="R389" s="964">
        <f t="shared" si="7"/>
        <v>32040</v>
      </c>
      <c r="S389" s="964">
        <v>21360</v>
      </c>
      <c r="T389" s="964">
        <v>21360</v>
      </c>
      <c r="U389" s="964">
        <v>21360</v>
      </c>
      <c r="V389" s="964">
        <v>21360</v>
      </c>
    </row>
    <row r="390" spans="1:22" x14ac:dyDescent="0.25">
      <c r="A390" s="961" t="s">
        <v>6462</v>
      </c>
      <c r="B390" s="961">
        <v>2</v>
      </c>
      <c r="C390" s="961">
        <v>2</v>
      </c>
      <c r="D390" s="961" t="s">
        <v>6436</v>
      </c>
      <c r="E390" s="961" t="s">
        <v>6437</v>
      </c>
      <c r="F390" s="961">
        <v>274</v>
      </c>
      <c r="G390" s="961" t="s">
        <v>741</v>
      </c>
      <c r="H390" s="961">
        <v>1</v>
      </c>
      <c r="I390" s="963">
        <v>15421</v>
      </c>
      <c r="J390" s="961">
        <v>1</v>
      </c>
      <c r="K390" s="961">
        <v>23</v>
      </c>
      <c r="L390" s="961">
        <v>1</v>
      </c>
      <c r="M390" s="961">
        <v>1</v>
      </c>
      <c r="N390" s="961" t="s">
        <v>6438</v>
      </c>
      <c r="O390" s="961">
        <v>13</v>
      </c>
      <c r="P390" s="964">
        <v>5000</v>
      </c>
      <c r="Q390" s="964"/>
      <c r="R390" s="964">
        <f t="shared" si="7"/>
        <v>5000</v>
      </c>
      <c r="S390" s="964">
        <v>5000</v>
      </c>
      <c r="T390" s="964">
        <v>1280</v>
      </c>
      <c r="U390" s="964">
        <v>1280</v>
      </c>
      <c r="V390" s="964">
        <v>1280</v>
      </c>
    </row>
    <row r="391" spans="1:22" x14ac:dyDescent="0.25">
      <c r="A391" s="961" t="s">
        <v>6462</v>
      </c>
      <c r="B391" s="961">
        <v>2</v>
      </c>
      <c r="C391" s="961">
        <v>2</v>
      </c>
      <c r="D391" s="961" t="s">
        <v>6436</v>
      </c>
      <c r="E391" s="961" t="s">
        <v>6437</v>
      </c>
      <c r="F391" s="961">
        <v>274</v>
      </c>
      <c r="G391" s="961" t="s">
        <v>741</v>
      </c>
      <c r="H391" s="961">
        <v>1</v>
      </c>
      <c r="I391" s="963">
        <v>15423</v>
      </c>
      <c r="J391" s="961">
        <v>1</v>
      </c>
      <c r="K391" s="961">
        <v>23</v>
      </c>
      <c r="L391" s="961">
        <v>1</v>
      </c>
      <c r="M391" s="961">
        <v>1</v>
      </c>
      <c r="N391" s="961" t="s">
        <v>6438</v>
      </c>
      <c r="O391" s="961">
        <v>13</v>
      </c>
      <c r="P391" s="964">
        <v>3780</v>
      </c>
      <c r="Q391" s="964"/>
      <c r="R391" s="964">
        <f t="shared" si="7"/>
        <v>3780</v>
      </c>
      <c r="S391" s="964">
        <v>3780</v>
      </c>
      <c r="T391" s="964">
        <v>3650</v>
      </c>
      <c r="U391" s="964">
        <v>3650</v>
      </c>
      <c r="V391" s="964">
        <v>3650</v>
      </c>
    </row>
    <row r="392" spans="1:22" x14ac:dyDescent="0.25">
      <c r="A392" s="961" t="s">
        <v>6462</v>
      </c>
      <c r="B392" s="961">
        <v>2</v>
      </c>
      <c r="C392" s="961">
        <v>2</v>
      </c>
      <c r="D392" s="961" t="s">
        <v>6436</v>
      </c>
      <c r="E392" s="961" t="s">
        <v>6437</v>
      </c>
      <c r="F392" s="961">
        <v>274</v>
      </c>
      <c r="G392" s="961" t="s">
        <v>741</v>
      </c>
      <c r="H392" s="961">
        <v>1</v>
      </c>
      <c r="I392" s="963">
        <v>15424</v>
      </c>
      <c r="J392" s="961">
        <v>1</v>
      </c>
      <c r="K392" s="961">
        <v>23</v>
      </c>
      <c r="L392" s="961">
        <v>1</v>
      </c>
      <c r="M392" s="961">
        <v>1</v>
      </c>
      <c r="N392" s="961" t="s">
        <v>6438</v>
      </c>
      <c r="O392" s="961">
        <v>13</v>
      </c>
      <c r="P392" s="964">
        <v>3600</v>
      </c>
      <c r="Q392" s="964"/>
      <c r="R392" s="964">
        <f t="shared" si="7"/>
        <v>3600</v>
      </c>
      <c r="S392" s="964">
        <v>3600</v>
      </c>
      <c r="T392" s="964">
        <v>1900</v>
      </c>
      <c r="U392" s="964">
        <v>1900</v>
      </c>
      <c r="V392" s="964">
        <v>1900</v>
      </c>
    </row>
    <row r="393" spans="1:22" x14ac:dyDescent="0.25">
      <c r="A393" s="961" t="s">
        <v>6462</v>
      </c>
      <c r="B393" s="961">
        <v>2</v>
      </c>
      <c r="C393" s="961">
        <v>2</v>
      </c>
      <c r="D393" s="961" t="s">
        <v>6436</v>
      </c>
      <c r="E393" s="961" t="s">
        <v>6437</v>
      </c>
      <c r="F393" s="961">
        <v>274</v>
      </c>
      <c r="G393" s="961" t="s">
        <v>741</v>
      </c>
      <c r="H393" s="961">
        <v>1</v>
      </c>
      <c r="I393" s="963">
        <v>15425</v>
      </c>
      <c r="J393" s="961">
        <v>1</v>
      </c>
      <c r="K393" s="961">
        <v>23</v>
      </c>
      <c r="L393" s="961">
        <v>1</v>
      </c>
      <c r="M393" s="961">
        <v>1</v>
      </c>
      <c r="N393" s="961" t="s">
        <v>6438</v>
      </c>
      <c r="O393" s="961">
        <v>13</v>
      </c>
      <c r="P393" s="964">
        <v>25020</v>
      </c>
      <c r="Q393" s="964">
        <v>11439.2</v>
      </c>
      <c r="R393" s="964">
        <f t="shared" si="7"/>
        <v>36459.199999999997</v>
      </c>
      <c r="S393" s="964">
        <v>28620</v>
      </c>
      <c r="T393" s="964">
        <v>28620</v>
      </c>
      <c r="U393" s="964">
        <v>28620</v>
      </c>
      <c r="V393" s="964">
        <v>28620</v>
      </c>
    </row>
    <row r="394" spans="1:22" x14ac:dyDescent="0.25">
      <c r="A394" s="961" t="s">
        <v>6462</v>
      </c>
      <c r="B394" s="961">
        <v>2</v>
      </c>
      <c r="C394" s="961">
        <v>2</v>
      </c>
      <c r="D394" s="961" t="s">
        <v>6436</v>
      </c>
      <c r="E394" s="961" t="s">
        <v>6437</v>
      </c>
      <c r="F394" s="961">
        <v>274</v>
      </c>
      <c r="G394" s="961" t="s">
        <v>741</v>
      </c>
      <c r="H394" s="961">
        <v>1</v>
      </c>
      <c r="I394" s="963">
        <v>15427</v>
      </c>
      <c r="J394" s="961">
        <v>1</v>
      </c>
      <c r="K394" s="961">
        <v>23</v>
      </c>
      <c r="L394" s="961">
        <v>1</v>
      </c>
      <c r="M394" s="961">
        <v>1</v>
      </c>
      <c r="N394" s="961" t="s">
        <v>6438</v>
      </c>
      <c r="O394" s="961">
        <v>13</v>
      </c>
      <c r="P394" s="964">
        <v>10800</v>
      </c>
      <c r="Q394" s="964"/>
      <c r="R394" s="964">
        <f t="shared" si="7"/>
        <v>10800</v>
      </c>
      <c r="S394" s="964">
        <v>10800</v>
      </c>
      <c r="T394" s="964">
        <v>8100</v>
      </c>
      <c r="U394" s="964">
        <v>8100</v>
      </c>
      <c r="V394" s="964">
        <v>8100</v>
      </c>
    </row>
    <row r="395" spans="1:22" x14ac:dyDescent="0.25">
      <c r="A395" s="961" t="s">
        <v>6462</v>
      </c>
      <c r="B395" s="961">
        <v>2</v>
      </c>
      <c r="C395" s="961">
        <v>2</v>
      </c>
      <c r="D395" s="961" t="s">
        <v>6436</v>
      </c>
      <c r="E395" s="961" t="s">
        <v>6437</v>
      </c>
      <c r="F395" s="961">
        <v>274</v>
      </c>
      <c r="G395" s="961" t="s">
        <v>741</v>
      </c>
      <c r="H395" s="961">
        <v>1</v>
      </c>
      <c r="I395" s="963">
        <v>15430</v>
      </c>
      <c r="J395" s="961">
        <v>1</v>
      </c>
      <c r="K395" s="961">
        <v>23</v>
      </c>
      <c r="L395" s="961">
        <v>1</v>
      </c>
      <c r="M395" s="961">
        <v>1</v>
      </c>
      <c r="N395" s="961" t="s">
        <v>6438</v>
      </c>
      <c r="O395" s="961">
        <v>13</v>
      </c>
      <c r="P395" s="964">
        <v>4500</v>
      </c>
      <c r="Q395" s="964"/>
      <c r="R395" s="964">
        <f t="shared" si="7"/>
        <v>4500</v>
      </c>
      <c r="S395" s="964">
        <v>4500</v>
      </c>
      <c r="T395" s="964">
        <v>4000</v>
      </c>
      <c r="U395" s="964">
        <v>4000</v>
      </c>
      <c r="V395" s="964">
        <v>4000</v>
      </c>
    </row>
    <row r="396" spans="1:22" x14ac:dyDescent="0.25">
      <c r="A396" s="961" t="s">
        <v>6462</v>
      </c>
      <c r="B396" s="961">
        <v>2</v>
      </c>
      <c r="C396" s="961">
        <v>2</v>
      </c>
      <c r="D396" s="961" t="s">
        <v>6436</v>
      </c>
      <c r="E396" s="961" t="s">
        <v>6437</v>
      </c>
      <c r="F396" s="961">
        <v>274</v>
      </c>
      <c r="G396" s="961" t="s">
        <v>741</v>
      </c>
      <c r="H396" s="961">
        <v>1</v>
      </c>
      <c r="I396" s="963" t="s">
        <v>6451</v>
      </c>
      <c r="J396" s="961">
        <v>1</v>
      </c>
      <c r="K396" s="961">
        <v>23</v>
      </c>
      <c r="L396" s="961">
        <v>1</v>
      </c>
      <c r="M396" s="961">
        <v>1</v>
      </c>
      <c r="N396" s="961" t="s">
        <v>6438</v>
      </c>
      <c r="O396" s="961">
        <v>13</v>
      </c>
      <c r="P396" s="964">
        <v>971313.58333333302</v>
      </c>
      <c r="Q396" s="964">
        <v>976194.3</v>
      </c>
      <c r="R396" s="964">
        <f t="shared" si="7"/>
        <v>1947507.8833333331</v>
      </c>
      <c r="S396" s="964">
        <v>1947507.8833333331</v>
      </c>
      <c r="T396" s="964">
        <v>862040.17</v>
      </c>
      <c r="U396" s="964">
        <v>845183.58</v>
      </c>
      <c r="V396" s="964">
        <v>845183.58</v>
      </c>
    </row>
    <row r="397" spans="1:22" x14ac:dyDescent="0.25">
      <c r="A397" s="961" t="s">
        <v>6462</v>
      </c>
      <c r="B397" s="961">
        <v>2</v>
      </c>
      <c r="C397" s="961">
        <v>2</v>
      </c>
      <c r="D397" s="961" t="s">
        <v>6436</v>
      </c>
      <c r="E397" s="961" t="s">
        <v>6437</v>
      </c>
      <c r="F397" s="961">
        <v>274</v>
      </c>
      <c r="G397" s="961" t="s">
        <v>741</v>
      </c>
      <c r="H397" s="961">
        <v>1</v>
      </c>
      <c r="I397" s="963" t="s">
        <v>6454</v>
      </c>
      <c r="J397" s="961">
        <v>1</v>
      </c>
      <c r="K397" s="961">
        <v>23</v>
      </c>
      <c r="L397" s="961">
        <v>1</v>
      </c>
      <c r="M397" s="961">
        <v>1</v>
      </c>
      <c r="N397" s="961" t="s">
        <v>6438</v>
      </c>
      <c r="O397" s="961">
        <v>13</v>
      </c>
      <c r="P397" s="964">
        <v>310256.40000000002</v>
      </c>
      <c r="Q397" s="964"/>
      <c r="R397" s="964">
        <f t="shared" si="7"/>
        <v>310256.40000000002</v>
      </c>
      <c r="S397" s="964">
        <v>310256.40000000002</v>
      </c>
      <c r="T397" s="964">
        <v>102750</v>
      </c>
      <c r="U397" s="964">
        <v>102750</v>
      </c>
      <c r="V397" s="964">
        <v>102750</v>
      </c>
    </row>
    <row r="398" spans="1:22" x14ac:dyDescent="0.25">
      <c r="A398" s="961" t="s">
        <v>6462</v>
      </c>
      <c r="B398" s="961">
        <v>2</v>
      </c>
      <c r="C398" s="961">
        <v>2</v>
      </c>
      <c r="D398" s="961" t="s">
        <v>6436</v>
      </c>
      <c r="E398" s="961" t="s">
        <v>6437</v>
      </c>
      <c r="F398" s="961">
        <v>274</v>
      </c>
      <c r="G398" s="961" t="s">
        <v>741</v>
      </c>
      <c r="H398" s="961">
        <v>1</v>
      </c>
      <c r="I398" s="963" t="s">
        <v>6457</v>
      </c>
      <c r="J398" s="961">
        <v>1</v>
      </c>
      <c r="K398" s="961">
        <v>23</v>
      </c>
      <c r="L398" s="961">
        <v>1</v>
      </c>
      <c r="M398" s="961">
        <v>1</v>
      </c>
      <c r="N398" s="961" t="s">
        <v>6438</v>
      </c>
      <c r="O398" s="961">
        <v>13</v>
      </c>
      <c r="P398" s="964">
        <v>21120</v>
      </c>
      <c r="Q398" s="964"/>
      <c r="R398" s="964">
        <f t="shared" si="7"/>
        <v>21120</v>
      </c>
      <c r="S398" s="964">
        <v>21120</v>
      </c>
      <c r="T398" s="964">
        <v>7040</v>
      </c>
      <c r="U398" s="964">
        <v>7040</v>
      </c>
      <c r="V398" s="964">
        <v>7040</v>
      </c>
    </row>
    <row r="399" spans="1:22" x14ac:dyDescent="0.25">
      <c r="A399" s="961" t="s">
        <v>6462</v>
      </c>
      <c r="B399" s="961">
        <v>2</v>
      </c>
      <c r="C399" s="961">
        <v>2</v>
      </c>
      <c r="D399" s="961" t="s">
        <v>6436</v>
      </c>
      <c r="E399" s="961" t="s">
        <v>6437</v>
      </c>
      <c r="F399" s="961">
        <v>274</v>
      </c>
      <c r="G399" s="961" t="s">
        <v>741</v>
      </c>
      <c r="H399" s="961">
        <v>1</v>
      </c>
      <c r="I399" s="963">
        <v>17105</v>
      </c>
      <c r="J399" s="961">
        <v>1</v>
      </c>
      <c r="K399" s="961">
        <v>23</v>
      </c>
      <c r="L399" s="961">
        <v>1</v>
      </c>
      <c r="M399" s="961">
        <v>1</v>
      </c>
      <c r="N399" s="961" t="s">
        <v>6438</v>
      </c>
      <c r="O399" s="961">
        <v>13</v>
      </c>
      <c r="P399" s="964">
        <v>72528.479999999996</v>
      </c>
      <c r="Q399" s="964"/>
      <c r="R399" s="964">
        <f t="shared" si="7"/>
        <v>72528.479999999996</v>
      </c>
      <c r="S399" s="964">
        <v>97569.31</v>
      </c>
      <c r="T399" s="964">
        <v>97569.31</v>
      </c>
      <c r="U399" s="964">
        <v>97569.31</v>
      </c>
      <c r="V399" s="964">
        <v>97569.31</v>
      </c>
    </row>
    <row r="400" spans="1:22" x14ac:dyDescent="0.25">
      <c r="A400" s="961" t="s">
        <v>6462</v>
      </c>
      <c r="B400" s="961">
        <v>2</v>
      </c>
      <c r="C400" s="961">
        <v>2</v>
      </c>
      <c r="D400" s="961" t="s">
        <v>6436</v>
      </c>
      <c r="E400" s="961" t="s">
        <v>6437</v>
      </c>
      <c r="F400" s="961">
        <v>274</v>
      </c>
      <c r="G400" s="961" t="s">
        <v>741</v>
      </c>
      <c r="H400" s="961">
        <v>1</v>
      </c>
      <c r="I400" s="963">
        <v>99101</v>
      </c>
      <c r="J400" s="961">
        <v>1</v>
      </c>
      <c r="K400" s="961">
        <v>23</v>
      </c>
      <c r="L400" s="961">
        <v>1</v>
      </c>
      <c r="M400" s="961">
        <v>1</v>
      </c>
      <c r="N400" s="961" t="s">
        <v>6438</v>
      </c>
      <c r="O400" s="961">
        <v>13</v>
      </c>
      <c r="P400" s="964"/>
      <c r="Q400" s="964"/>
      <c r="R400" s="964">
        <f t="shared" si="7"/>
        <v>0</v>
      </c>
      <c r="S400" s="964"/>
      <c r="T400" s="964"/>
      <c r="U400" s="964"/>
      <c r="V400" s="964"/>
    </row>
    <row r="401" spans="1:22" x14ac:dyDescent="0.25">
      <c r="A401" s="961" t="s">
        <v>6462</v>
      </c>
      <c r="B401" s="961">
        <v>2</v>
      </c>
      <c r="C401" s="961">
        <v>2</v>
      </c>
      <c r="D401" s="961" t="s">
        <v>6436</v>
      </c>
      <c r="E401" s="961" t="s">
        <v>6437</v>
      </c>
      <c r="F401" s="961">
        <v>274</v>
      </c>
      <c r="G401" s="961" t="s">
        <v>741</v>
      </c>
      <c r="H401" s="961">
        <v>1</v>
      </c>
      <c r="I401" s="963">
        <v>61306</v>
      </c>
      <c r="J401" s="961">
        <v>2</v>
      </c>
      <c r="K401" s="961">
        <v>23</v>
      </c>
      <c r="L401" s="961">
        <v>2</v>
      </c>
      <c r="M401" s="961">
        <v>5</v>
      </c>
      <c r="N401" s="961" t="s">
        <v>6463</v>
      </c>
      <c r="O401" s="961">
        <v>13</v>
      </c>
      <c r="P401" s="964"/>
      <c r="Q401" s="964">
        <f>641485037.26</f>
        <v>641485037.25999999</v>
      </c>
      <c r="R401" s="964">
        <f t="shared" si="7"/>
        <v>641485037.25999999</v>
      </c>
      <c r="S401" s="964">
        <v>555448570.44000006</v>
      </c>
      <c r="T401" s="964">
        <v>150132941.68000001</v>
      </c>
      <c r="U401" s="964">
        <v>150132941.68000001</v>
      </c>
      <c r="V401" s="964">
        <v>150132941.68000001</v>
      </c>
    </row>
    <row r="402" spans="1:22" x14ac:dyDescent="0.25">
      <c r="A402" s="961" t="s">
        <v>6462</v>
      </c>
      <c r="B402" s="961">
        <v>2</v>
      </c>
      <c r="C402" s="961">
        <v>2</v>
      </c>
      <c r="D402" s="961" t="s">
        <v>6436</v>
      </c>
      <c r="E402" s="961" t="s">
        <v>6437</v>
      </c>
      <c r="F402" s="961">
        <v>274</v>
      </c>
      <c r="G402" s="961" t="s">
        <v>741</v>
      </c>
      <c r="H402" s="961">
        <v>1</v>
      </c>
      <c r="I402" s="963">
        <v>61307</v>
      </c>
      <c r="J402" s="961">
        <v>2</v>
      </c>
      <c r="K402" s="961">
        <v>22</v>
      </c>
      <c r="L402" s="961">
        <v>2</v>
      </c>
      <c r="M402" s="961">
        <v>5</v>
      </c>
      <c r="N402" s="961" t="s">
        <v>6463</v>
      </c>
      <c r="O402" s="961">
        <v>13</v>
      </c>
      <c r="P402" s="964"/>
      <c r="Q402" s="964">
        <v>227861500.01999998</v>
      </c>
      <c r="R402" s="964">
        <f t="shared" si="7"/>
        <v>227861500.01999998</v>
      </c>
      <c r="S402" s="964">
        <v>326510892.02999997</v>
      </c>
      <c r="T402" s="964">
        <v>324262985.61000001</v>
      </c>
      <c r="U402" s="964">
        <v>324262985.61000001</v>
      </c>
      <c r="V402" s="964">
        <f>243907392.41+'[12]Reporte de Compac'!$F$121</f>
        <v>313908052.59000003</v>
      </c>
    </row>
    <row r="403" spans="1:22" x14ac:dyDescent="0.25">
      <c r="A403" s="961" t="s">
        <v>6462</v>
      </c>
      <c r="B403" s="961">
        <v>2</v>
      </c>
      <c r="C403" s="961">
        <v>2</v>
      </c>
      <c r="D403" s="961" t="s">
        <v>6436</v>
      </c>
      <c r="E403" s="961" t="s">
        <v>6437</v>
      </c>
      <c r="F403" s="961">
        <v>274</v>
      </c>
      <c r="G403" s="961" t="s">
        <v>741</v>
      </c>
      <c r="H403" s="961">
        <v>1</v>
      </c>
      <c r="I403" s="963">
        <v>61307</v>
      </c>
      <c r="J403" s="961">
        <v>2</v>
      </c>
      <c r="K403" s="961">
        <v>23</v>
      </c>
      <c r="L403" s="961">
        <v>2</v>
      </c>
      <c r="M403" s="961">
        <v>5</v>
      </c>
      <c r="N403" s="961" t="s">
        <v>6463</v>
      </c>
      <c r="O403" s="961">
        <v>13</v>
      </c>
      <c r="P403" s="964"/>
      <c r="Q403" s="964">
        <v>98237767.319999993</v>
      </c>
      <c r="R403" s="964">
        <f t="shared" si="7"/>
        <v>98237767.319999993</v>
      </c>
      <c r="S403" s="964"/>
      <c r="T403" s="964"/>
      <c r="U403" s="964"/>
      <c r="V403" s="964"/>
    </row>
    <row r="404" spans="1:22" x14ac:dyDescent="0.25">
      <c r="A404" s="961" t="s">
        <v>6462</v>
      </c>
      <c r="B404" s="961">
        <v>2</v>
      </c>
      <c r="C404" s="961">
        <v>2</v>
      </c>
      <c r="D404" s="961" t="s">
        <v>6436</v>
      </c>
      <c r="E404" s="961" t="s">
        <v>6437</v>
      </c>
      <c r="F404" s="961">
        <v>274</v>
      </c>
      <c r="G404" s="961" t="s">
        <v>741</v>
      </c>
      <c r="H404" s="961">
        <v>1</v>
      </c>
      <c r="I404" s="963">
        <v>61308</v>
      </c>
      <c r="J404" s="961">
        <v>2</v>
      </c>
      <c r="K404" s="961">
        <v>22</v>
      </c>
      <c r="L404" s="961">
        <v>2</v>
      </c>
      <c r="M404" s="961">
        <v>5</v>
      </c>
      <c r="N404" s="961" t="s">
        <v>6463</v>
      </c>
      <c r="O404" s="961">
        <v>13</v>
      </c>
      <c r="P404" s="964"/>
      <c r="Q404" s="970">
        <v>1949817815.52</v>
      </c>
      <c r="R404" s="964">
        <f t="shared" si="7"/>
        <v>1949817815.52</v>
      </c>
      <c r="S404" s="964">
        <f>1903433254.85-762053397.1+17552288.99</f>
        <v>1158932146.74</v>
      </c>
      <c r="T404" s="964">
        <v>386121799.21999997</v>
      </c>
      <c r="U404" s="964">
        <v>386121799.21999997</v>
      </c>
      <c r="V404" s="964">
        <v>385158139.75</v>
      </c>
    </row>
    <row r="405" spans="1:22" x14ac:dyDescent="0.25">
      <c r="A405" s="961" t="s">
        <v>6462</v>
      </c>
      <c r="B405" s="961">
        <v>2</v>
      </c>
      <c r="C405" s="961">
        <v>2</v>
      </c>
      <c r="D405" s="961" t="s">
        <v>6436</v>
      </c>
      <c r="E405" s="961" t="s">
        <v>6437</v>
      </c>
      <c r="F405" s="961">
        <v>274</v>
      </c>
      <c r="G405" s="961" t="s">
        <v>741</v>
      </c>
      <c r="H405" s="961">
        <v>1</v>
      </c>
      <c r="I405" s="963">
        <v>61308</v>
      </c>
      <c r="J405" s="961">
        <v>2</v>
      </c>
      <c r="K405" s="961">
        <v>23</v>
      </c>
      <c r="L405" s="961">
        <v>2</v>
      </c>
      <c r="M405" s="961">
        <v>5</v>
      </c>
      <c r="N405" s="961" t="s">
        <v>6463</v>
      </c>
      <c r="O405" s="961">
        <v>13</v>
      </c>
      <c r="P405" s="964"/>
      <c r="Q405" s="964">
        <v>63477574.25999999</v>
      </c>
      <c r="R405" s="964">
        <f t="shared" si="7"/>
        <v>63477574.25999999</v>
      </c>
      <c r="S405" s="964">
        <v>782783671.12</v>
      </c>
      <c r="T405" s="964">
        <v>782783671.12</v>
      </c>
      <c r="U405" s="964">
        <v>782949857.44000006</v>
      </c>
      <c r="V405" s="964">
        <v>782949857.44000006</v>
      </c>
    </row>
    <row r="406" spans="1:22" x14ac:dyDescent="0.25">
      <c r="A406" s="961" t="s">
        <v>6462</v>
      </c>
      <c r="B406" s="961">
        <v>2</v>
      </c>
      <c r="C406" s="961">
        <v>2</v>
      </c>
      <c r="D406" s="961" t="s">
        <v>6436</v>
      </c>
      <c r="E406" s="961" t="s">
        <v>6437</v>
      </c>
      <c r="F406" s="961">
        <v>274</v>
      </c>
      <c r="G406" s="961" t="s">
        <v>741</v>
      </c>
      <c r="H406" s="961">
        <v>1</v>
      </c>
      <c r="I406" s="963">
        <v>61310</v>
      </c>
      <c r="J406" s="961">
        <v>2</v>
      </c>
      <c r="K406" s="961">
        <v>23</v>
      </c>
      <c r="L406" s="961">
        <v>2</v>
      </c>
      <c r="M406" s="961">
        <v>5</v>
      </c>
      <c r="N406" s="961" t="s">
        <v>6463</v>
      </c>
      <c r="O406" s="961">
        <v>13</v>
      </c>
      <c r="P406" s="964"/>
      <c r="Q406" s="964">
        <v>20000000</v>
      </c>
      <c r="R406" s="964">
        <f t="shared" si="7"/>
        <v>20000000</v>
      </c>
      <c r="S406" s="964">
        <v>17902856</v>
      </c>
      <c r="T406" s="964">
        <v>17902856</v>
      </c>
      <c r="U406" s="964">
        <v>17902856</v>
      </c>
      <c r="V406" s="964">
        <v>17902856</v>
      </c>
    </row>
    <row r="407" spans="1:22" x14ac:dyDescent="0.25">
      <c r="A407" s="961" t="s">
        <v>6462</v>
      </c>
      <c r="B407" s="961">
        <v>2</v>
      </c>
      <c r="C407" s="961">
        <v>2</v>
      </c>
      <c r="D407" s="961" t="s">
        <v>6436</v>
      </c>
      <c r="E407" s="961" t="s">
        <v>6437</v>
      </c>
      <c r="F407" s="961">
        <v>274</v>
      </c>
      <c r="G407" s="961" t="s">
        <v>741</v>
      </c>
      <c r="H407" s="961">
        <v>1</v>
      </c>
      <c r="I407" s="963">
        <v>61408</v>
      </c>
      <c r="J407" s="961">
        <v>2</v>
      </c>
      <c r="K407" s="961">
        <v>23</v>
      </c>
      <c r="L407" s="961">
        <v>2</v>
      </c>
      <c r="M407" s="961">
        <v>5</v>
      </c>
      <c r="N407" s="961" t="s">
        <v>6464</v>
      </c>
      <c r="O407" s="961">
        <v>13</v>
      </c>
      <c r="P407" s="964"/>
      <c r="Q407" s="964">
        <v>10230926</v>
      </c>
      <c r="R407" s="964">
        <f t="shared" si="7"/>
        <v>10230926</v>
      </c>
      <c r="S407" s="964">
        <v>22651356.43</v>
      </c>
      <c r="T407" s="964">
        <v>22651356.43</v>
      </c>
      <c r="U407" s="964">
        <v>22651356.43</v>
      </c>
      <c r="V407" s="964">
        <v>14543256.720000001</v>
      </c>
    </row>
    <row r="408" spans="1:22" x14ac:dyDescent="0.25">
      <c r="A408" s="961" t="s">
        <v>6462</v>
      </c>
      <c r="B408" s="961">
        <v>2</v>
      </c>
      <c r="C408" s="961">
        <v>2</v>
      </c>
      <c r="D408" s="961" t="s">
        <v>6436</v>
      </c>
      <c r="E408" s="961" t="s">
        <v>6437</v>
      </c>
      <c r="F408" s="961">
        <v>274</v>
      </c>
      <c r="G408" s="961" t="s">
        <v>741</v>
      </c>
      <c r="H408" s="961">
        <v>1</v>
      </c>
      <c r="I408" s="963">
        <v>61303</v>
      </c>
      <c r="J408" s="961">
        <v>2</v>
      </c>
      <c r="K408" s="961">
        <v>23</v>
      </c>
      <c r="L408" s="961">
        <v>2</v>
      </c>
      <c r="M408" s="961">
        <v>5</v>
      </c>
      <c r="N408" s="961" t="s">
        <v>6465</v>
      </c>
      <c r="O408" s="961">
        <v>13</v>
      </c>
      <c r="P408" s="964"/>
      <c r="Q408" s="964"/>
      <c r="R408" s="964">
        <f t="shared" si="7"/>
        <v>0</v>
      </c>
      <c r="S408" s="964"/>
      <c r="T408" s="964"/>
      <c r="U408" s="964"/>
      <c r="V408" s="964"/>
    </row>
    <row r="409" spans="1:22" x14ac:dyDescent="0.25">
      <c r="A409" s="961" t="s">
        <v>6462</v>
      </c>
      <c r="B409" s="961">
        <v>2</v>
      </c>
      <c r="C409" s="961">
        <v>2</v>
      </c>
      <c r="D409" s="961" t="s">
        <v>6436</v>
      </c>
      <c r="E409" s="961" t="s">
        <v>6437</v>
      </c>
      <c r="F409" s="962">
        <v>274</v>
      </c>
      <c r="G409" s="961" t="s">
        <v>741</v>
      </c>
      <c r="H409" s="961">
        <v>1</v>
      </c>
      <c r="I409" s="963">
        <v>61309</v>
      </c>
      <c r="J409" s="961">
        <v>2</v>
      </c>
      <c r="K409" s="961">
        <v>23</v>
      </c>
      <c r="L409" s="961">
        <v>1</v>
      </c>
      <c r="M409" s="961">
        <v>1</v>
      </c>
      <c r="N409" s="961" t="s">
        <v>6438</v>
      </c>
      <c r="O409" s="961">
        <v>13</v>
      </c>
      <c r="P409" s="964"/>
      <c r="Q409" s="964"/>
      <c r="R409" s="964">
        <f t="shared" si="7"/>
        <v>0</v>
      </c>
      <c r="S409" s="964"/>
      <c r="T409" s="964"/>
      <c r="U409" s="964"/>
      <c r="V409" s="964"/>
    </row>
    <row r="410" spans="1:22" x14ac:dyDescent="0.25">
      <c r="A410" s="961" t="s">
        <v>6462</v>
      </c>
      <c r="B410" s="961">
        <v>2</v>
      </c>
      <c r="C410" s="961">
        <v>2</v>
      </c>
      <c r="D410" s="961" t="s">
        <v>6436</v>
      </c>
      <c r="E410" s="961" t="s">
        <v>6437</v>
      </c>
      <c r="F410" s="962">
        <v>274</v>
      </c>
      <c r="G410" s="961" t="s">
        <v>741</v>
      </c>
      <c r="H410" s="961">
        <v>1</v>
      </c>
      <c r="I410" s="963">
        <v>61408</v>
      </c>
      <c r="J410" s="961">
        <v>2</v>
      </c>
      <c r="K410" s="961">
        <v>22</v>
      </c>
      <c r="L410" s="961">
        <v>1</v>
      </c>
      <c r="M410" s="961">
        <v>1</v>
      </c>
      <c r="N410" s="961" t="s">
        <v>6438</v>
      </c>
      <c r="O410" s="961">
        <v>13</v>
      </c>
      <c r="P410" s="964"/>
      <c r="Q410" s="964">
        <v>1176153.1599999999</v>
      </c>
      <c r="R410" s="964">
        <f t="shared" si="7"/>
        <v>1176153.1599999999</v>
      </c>
      <c r="S410" s="964">
        <v>1476921.45</v>
      </c>
      <c r="T410" s="964">
        <v>1476921.45</v>
      </c>
      <c r="U410" s="964">
        <v>1476921.45</v>
      </c>
      <c r="V410" s="964">
        <v>1476921.45</v>
      </c>
    </row>
    <row r="411" spans="1:22" x14ac:dyDescent="0.25">
      <c r="A411" s="961" t="s">
        <v>6462</v>
      </c>
      <c r="B411" s="961">
        <v>2</v>
      </c>
      <c r="C411" s="961">
        <v>2</v>
      </c>
      <c r="D411" s="961" t="s">
        <v>6436</v>
      </c>
      <c r="E411" s="961" t="s">
        <v>6437</v>
      </c>
      <c r="F411" s="962">
        <v>274</v>
      </c>
      <c r="G411" s="961" t="s">
        <v>741</v>
      </c>
      <c r="H411" s="961">
        <v>1</v>
      </c>
      <c r="I411" s="963">
        <v>61408</v>
      </c>
      <c r="J411" s="961">
        <v>2</v>
      </c>
      <c r="K411" s="961">
        <v>23</v>
      </c>
      <c r="L411" s="961">
        <v>1</v>
      </c>
      <c r="M411" s="961">
        <v>1</v>
      </c>
      <c r="N411" s="961" t="s">
        <v>6438</v>
      </c>
      <c r="O411" s="961">
        <v>13</v>
      </c>
      <c r="P411" s="964">
        <v>1000000</v>
      </c>
      <c r="Q411" s="964"/>
      <c r="R411" s="964">
        <f t="shared" ref="R411:R475" si="8">SUM(P411:Q411)</f>
        <v>1000000</v>
      </c>
      <c r="S411" s="964">
        <v>301683.28999999998</v>
      </c>
      <c r="T411" s="964">
        <v>301683.28999999998</v>
      </c>
      <c r="U411" s="964">
        <v>301683.28999999998</v>
      </c>
      <c r="V411" s="964">
        <v>301683.28999999998</v>
      </c>
    </row>
    <row r="412" spans="1:22" x14ac:dyDescent="0.25">
      <c r="A412" s="961" t="s">
        <v>6462</v>
      </c>
      <c r="B412" s="961">
        <v>2</v>
      </c>
      <c r="C412" s="961">
        <v>2</v>
      </c>
      <c r="D412" s="961" t="s">
        <v>6436</v>
      </c>
      <c r="E412" s="961" t="s">
        <v>6437</v>
      </c>
      <c r="F412" s="962">
        <v>274</v>
      </c>
      <c r="G412" s="961" t="s">
        <v>741</v>
      </c>
      <c r="H412" s="961">
        <v>1</v>
      </c>
      <c r="I412" s="963">
        <v>61409</v>
      </c>
      <c r="J412" s="961">
        <v>2</v>
      </c>
      <c r="K412" s="961">
        <v>23</v>
      </c>
      <c r="L412" s="961">
        <v>1</v>
      </c>
      <c r="M412" s="961">
        <v>1</v>
      </c>
      <c r="N412" s="961" t="s">
        <v>6438</v>
      </c>
      <c r="O412" s="961">
        <v>13</v>
      </c>
      <c r="P412" s="964"/>
      <c r="Q412" s="964"/>
      <c r="R412" s="964">
        <f t="shared" si="8"/>
        <v>0</v>
      </c>
      <c r="S412" s="964">
        <v>1715929.68</v>
      </c>
      <c r="T412" s="964">
        <v>1715929.68</v>
      </c>
      <c r="U412" s="964">
        <v>1715929.68</v>
      </c>
      <c r="V412" s="964">
        <v>1715929.68</v>
      </c>
    </row>
    <row r="413" spans="1:22" x14ac:dyDescent="0.25">
      <c r="A413" s="961" t="s">
        <v>6462</v>
      </c>
      <c r="B413" s="961">
        <v>2</v>
      </c>
      <c r="C413" s="961">
        <v>2</v>
      </c>
      <c r="D413" s="961" t="s">
        <v>6436</v>
      </c>
      <c r="E413" s="961" t="s">
        <v>6437</v>
      </c>
      <c r="F413" s="962">
        <v>274</v>
      </c>
      <c r="G413" s="961" t="s">
        <v>741</v>
      </c>
      <c r="H413" s="961">
        <v>1</v>
      </c>
      <c r="I413" s="963">
        <v>61424</v>
      </c>
      <c r="J413" s="961">
        <v>2</v>
      </c>
      <c r="K413" s="961">
        <v>23</v>
      </c>
      <c r="L413" s="961">
        <v>1</v>
      </c>
      <c r="M413" s="961">
        <v>1</v>
      </c>
      <c r="N413" s="961" t="s">
        <v>6438</v>
      </c>
      <c r="O413" s="961">
        <v>13</v>
      </c>
      <c r="P413" s="964"/>
      <c r="Q413" s="964">
        <v>1809306.24</v>
      </c>
      <c r="R413" s="964">
        <f t="shared" si="8"/>
        <v>1809306.24</v>
      </c>
      <c r="S413" s="964">
        <v>239573.18</v>
      </c>
      <c r="T413" s="964">
        <v>239573.18</v>
      </c>
      <c r="U413" s="964">
        <v>239572.18</v>
      </c>
      <c r="V413" s="964">
        <f>170866.53+'[9]Reporte de Compac'!$F$139</f>
        <v>239572.18</v>
      </c>
    </row>
    <row r="414" spans="1:22" x14ac:dyDescent="0.25">
      <c r="A414" s="961" t="s">
        <v>6462</v>
      </c>
      <c r="B414" s="961">
        <v>2</v>
      </c>
      <c r="C414" s="961">
        <v>2</v>
      </c>
      <c r="D414" s="961" t="s">
        <v>6436</v>
      </c>
      <c r="E414" s="961" t="s">
        <v>6437</v>
      </c>
      <c r="F414" s="962">
        <v>274</v>
      </c>
      <c r="G414" s="961" t="s">
        <v>741</v>
      </c>
      <c r="H414" s="961">
        <v>1</v>
      </c>
      <c r="I414" s="963">
        <v>61306</v>
      </c>
      <c r="J414" s="961">
        <v>2</v>
      </c>
      <c r="K414" s="961">
        <v>23</v>
      </c>
      <c r="L414" s="961">
        <v>1</v>
      </c>
      <c r="M414" s="961">
        <v>1</v>
      </c>
      <c r="N414" s="961" t="s">
        <v>6438</v>
      </c>
      <c r="O414" s="961">
        <v>13</v>
      </c>
      <c r="P414" s="964"/>
      <c r="Q414" s="964">
        <v>2000000</v>
      </c>
      <c r="R414" s="964">
        <f t="shared" si="8"/>
        <v>2000000</v>
      </c>
      <c r="S414" s="964">
        <v>1978487.46</v>
      </c>
      <c r="T414" s="964">
        <v>1978487.46</v>
      </c>
      <c r="U414" s="964">
        <v>1978487.46</v>
      </c>
      <c r="V414" s="964">
        <v>1978487.46</v>
      </c>
    </row>
    <row r="415" spans="1:22" x14ac:dyDescent="0.25">
      <c r="A415" s="961" t="s">
        <v>6466</v>
      </c>
      <c r="B415" s="961">
        <v>2</v>
      </c>
      <c r="C415" s="961">
        <v>2</v>
      </c>
      <c r="D415" s="961" t="s">
        <v>6436</v>
      </c>
      <c r="E415" s="961" t="s">
        <v>6437</v>
      </c>
      <c r="F415" s="962">
        <v>412</v>
      </c>
      <c r="G415" s="961" t="s">
        <v>741</v>
      </c>
      <c r="H415" s="961">
        <v>1</v>
      </c>
      <c r="I415" s="963">
        <v>21101</v>
      </c>
      <c r="J415" s="961">
        <v>1</v>
      </c>
      <c r="K415" s="961">
        <v>23</v>
      </c>
      <c r="L415" s="961">
        <v>1</v>
      </c>
      <c r="M415" s="961">
        <v>1</v>
      </c>
      <c r="N415" s="961" t="s">
        <v>6438</v>
      </c>
      <c r="O415" s="961">
        <v>13</v>
      </c>
      <c r="P415" s="964">
        <v>20000</v>
      </c>
      <c r="Q415" s="964"/>
      <c r="R415" s="964">
        <f t="shared" si="8"/>
        <v>20000</v>
      </c>
      <c r="S415" s="964">
        <v>25628.59</v>
      </c>
      <c r="T415" s="964">
        <v>25628.59</v>
      </c>
      <c r="U415" s="964">
        <v>25628.59</v>
      </c>
      <c r="V415" s="964">
        <v>25628.59</v>
      </c>
    </row>
    <row r="416" spans="1:22" x14ac:dyDescent="0.25">
      <c r="A416" s="961" t="s">
        <v>6466</v>
      </c>
      <c r="B416" s="961">
        <v>2</v>
      </c>
      <c r="C416" s="961">
        <v>2</v>
      </c>
      <c r="D416" s="961" t="s">
        <v>6436</v>
      </c>
      <c r="E416" s="961" t="s">
        <v>6437</v>
      </c>
      <c r="F416" s="962">
        <v>412</v>
      </c>
      <c r="G416" s="961" t="s">
        <v>741</v>
      </c>
      <c r="H416" s="961">
        <v>1</v>
      </c>
      <c r="I416" s="963">
        <v>21401</v>
      </c>
      <c r="J416" s="961">
        <v>1</v>
      </c>
      <c r="K416" s="961">
        <v>23</v>
      </c>
      <c r="L416" s="961">
        <v>1</v>
      </c>
      <c r="M416" s="961">
        <v>1</v>
      </c>
      <c r="N416" s="961" t="s">
        <v>6438</v>
      </c>
      <c r="O416" s="961">
        <v>13</v>
      </c>
      <c r="P416" s="964">
        <v>31000</v>
      </c>
      <c r="Q416" s="964"/>
      <c r="R416" s="964">
        <f t="shared" si="8"/>
        <v>31000</v>
      </c>
      <c r="S416" s="964">
        <v>5860.32</v>
      </c>
      <c r="T416" s="964">
        <v>5860.32</v>
      </c>
      <c r="U416" s="964">
        <v>5860.32</v>
      </c>
      <c r="V416" s="964">
        <v>5860.32</v>
      </c>
    </row>
    <row r="417" spans="1:22" x14ac:dyDescent="0.25">
      <c r="A417" s="961" t="s">
        <v>6466</v>
      </c>
      <c r="B417" s="961">
        <v>2</v>
      </c>
      <c r="C417" s="961">
        <v>2</v>
      </c>
      <c r="D417" s="961" t="s">
        <v>6436</v>
      </c>
      <c r="E417" s="961" t="s">
        <v>6437</v>
      </c>
      <c r="F417" s="962">
        <v>412</v>
      </c>
      <c r="G417" s="961" t="s">
        <v>741</v>
      </c>
      <c r="H417" s="961">
        <v>1</v>
      </c>
      <c r="I417" s="963">
        <v>21601</v>
      </c>
      <c r="J417" s="961">
        <v>1</v>
      </c>
      <c r="K417" s="961">
        <v>23</v>
      </c>
      <c r="L417" s="961">
        <v>1</v>
      </c>
      <c r="M417" s="961">
        <v>1</v>
      </c>
      <c r="N417" s="961" t="s">
        <v>6438</v>
      </c>
      <c r="O417" s="961">
        <v>13</v>
      </c>
      <c r="P417" s="964"/>
      <c r="Q417" s="964"/>
      <c r="R417" s="964">
        <f t="shared" si="8"/>
        <v>0</v>
      </c>
      <c r="S417" s="964"/>
      <c r="T417" s="964"/>
      <c r="U417" s="964"/>
      <c r="V417" s="964"/>
    </row>
    <row r="418" spans="1:22" x14ac:dyDescent="0.25">
      <c r="A418" s="961" t="s">
        <v>6466</v>
      </c>
      <c r="B418" s="961">
        <v>2</v>
      </c>
      <c r="C418" s="961">
        <v>2</v>
      </c>
      <c r="D418" s="961" t="s">
        <v>6436</v>
      </c>
      <c r="E418" s="961" t="s">
        <v>6437</v>
      </c>
      <c r="F418" s="962">
        <v>412</v>
      </c>
      <c r="G418" s="961" t="s">
        <v>741</v>
      </c>
      <c r="H418" s="961">
        <v>1</v>
      </c>
      <c r="I418" s="963">
        <v>21801</v>
      </c>
      <c r="J418" s="961">
        <v>1</v>
      </c>
      <c r="K418" s="961">
        <v>23</v>
      </c>
      <c r="L418" s="961">
        <v>1</v>
      </c>
      <c r="M418" s="961">
        <v>1</v>
      </c>
      <c r="N418" s="961" t="s">
        <v>6438</v>
      </c>
      <c r="O418" s="961">
        <v>13</v>
      </c>
      <c r="P418" s="964">
        <v>1500</v>
      </c>
      <c r="Q418" s="964"/>
      <c r="R418" s="964">
        <f t="shared" si="8"/>
        <v>1500</v>
      </c>
      <c r="S418" s="964">
        <v>1619</v>
      </c>
      <c r="T418" s="964">
        <v>1619</v>
      </c>
      <c r="U418" s="964">
        <v>1619</v>
      </c>
      <c r="V418" s="964">
        <v>1619</v>
      </c>
    </row>
    <row r="419" spans="1:22" x14ac:dyDescent="0.25">
      <c r="A419" s="961" t="s">
        <v>6466</v>
      </c>
      <c r="B419" s="961">
        <v>2</v>
      </c>
      <c r="C419" s="961">
        <v>2</v>
      </c>
      <c r="D419" s="961" t="s">
        <v>6436</v>
      </c>
      <c r="E419" s="961" t="s">
        <v>6437</v>
      </c>
      <c r="F419" s="962">
        <v>412</v>
      </c>
      <c r="G419" s="961" t="s">
        <v>741</v>
      </c>
      <c r="H419" s="961">
        <v>1</v>
      </c>
      <c r="I419" s="963">
        <v>22101</v>
      </c>
      <c r="J419" s="961">
        <v>1</v>
      </c>
      <c r="K419" s="961">
        <v>23</v>
      </c>
      <c r="L419" s="961">
        <v>1</v>
      </c>
      <c r="M419" s="961">
        <v>1</v>
      </c>
      <c r="N419" s="961" t="s">
        <v>6438</v>
      </c>
      <c r="O419" s="961">
        <v>13</v>
      </c>
      <c r="P419" s="964"/>
      <c r="Q419" s="964"/>
      <c r="R419" s="964">
        <f t="shared" si="8"/>
        <v>0</v>
      </c>
      <c r="S419" s="964"/>
      <c r="T419" s="964"/>
      <c r="U419" s="964"/>
      <c r="V419" s="964"/>
    </row>
    <row r="420" spans="1:22" x14ac:dyDescent="0.25">
      <c r="A420" s="961" t="s">
        <v>6466</v>
      </c>
      <c r="B420" s="961">
        <v>2</v>
      </c>
      <c r="C420" s="961">
        <v>2</v>
      </c>
      <c r="D420" s="961" t="s">
        <v>6436</v>
      </c>
      <c r="E420" s="961" t="s">
        <v>6437</v>
      </c>
      <c r="F420" s="962">
        <v>412</v>
      </c>
      <c r="G420" s="961" t="s">
        <v>741</v>
      </c>
      <c r="H420" s="961">
        <v>1</v>
      </c>
      <c r="I420" s="963">
        <v>26101</v>
      </c>
      <c r="J420" s="961">
        <v>1</v>
      </c>
      <c r="K420" s="961">
        <v>23</v>
      </c>
      <c r="L420" s="961">
        <v>1</v>
      </c>
      <c r="M420" s="961">
        <v>1</v>
      </c>
      <c r="N420" s="961" t="s">
        <v>6438</v>
      </c>
      <c r="O420" s="961">
        <v>13</v>
      </c>
      <c r="P420" s="964">
        <v>30000</v>
      </c>
      <c r="Q420" s="964"/>
      <c r="R420" s="964">
        <f t="shared" si="8"/>
        <v>30000</v>
      </c>
      <c r="S420" s="964">
        <v>25663.73</v>
      </c>
      <c r="T420" s="964">
        <v>25663.73</v>
      </c>
      <c r="U420" s="964">
        <v>25663.73</v>
      </c>
      <c r="V420" s="964">
        <v>25955.21</v>
      </c>
    </row>
    <row r="421" spans="1:22" x14ac:dyDescent="0.25">
      <c r="A421" s="961" t="s">
        <v>6466</v>
      </c>
      <c r="B421" s="961">
        <v>2</v>
      </c>
      <c r="C421" s="961">
        <v>2</v>
      </c>
      <c r="D421" s="961" t="s">
        <v>6436</v>
      </c>
      <c r="E421" s="961" t="s">
        <v>6437</v>
      </c>
      <c r="F421" s="962">
        <v>412</v>
      </c>
      <c r="G421" s="961" t="s">
        <v>741</v>
      </c>
      <c r="H421" s="961">
        <v>1</v>
      </c>
      <c r="I421" s="963">
        <v>26102</v>
      </c>
      <c r="J421" s="961">
        <v>1</v>
      </c>
      <c r="K421" s="961">
        <v>23</v>
      </c>
      <c r="L421" s="961">
        <v>1</v>
      </c>
      <c r="M421" s="961">
        <v>1</v>
      </c>
      <c r="N421" s="961" t="s">
        <v>6438</v>
      </c>
      <c r="O421" s="961">
        <v>13</v>
      </c>
      <c r="P421" s="964">
        <v>1500</v>
      </c>
      <c r="Q421" s="964"/>
      <c r="R421" s="964">
        <f t="shared" si="8"/>
        <v>1500</v>
      </c>
      <c r="S421" s="964">
        <v>1730.16</v>
      </c>
      <c r="T421" s="964">
        <v>1730.16</v>
      </c>
      <c r="U421" s="964">
        <v>1730.16</v>
      </c>
      <c r="V421" s="964">
        <v>1730.16</v>
      </c>
    </row>
    <row r="422" spans="1:22" x14ac:dyDescent="0.25">
      <c r="A422" s="961" t="s">
        <v>6466</v>
      </c>
      <c r="B422" s="961">
        <v>2</v>
      </c>
      <c r="C422" s="961">
        <v>2</v>
      </c>
      <c r="D422" s="961" t="s">
        <v>6436</v>
      </c>
      <c r="E422" s="961" t="s">
        <v>6437</v>
      </c>
      <c r="F422" s="962">
        <v>412</v>
      </c>
      <c r="G422" s="961" t="s">
        <v>741</v>
      </c>
      <c r="H422" s="961">
        <v>1</v>
      </c>
      <c r="I422" s="963">
        <v>29201</v>
      </c>
      <c r="J422" s="961">
        <v>1</v>
      </c>
      <c r="K422" s="961">
        <v>23</v>
      </c>
      <c r="L422" s="961">
        <v>1</v>
      </c>
      <c r="M422" s="961">
        <v>1</v>
      </c>
      <c r="N422" s="961" t="s">
        <v>6438</v>
      </c>
      <c r="O422" s="961">
        <v>13</v>
      </c>
      <c r="P422" s="964"/>
      <c r="Q422" s="964"/>
      <c r="R422" s="964">
        <f t="shared" si="8"/>
        <v>0</v>
      </c>
      <c r="S422" s="964"/>
      <c r="T422" s="964"/>
      <c r="U422" s="964"/>
      <c r="V422" s="964"/>
    </row>
    <row r="423" spans="1:22" x14ac:dyDescent="0.25">
      <c r="A423" s="961" t="s">
        <v>6466</v>
      </c>
      <c r="B423" s="961">
        <v>2</v>
      </c>
      <c r="C423" s="961">
        <v>2</v>
      </c>
      <c r="D423" s="961" t="s">
        <v>6436</v>
      </c>
      <c r="E423" s="961" t="s">
        <v>6437</v>
      </c>
      <c r="F423" s="962">
        <v>412</v>
      </c>
      <c r="G423" s="961" t="s">
        <v>741</v>
      </c>
      <c r="H423" s="961">
        <v>1</v>
      </c>
      <c r="I423" s="963">
        <v>29401</v>
      </c>
      <c r="J423" s="961">
        <v>1</v>
      </c>
      <c r="K423" s="961">
        <v>23</v>
      </c>
      <c r="L423" s="961">
        <v>1</v>
      </c>
      <c r="M423" s="961">
        <v>1</v>
      </c>
      <c r="N423" s="961" t="s">
        <v>6438</v>
      </c>
      <c r="O423" s="961">
        <v>13</v>
      </c>
      <c r="P423" s="964">
        <v>8000</v>
      </c>
      <c r="Q423" s="964"/>
      <c r="R423" s="964">
        <f t="shared" si="8"/>
        <v>8000</v>
      </c>
      <c r="S423" s="964">
        <v>2086</v>
      </c>
      <c r="T423" s="964">
        <v>2086</v>
      </c>
      <c r="U423" s="964">
        <v>2086</v>
      </c>
      <c r="V423" s="964">
        <v>2086</v>
      </c>
    </row>
    <row r="424" spans="1:22" x14ac:dyDescent="0.25">
      <c r="A424" s="961" t="s">
        <v>6466</v>
      </c>
      <c r="B424" s="961">
        <v>2</v>
      </c>
      <c r="C424" s="961">
        <v>2</v>
      </c>
      <c r="D424" s="961" t="s">
        <v>6436</v>
      </c>
      <c r="E424" s="961" t="s">
        <v>6437</v>
      </c>
      <c r="F424" s="962">
        <v>412</v>
      </c>
      <c r="G424" s="961" t="s">
        <v>741</v>
      </c>
      <c r="H424" s="961">
        <v>1</v>
      </c>
      <c r="I424" s="963">
        <v>29601</v>
      </c>
      <c r="J424" s="961">
        <v>1</v>
      </c>
      <c r="K424" s="961">
        <v>23</v>
      </c>
      <c r="L424" s="961">
        <v>1</v>
      </c>
      <c r="M424" s="961">
        <v>1</v>
      </c>
      <c r="N424" s="961" t="s">
        <v>6438</v>
      </c>
      <c r="O424" s="961">
        <v>13</v>
      </c>
      <c r="P424" s="964">
        <v>15000</v>
      </c>
      <c r="Q424" s="964"/>
      <c r="R424" s="964">
        <f t="shared" si="8"/>
        <v>15000</v>
      </c>
      <c r="S424" s="964">
        <v>29385.18</v>
      </c>
      <c r="T424" s="964">
        <v>29385.18</v>
      </c>
      <c r="U424" s="964">
        <v>29385.18</v>
      </c>
      <c r="V424" s="964">
        <v>29385.18</v>
      </c>
    </row>
    <row r="425" spans="1:22" x14ac:dyDescent="0.25">
      <c r="A425" s="961" t="s">
        <v>6466</v>
      </c>
      <c r="B425" s="961">
        <v>2</v>
      </c>
      <c r="C425" s="961">
        <v>2</v>
      </c>
      <c r="D425" s="961" t="s">
        <v>6436</v>
      </c>
      <c r="E425" s="961" t="s">
        <v>6437</v>
      </c>
      <c r="F425" s="962">
        <v>412</v>
      </c>
      <c r="G425" s="961" t="s">
        <v>741</v>
      </c>
      <c r="H425" s="961">
        <v>1</v>
      </c>
      <c r="I425" s="963">
        <v>33101</v>
      </c>
      <c r="J425" s="961">
        <v>1</v>
      </c>
      <c r="K425" s="961">
        <v>23</v>
      </c>
      <c r="L425" s="961">
        <v>1</v>
      </c>
      <c r="M425" s="961">
        <v>1</v>
      </c>
      <c r="N425" s="961" t="s">
        <v>6438</v>
      </c>
      <c r="O425" s="961">
        <v>13</v>
      </c>
      <c r="P425" s="964"/>
      <c r="Q425" s="964"/>
      <c r="R425" s="964">
        <f t="shared" si="8"/>
        <v>0</v>
      </c>
      <c r="S425" s="964">
        <v>299633.76</v>
      </c>
      <c r="T425" s="964">
        <v>299633.76</v>
      </c>
      <c r="U425" s="964">
        <v>299633.76</v>
      </c>
      <c r="V425" s="964">
        <v>299633.76</v>
      </c>
    </row>
    <row r="426" spans="1:22" x14ac:dyDescent="0.25">
      <c r="A426" s="961" t="s">
        <v>6466</v>
      </c>
      <c r="B426" s="961">
        <v>2</v>
      </c>
      <c r="C426" s="961">
        <v>2</v>
      </c>
      <c r="D426" s="961" t="s">
        <v>6436</v>
      </c>
      <c r="E426" s="961" t="s">
        <v>6437</v>
      </c>
      <c r="F426" s="962">
        <v>412</v>
      </c>
      <c r="G426" s="961" t="s">
        <v>741</v>
      </c>
      <c r="H426" s="961">
        <v>1</v>
      </c>
      <c r="I426" s="963">
        <v>31801</v>
      </c>
      <c r="J426" s="961">
        <v>1</v>
      </c>
      <c r="K426" s="961">
        <v>23</v>
      </c>
      <c r="L426" s="961">
        <v>1</v>
      </c>
      <c r="M426" s="961">
        <v>1</v>
      </c>
      <c r="N426" s="961" t="s">
        <v>6438</v>
      </c>
      <c r="O426" s="961">
        <v>13</v>
      </c>
      <c r="P426" s="964">
        <v>4000</v>
      </c>
      <c r="Q426" s="964">
        <v>-4000</v>
      </c>
      <c r="R426" s="964">
        <f t="shared" si="8"/>
        <v>0</v>
      </c>
      <c r="S426" s="964"/>
      <c r="T426" s="964"/>
      <c r="U426" s="964"/>
      <c r="V426" s="964"/>
    </row>
    <row r="427" spans="1:22" x14ac:dyDescent="0.25">
      <c r="A427" s="961" t="s">
        <v>6466</v>
      </c>
      <c r="B427" s="961">
        <v>2</v>
      </c>
      <c r="C427" s="961">
        <v>2</v>
      </c>
      <c r="D427" s="961" t="s">
        <v>6436</v>
      </c>
      <c r="E427" s="961" t="s">
        <v>6437</v>
      </c>
      <c r="F427" s="962">
        <v>412</v>
      </c>
      <c r="G427" s="961" t="s">
        <v>741</v>
      </c>
      <c r="H427" s="961">
        <v>1</v>
      </c>
      <c r="I427" s="963">
        <v>33605</v>
      </c>
      <c r="J427" s="961">
        <v>1</v>
      </c>
      <c r="K427" s="961">
        <v>23</v>
      </c>
      <c r="L427" s="961">
        <v>1</v>
      </c>
      <c r="M427" s="961">
        <v>1</v>
      </c>
      <c r="N427" s="961" t="s">
        <v>6438</v>
      </c>
      <c r="O427" s="961">
        <v>13</v>
      </c>
      <c r="P427" s="964">
        <v>350000</v>
      </c>
      <c r="Q427" s="964">
        <v>-5420.5</v>
      </c>
      <c r="R427" s="964">
        <f t="shared" si="8"/>
        <v>344579.5</v>
      </c>
      <c r="S427" s="964">
        <v>341763</v>
      </c>
      <c r="T427" s="964">
        <v>341763</v>
      </c>
      <c r="U427" s="964">
        <v>341763</v>
      </c>
      <c r="V427" s="964">
        <v>341763</v>
      </c>
    </row>
    <row r="428" spans="1:22" x14ac:dyDescent="0.25">
      <c r="A428" s="961" t="s">
        <v>6466</v>
      </c>
      <c r="B428" s="961">
        <v>2</v>
      </c>
      <c r="C428" s="961">
        <v>2</v>
      </c>
      <c r="D428" s="961" t="s">
        <v>6436</v>
      </c>
      <c r="E428" s="961" t="s">
        <v>6437</v>
      </c>
      <c r="F428" s="962">
        <v>412</v>
      </c>
      <c r="G428" s="961" t="s">
        <v>741</v>
      </c>
      <c r="H428" s="961">
        <v>1</v>
      </c>
      <c r="I428" s="963">
        <v>33401</v>
      </c>
      <c r="J428" s="961">
        <v>1</v>
      </c>
      <c r="K428" s="961">
        <v>23</v>
      </c>
      <c r="L428" s="961">
        <v>1</v>
      </c>
      <c r="M428" s="961">
        <v>1</v>
      </c>
      <c r="N428" s="961" t="s">
        <v>6438</v>
      </c>
      <c r="O428" s="961">
        <v>13</v>
      </c>
      <c r="P428" s="964"/>
      <c r="Q428" s="964">
        <v>23420.5</v>
      </c>
      <c r="R428" s="964">
        <f t="shared" si="8"/>
        <v>23420.5</v>
      </c>
      <c r="S428" s="964">
        <v>52708.5</v>
      </c>
      <c r="T428" s="964">
        <v>52708.5</v>
      </c>
      <c r="U428" s="964">
        <v>52708.5</v>
      </c>
      <c r="V428" s="964">
        <v>52708.5</v>
      </c>
    </row>
    <row r="429" spans="1:22" x14ac:dyDescent="0.25">
      <c r="A429" s="961" t="s">
        <v>6466</v>
      </c>
      <c r="B429" s="961">
        <v>2</v>
      </c>
      <c r="C429" s="961">
        <v>2</v>
      </c>
      <c r="D429" s="961" t="s">
        <v>6436</v>
      </c>
      <c r="E429" s="961" t="s">
        <v>6437</v>
      </c>
      <c r="F429" s="962">
        <v>412</v>
      </c>
      <c r="G429" s="961" t="s">
        <v>741</v>
      </c>
      <c r="H429" s="961">
        <v>1</v>
      </c>
      <c r="I429" s="963">
        <v>34101</v>
      </c>
      <c r="J429" s="961">
        <v>1</v>
      </c>
      <c r="K429" s="961">
        <v>23</v>
      </c>
      <c r="L429" s="961">
        <v>1</v>
      </c>
      <c r="M429" s="961">
        <v>1</v>
      </c>
      <c r="N429" s="961" t="s">
        <v>6438</v>
      </c>
      <c r="O429" s="961">
        <v>13</v>
      </c>
      <c r="P429" s="964"/>
      <c r="Q429" s="964"/>
      <c r="R429" s="964">
        <f t="shared" si="8"/>
        <v>0</v>
      </c>
      <c r="S429" s="964"/>
      <c r="T429" s="964"/>
      <c r="U429" s="964"/>
      <c r="V429" s="964"/>
    </row>
    <row r="430" spans="1:22" x14ac:dyDescent="0.25">
      <c r="A430" s="961" t="s">
        <v>6466</v>
      </c>
      <c r="B430" s="961">
        <v>2</v>
      </c>
      <c r="C430" s="961">
        <v>2</v>
      </c>
      <c r="D430" s="961" t="s">
        <v>6436</v>
      </c>
      <c r="E430" s="961" t="s">
        <v>6437</v>
      </c>
      <c r="F430" s="962">
        <v>412</v>
      </c>
      <c r="G430" s="961" t="s">
        <v>741</v>
      </c>
      <c r="H430" s="961">
        <v>1</v>
      </c>
      <c r="I430" s="963">
        <v>34401</v>
      </c>
      <c r="J430" s="961">
        <v>1</v>
      </c>
      <c r="K430" s="961">
        <v>23</v>
      </c>
      <c r="L430" s="961">
        <v>1</v>
      </c>
      <c r="M430" s="961">
        <v>1</v>
      </c>
      <c r="N430" s="961" t="s">
        <v>6438</v>
      </c>
      <c r="O430" s="961">
        <v>13</v>
      </c>
      <c r="P430" s="964"/>
      <c r="Q430" s="964"/>
      <c r="R430" s="964">
        <f t="shared" si="8"/>
        <v>0</v>
      </c>
      <c r="S430" s="964">
        <v>4152.57</v>
      </c>
      <c r="T430" s="964">
        <v>4152.57</v>
      </c>
      <c r="U430" s="964">
        <v>4152.57</v>
      </c>
      <c r="V430" s="964">
        <v>4152.57</v>
      </c>
    </row>
    <row r="431" spans="1:22" x14ac:dyDescent="0.25">
      <c r="A431" s="961" t="s">
        <v>6466</v>
      </c>
      <c r="B431" s="961">
        <v>2</v>
      </c>
      <c r="C431" s="961">
        <v>2</v>
      </c>
      <c r="D431" s="961" t="s">
        <v>6436</v>
      </c>
      <c r="E431" s="961" t="s">
        <v>6437</v>
      </c>
      <c r="F431" s="962">
        <v>412</v>
      </c>
      <c r="G431" s="961" t="s">
        <v>741</v>
      </c>
      <c r="H431" s="961">
        <v>1</v>
      </c>
      <c r="I431" s="963">
        <v>35501</v>
      </c>
      <c r="J431" s="961">
        <v>1</v>
      </c>
      <c r="K431" s="961">
        <v>23</v>
      </c>
      <c r="L431" s="961">
        <v>1</v>
      </c>
      <c r="M431" s="961">
        <v>1</v>
      </c>
      <c r="N431" s="961" t="s">
        <v>6438</v>
      </c>
      <c r="O431" s="961">
        <v>13</v>
      </c>
      <c r="P431" s="964">
        <v>15000</v>
      </c>
      <c r="Q431" s="964">
        <v>-8500</v>
      </c>
      <c r="R431" s="964">
        <f t="shared" si="8"/>
        <v>6500</v>
      </c>
      <c r="S431" s="964">
        <v>6099.27</v>
      </c>
      <c r="T431" s="964">
        <v>6099.27</v>
      </c>
      <c r="U431" s="964">
        <v>6099.27</v>
      </c>
      <c r="V431" s="964">
        <v>6099.27</v>
      </c>
    </row>
    <row r="432" spans="1:22" x14ac:dyDescent="0.25">
      <c r="A432" s="961" t="s">
        <v>6466</v>
      </c>
      <c r="B432" s="961">
        <v>2</v>
      </c>
      <c r="C432" s="961">
        <v>2</v>
      </c>
      <c r="D432" s="961" t="s">
        <v>6436</v>
      </c>
      <c r="E432" s="961" t="s">
        <v>6437</v>
      </c>
      <c r="F432" s="962">
        <v>412</v>
      </c>
      <c r="G432" s="961" t="s">
        <v>741</v>
      </c>
      <c r="H432" s="961">
        <v>1</v>
      </c>
      <c r="I432" s="963">
        <v>37101</v>
      </c>
      <c r="J432" s="961">
        <v>1</v>
      </c>
      <c r="K432" s="961">
        <v>23</v>
      </c>
      <c r="L432" s="961">
        <v>1</v>
      </c>
      <c r="M432" s="961">
        <v>1</v>
      </c>
      <c r="N432" s="961" t="s">
        <v>6438</v>
      </c>
      <c r="O432" s="961">
        <v>13</v>
      </c>
      <c r="P432" s="964">
        <v>20000</v>
      </c>
      <c r="Q432" s="964"/>
      <c r="R432" s="964">
        <f t="shared" si="8"/>
        <v>20000</v>
      </c>
      <c r="S432" s="964">
        <v>44844</v>
      </c>
      <c r="T432" s="964">
        <v>44844</v>
      </c>
      <c r="U432" s="964">
        <v>44844</v>
      </c>
      <c r="V432" s="964">
        <v>44844</v>
      </c>
    </row>
    <row r="433" spans="1:22" x14ac:dyDescent="0.25">
      <c r="A433" s="961" t="s">
        <v>6466</v>
      </c>
      <c r="B433" s="961">
        <v>2</v>
      </c>
      <c r="C433" s="961">
        <v>2</v>
      </c>
      <c r="D433" s="961" t="s">
        <v>6436</v>
      </c>
      <c r="E433" s="961" t="s">
        <v>6437</v>
      </c>
      <c r="F433" s="962">
        <v>412</v>
      </c>
      <c r="G433" s="961" t="s">
        <v>741</v>
      </c>
      <c r="H433" s="961">
        <v>1</v>
      </c>
      <c r="I433" s="963">
        <v>37201</v>
      </c>
      <c r="J433" s="961">
        <v>1</v>
      </c>
      <c r="K433" s="961">
        <v>23</v>
      </c>
      <c r="L433" s="961">
        <v>1</v>
      </c>
      <c r="M433" s="961">
        <v>1</v>
      </c>
      <c r="N433" s="961" t="s">
        <v>6438</v>
      </c>
      <c r="O433" s="961">
        <v>13</v>
      </c>
      <c r="P433" s="964">
        <v>1000</v>
      </c>
      <c r="Q433" s="964"/>
      <c r="R433" s="964">
        <f t="shared" si="8"/>
        <v>1000</v>
      </c>
      <c r="S433" s="964">
        <v>1239.8399999999999</v>
      </c>
      <c r="T433" s="964">
        <v>1239.8399999999999</v>
      </c>
      <c r="U433" s="964">
        <v>1239.8399999999999</v>
      </c>
      <c r="V433" s="964">
        <v>1239.8399999999999</v>
      </c>
    </row>
    <row r="434" spans="1:22" x14ac:dyDescent="0.25">
      <c r="A434" s="961" t="s">
        <v>6466</v>
      </c>
      <c r="B434" s="961">
        <v>2</v>
      </c>
      <c r="C434" s="961">
        <v>2</v>
      </c>
      <c r="D434" s="961" t="s">
        <v>6436</v>
      </c>
      <c r="E434" s="961" t="s">
        <v>6437</v>
      </c>
      <c r="F434" s="962">
        <v>412</v>
      </c>
      <c r="G434" s="961" t="s">
        <v>741</v>
      </c>
      <c r="H434" s="961">
        <v>1</v>
      </c>
      <c r="I434" s="963">
        <v>37501</v>
      </c>
      <c r="J434" s="961">
        <v>1</v>
      </c>
      <c r="K434" s="961">
        <v>23</v>
      </c>
      <c r="L434" s="961">
        <v>1</v>
      </c>
      <c r="M434" s="961">
        <v>1</v>
      </c>
      <c r="N434" s="961" t="s">
        <v>6438</v>
      </c>
      <c r="O434" s="961">
        <v>13</v>
      </c>
      <c r="P434" s="964">
        <v>30000</v>
      </c>
      <c r="Q434" s="964">
        <v>-18000</v>
      </c>
      <c r="R434" s="964">
        <f t="shared" si="8"/>
        <v>12000</v>
      </c>
      <c r="S434" s="964">
        <v>4648</v>
      </c>
      <c r="T434" s="964">
        <v>4648</v>
      </c>
      <c r="U434" s="964">
        <v>4648</v>
      </c>
      <c r="V434" s="964">
        <v>4648</v>
      </c>
    </row>
    <row r="435" spans="1:22" x14ac:dyDescent="0.25">
      <c r="A435" s="961" t="s">
        <v>6466</v>
      </c>
      <c r="B435" s="961">
        <v>2</v>
      </c>
      <c r="C435" s="961">
        <v>2</v>
      </c>
      <c r="D435" s="961" t="s">
        <v>6436</v>
      </c>
      <c r="E435" s="961" t="s">
        <v>6437</v>
      </c>
      <c r="F435" s="962">
        <v>412</v>
      </c>
      <c r="G435" s="961" t="s">
        <v>741</v>
      </c>
      <c r="H435" s="961">
        <v>1</v>
      </c>
      <c r="I435" s="963">
        <v>37502</v>
      </c>
      <c r="J435" s="961">
        <v>1</v>
      </c>
      <c r="K435" s="961">
        <v>23</v>
      </c>
      <c r="L435" s="961">
        <v>1</v>
      </c>
      <c r="M435" s="961">
        <v>1</v>
      </c>
      <c r="N435" s="961" t="s">
        <v>6438</v>
      </c>
      <c r="O435" s="961">
        <v>13</v>
      </c>
      <c r="P435" s="964">
        <v>20000</v>
      </c>
      <c r="Q435" s="964">
        <v>-9447.94</v>
      </c>
      <c r="R435" s="964">
        <f t="shared" si="8"/>
        <v>10552.06</v>
      </c>
      <c r="S435" s="964">
        <v>2900</v>
      </c>
      <c r="T435" s="964">
        <v>2900</v>
      </c>
      <c r="U435" s="964">
        <v>2900</v>
      </c>
      <c r="V435" s="964">
        <v>2900</v>
      </c>
    </row>
    <row r="436" spans="1:22" x14ac:dyDescent="0.25">
      <c r="A436" s="961" t="s">
        <v>6466</v>
      </c>
      <c r="B436" s="961">
        <v>2</v>
      </c>
      <c r="C436" s="961">
        <v>2</v>
      </c>
      <c r="D436" s="961" t="s">
        <v>6436</v>
      </c>
      <c r="E436" s="961" t="s">
        <v>6437</v>
      </c>
      <c r="F436" s="962">
        <v>412</v>
      </c>
      <c r="G436" s="961" t="s">
        <v>741</v>
      </c>
      <c r="H436" s="961">
        <v>1</v>
      </c>
      <c r="I436" s="963">
        <v>37901</v>
      </c>
      <c r="J436" s="961">
        <v>1</v>
      </c>
      <c r="K436" s="961">
        <v>23</v>
      </c>
      <c r="L436" s="961">
        <v>1</v>
      </c>
      <c r="M436" s="961">
        <v>1</v>
      </c>
      <c r="N436" s="961" t="s">
        <v>6438</v>
      </c>
      <c r="O436" s="961">
        <v>13</v>
      </c>
      <c r="P436" s="964">
        <v>5000</v>
      </c>
      <c r="Q436" s="964">
        <v>-4212.0200000000004</v>
      </c>
      <c r="R436" s="964">
        <f t="shared" si="8"/>
        <v>787.97999999999956</v>
      </c>
      <c r="S436" s="964">
        <v>788</v>
      </c>
      <c r="T436" s="964">
        <v>788</v>
      </c>
      <c r="U436" s="964">
        <v>788</v>
      </c>
      <c r="V436" s="964">
        <v>788</v>
      </c>
    </row>
    <row r="437" spans="1:22" x14ac:dyDescent="0.25">
      <c r="A437" s="961" t="s">
        <v>6466</v>
      </c>
      <c r="B437" s="961">
        <v>2</v>
      </c>
      <c r="C437" s="961">
        <v>2</v>
      </c>
      <c r="D437" s="961" t="s">
        <v>6436</v>
      </c>
      <c r="E437" s="961" t="s">
        <v>6437</v>
      </c>
      <c r="F437" s="962">
        <v>412</v>
      </c>
      <c r="G437" s="961" t="s">
        <v>741</v>
      </c>
      <c r="H437" s="961">
        <v>1</v>
      </c>
      <c r="I437" s="963">
        <v>59101</v>
      </c>
      <c r="J437" s="961">
        <v>2</v>
      </c>
      <c r="K437" s="961">
        <v>23</v>
      </c>
      <c r="L437" s="961">
        <v>1</v>
      </c>
      <c r="M437" s="961">
        <v>1</v>
      </c>
      <c r="N437" s="961" t="s">
        <v>6438</v>
      </c>
      <c r="O437" s="961">
        <v>13</v>
      </c>
      <c r="P437" s="964"/>
      <c r="Q437" s="964">
        <v>23811.32</v>
      </c>
      <c r="R437" s="964">
        <f t="shared" si="8"/>
        <v>23811.32</v>
      </c>
      <c r="S437" s="964">
        <v>23811.32</v>
      </c>
      <c r="T437" s="964">
        <v>23811.32</v>
      </c>
      <c r="U437" s="964">
        <v>23811.32</v>
      </c>
      <c r="V437" s="964">
        <v>23811.32</v>
      </c>
    </row>
    <row r="438" spans="1:22" x14ac:dyDescent="0.25">
      <c r="A438" s="961" t="s">
        <v>6466</v>
      </c>
      <c r="B438" s="961">
        <v>2</v>
      </c>
      <c r="C438" s="961">
        <v>2</v>
      </c>
      <c r="D438" s="961" t="s">
        <v>6436</v>
      </c>
      <c r="E438" s="961" t="s">
        <v>6437</v>
      </c>
      <c r="F438" s="962">
        <v>412</v>
      </c>
      <c r="G438" s="961" t="s">
        <v>741</v>
      </c>
      <c r="H438" s="961">
        <v>1</v>
      </c>
      <c r="I438" s="963">
        <v>99101</v>
      </c>
      <c r="J438" s="961">
        <v>1</v>
      </c>
      <c r="K438" s="961">
        <v>23</v>
      </c>
      <c r="L438" s="961">
        <v>1</v>
      </c>
      <c r="M438" s="961">
        <v>1</v>
      </c>
      <c r="N438" s="961" t="s">
        <v>6438</v>
      </c>
      <c r="O438" s="961">
        <v>13</v>
      </c>
      <c r="P438" s="964"/>
      <c r="Q438" s="964"/>
      <c r="R438" s="964">
        <f t="shared" si="8"/>
        <v>0</v>
      </c>
      <c r="S438" s="964"/>
      <c r="T438" s="964"/>
      <c r="U438" s="964"/>
      <c r="V438" s="964"/>
    </row>
    <row r="439" spans="1:22" x14ac:dyDescent="0.25">
      <c r="A439" s="961" t="s">
        <v>6466</v>
      </c>
      <c r="B439" s="961">
        <v>2</v>
      </c>
      <c r="C439" s="961">
        <v>2</v>
      </c>
      <c r="D439" s="961" t="s">
        <v>6436</v>
      </c>
      <c r="E439" s="961" t="s">
        <v>6437</v>
      </c>
      <c r="F439" s="962">
        <v>412</v>
      </c>
      <c r="G439" s="961" t="s">
        <v>741</v>
      </c>
      <c r="H439" s="961">
        <v>1</v>
      </c>
      <c r="I439" s="963" t="s">
        <v>6440</v>
      </c>
      <c r="J439" s="961">
        <v>1</v>
      </c>
      <c r="K439" s="961">
        <v>23</v>
      </c>
      <c r="L439" s="961">
        <v>1</v>
      </c>
      <c r="M439" s="961">
        <v>1</v>
      </c>
      <c r="N439" s="961" t="s">
        <v>6438</v>
      </c>
      <c r="O439" s="961">
        <v>13</v>
      </c>
      <c r="P439" s="964">
        <v>1305389.28</v>
      </c>
      <c r="Q439" s="964"/>
      <c r="R439" s="964">
        <f t="shared" si="8"/>
        <v>1305389.28</v>
      </c>
      <c r="S439" s="964">
        <v>1467755.4400000002</v>
      </c>
      <c r="T439" s="964">
        <f>1284034.12+183721.32</f>
        <v>1467755.4400000002</v>
      </c>
      <c r="U439" s="964">
        <v>1467755.4400000002</v>
      </c>
      <c r="V439" s="964">
        <v>1467755.4400000002</v>
      </c>
    </row>
    <row r="440" spans="1:22" x14ac:dyDescent="0.25">
      <c r="A440" s="961" t="s">
        <v>6466</v>
      </c>
      <c r="B440" s="961">
        <v>2</v>
      </c>
      <c r="C440" s="961">
        <v>2</v>
      </c>
      <c r="D440" s="961" t="s">
        <v>6436</v>
      </c>
      <c r="E440" s="961" t="s">
        <v>6437</v>
      </c>
      <c r="F440" s="962">
        <v>412</v>
      </c>
      <c r="G440" s="961" t="s">
        <v>741</v>
      </c>
      <c r="H440" s="961">
        <v>1</v>
      </c>
      <c r="I440" s="963" t="s">
        <v>6441</v>
      </c>
      <c r="J440" s="961">
        <v>1</v>
      </c>
      <c r="K440" s="961">
        <v>23</v>
      </c>
      <c r="L440" s="961">
        <v>1</v>
      </c>
      <c r="M440" s="961">
        <v>1</v>
      </c>
      <c r="N440" s="961" t="s">
        <v>6438</v>
      </c>
      <c r="O440" s="961">
        <v>13</v>
      </c>
      <c r="P440" s="964">
        <v>159289.25</v>
      </c>
      <c r="Q440" s="964"/>
      <c r="R440" s="964">
        <f t="shared" si="8"/>
        <v>159289.25</v>
      </c>
      <c r="S440" s="964">
        <v>190235.43</v>
      </c>
      <c r="T440" s="964">
        <v>190235.43</v>
      </c>
      <c r="U440" s="964">
        <v>190235.43</v>
      </c>
      <c r="V440" s="964">
        <v>190235.43</v>
      </c>
    </row>
    <row r="441" spans="1:22" x14ac:dyDescent="0.25">
      <c r="A441" s="961" t="s">
        <v>6466</v>
      </c>
      <c r="B441" s="961">
        <v>2</v>
      </c>
      <c r="C441" s="961">
        <v>2</v>
      </c>
      <c r="D441" s="961" t="s">
        <v>6436</v>
      </c>
      <c r="E441" s="961" t="s">
        <v>6437</v>
      </c>
      <c r="F441" s="962">
        <v>412</v>
      </c>
      <c r="G441" s="961" t="s">
        <v>741</v>
      </c>
      <c r="H441" s="961">
        <v>1</v>
      </c>
      <c r="I441" s="963" t="s">
        <v>6442</v>
      </c>
      <c r="J441" s="961">
        <v>1</v>
      </c>
      <c r="K441" s="961">
        <v>23</v>
      </c>
      <c r="L441" s="961">
        <v>1</v>
      </c>
      <c r="M441" s="961">
        <v>1</v>
      </c>
      <c r="N441" s="961" t="s">
        <v>6438</v>
      </c>
      <c r="O441" s="961">
        <v>13</v>
      </c>
      <c r="P441" s="964">
        <v>143062.07999999999</v>
      </c>
      <c r="Q441" s="964"/>
      <c r="R441" s="964">
        <f t="shared" si="8"/>
        <v>143062.07999999999</v>
      </c>
      <c r="S441" s="964">
        <v>148392.13</v>
      </c>
      <c r="T441" s="964">
        <v>148392.13</v>
      </c>
      <c r="U441" s="964">
        <v>148392.13</v>
      </c>
      <c r="V441" s="964">
        <v>148392.13</v>
      </c>
    </row>
    <row r="442" spans="1:22" x14ac:dyDescent="0.25">
      <c r="A442" s="961" t="s">
        <v>6466</v>
      </c>
      <c r="B442" s="961">
        <v>2</v>
      </c>
      <c r="C442" s="961">
        <v>2</v>
      </c>
      <c r="D442" s="961" t="s">
        <v>6436</v>
      </c>
      <c r="E442" s="961" t="s">
        <v>6437</v>
      </c>
      <c r="F442" s="962">
        <v>412</v>
      </c>
      <c r="G442" s="961" t="s">
        <v>741</v>
      </c>
      <c r="H442" s="961">
        <v>1</v>
      </c>
      <c r="I442" s="963" t="s">
        <v>6443</v>
      </c>
      <c r="J442" s="961">
        <v>1</v>
      </c>
      <c r="K442" s="961">
        <v>23</v>
      </c>
      <c r="L442" s="961">
        <v>1</v>
      </c>
      <c r="M442" s="961">
        <v>1</v>
      </c>
      <c r="N442" s="961" t="s">
        <v>6438</v>
      </c>
      <c r="O442" s="961">
        <v>13</v>
      </c>
      <c r="P442" s="964">
        <v>15558.3</v>
      </c>
      <c r="Q442" s="964"/>
      <c r="R442" s="964">
        <f t="shared" si="8"/>
        <v>15558.3</v>
      </c>
      <c r="S442" s="964">
        <v>15558.3</v>
      </c>
      <c r="T442" s="964">
        <v>7780.5</v>
      </c>
      <c r="U442" s="964">
        <v>7780.5</v>
      </c>
      <c r="V442" s="964">
        <v>7780.5</v>
      </c>
    </row>
    <row r="443" spans="1:22" x14ac:dyDescent="0.25">
      <c r="A443" s="961" t="s">
        <v>6466</v>
      </c>
      <c r="B443" s="961">
        <v>2</v>
      </c>
      <c r="C443" s="961">
        <v>2</v>
      </c>
      <c r="D443" s="961" t="s">
        <v>6436</v>
      </c>
      <c r="E443" s="961" t="s">
        <v>6437</v>
      </c>
      <c r="F443" s="962">
        <v>412</v>
      </c>
      <c r="G443" s="961" t="s">
        <v>741</v>
      </c>
      <c r="H443" s="961">
        <v>1</v>
      </c>
      <c r="I443" s="963" t="s">
        <v>6444</v>
      </c>
      <c r="J443" s="961">
        <v>1</v>
      </c>
      <c r="K443" s="961">
        <v>23</v>
      </c>
      <c r="L443" s="961">
        <v>1</v>
      </c>
      <c r="M443" s="961">
        <v>1</v>
      </c>
      <c r="N443" s="961" t="s">
        <v>6438</v>
      </c>
      <c r="O443" s="961">
        <v>13</v>
      </c>
      <c r="P443" s="964">
        <v>31116.6</v>
      </c>
      <c r="Q443" s="964"/>
      <c r="R443" s="964">
        <f t="shared" si="8"/>
        <v>31116.6</v>
      </c>
      <c r="S443" s="964">
        <v>31116.6</v>
      </c>
      <c r="T443" s="964">
        <v>15768.5</v>
      </c>
      <c r="U443" s="964">
        <v>15768.5</v>
      </c>
      <c r="V443" s="964">
        <v>15768.5</v>
      </c>
    </row>
    <row r="444" spans="1:22" x14ac:dyDescent="0.25">
      <c r="A444" s="961" t="s">
        <v>6466</v>
      </c>
      <c r="B444" s="961">
        <v>2</v>
      </c>
      <c r="C444" s="961">
        <v>2</v>
      </c>
      <c r="D444" s="961" t="s">
        <v>6436</v>
      </c>
      <c r="E444" s="961" t="s">
        <v>6437</v>
      </c>
      <c r="F444" s="962">
        <v>412</v>
      </c>
      <c r="G444" s="961" t="s">
        <v>741</v>
      </c>
      <c r="H444" s="961">
        <v>1</v>
      </c>
      <c r="I444" s="963" t="s">
        <v>6445</v>
      </c>
      <c r="J444" s="961">
        <v>1</v>
      </c>
      <c r="K444" s="961">
        <v>23</v>
      </c>
      <c r="L444" s="961">
        <v>1</v>
      </c>
      <c r="M444" s="961">
        <v>1</v>
      </c>
      <c r="N444" s="961" t="s">
        <v>6438</v>
      </c>
      <c r="O444" s="961">
        <v>13</v>
      </c>
      <c r="P444" s="964">
        <v>367721.52</v>
      </c>
      <c r="Q444" s="964"/>
      <c r="R444" s="964">
        <f t="shared" si="8"/>
        <v>367721.52</v>
      </c>
      <c r="S444" s="964">
        <v>367721.52</v>
      </c>
      <c r="T444" s="964">
        <v>358139.18</v>
      </c>
      <c r="U444" s="964">
        <v>358139.18</v>
      </c>
      <c r="V444" s="964">
        <v>358139.18</v>
      </c>
    </row>
    <row r="445" spans="1:22" x14ac:dyDescent="0.25">
      <c r="A445" s="961" t="s">
        <v>6466</v>
      </c>
      <c r="B445" s="961">
        <v>2</v>
      </c>
      <c r="C445" s="961">
        <v>2</v>
      </c>
      <c r="D445" s="961" t="s">
        <v>6436</v>
      </c>
      <c r="E445" s="961" t="s">
        <v>6437</v>
      </c>
      <c r="F445" s="962">
        <v>412</v>
      </c>
      <c r="G445" s="961" t="s">
        <v>741</v>
      </c>
      <c r="H445" s="961">
        <v>1</v>
      </c>
      <c r="I445" s="963" t="s">
        <v>6446</v>
      </c>
      <c r="J445" s="961">
        <v>1</v>
      </c>
      <c r="K445" s="961">
        <v>23</v>
      </c>
      <c r="L445" s="961">
        <v>1</v>
      </c>
      <c r="M445" s="961">
        <v>1</v>
      </c>
      <c r="N445" s="961" t="s">
        <v>6438</v>
      </c>
      <c r="O445" s="961">
        <v>13</v>
      </c>
      <c r="P445" s="964">
        <v>861232.8</v>
      </c>
      <c r="Q445" s="964"/>
      <c r="R445" s="964">
        <f t="shared" si="8"/>
        <v>861232.8</v>
      </c>
      <c r="S445" s="964">
        <v>861232.8</v>
      </c>
      <c r="T445" s="964">
        <v>823334.57</v>
      </c>
      <c r="U445" s="964">
        <v>823334.57</v>
      </c>
      <c r="V445" s="964">
        <v>823334.57</v>
      </c>
    </row>
    <row r="446" spans="1:22" x14ac:dyDescent="0.25">
      <c r="A446" s="961" t="s">
        <v>6466</v>
      </c>
      <c r="B446" s="961">
        <v>2</v>
      </c>
      <c r="C446" s="961">
        <v>2</v>
      </c>
      <c r="D446" s="961" t="s">
        <v>6436</v>
      </c>
      <c r="E446" s="961" t="s">
        <v>6437</v>
      </c>
      <c r="F446" s="962">
        <v>412</v>
      </c>
      <c r="G446" s="961" t="s">
        <v>741</v>
      </c>
      <c r="H446" s="961">
        <v>1</v>
      </c>
      <c r="I446" s="963" t="s">
        <v>6447</v>
      </c>
      <c r="J446" s="961">
        <v>1</v>
      </c>
      <c r="K446" s="961">
        <v>23</v>
      </c>
      <c r="L446" s="961">
        <v>1</v>
      </c>
      <c r="M446" s="961">
        <v>1</v>
      </c>
      <c r="N446" s="961" t="s">
        <v>6438</v>
      </c>
      <c r="O446" s="961">
        <v>13</v>
      </c>
      <c r="P446" s="964">
        <v>1584</v>
      </c>
      <c r="Q446" s="964"/>
      <c r="R446" s="964">
        <f t="shared" si="8"/>
        <v>1584</v>
      </c>
      <c r="S446" s="964">
        <v>1584</v>
      </c>
      <c r="T446" s="964">
        <v>1320</v>
      </c>
      <c r="U446" s="964">
        <v>1320</v>
      </c>
      <c r="V446" s="964">
        <v>1320</v>
      </c>
    </row>
    <row r="447" spans="1:22" x14ac:dyDescent="0.25">
      <c r="A447" s="961" t="s">
        <v>6466</v>
      </c>
      <c r="B447" s="961">
        <v>2</v>
      </c>
      <c r="C447" s="961">
        <v>2</v>
      </c>
      <c r="D447" s="961" t="s">
        <v>6436</v>
      </c>
      <c r="E447" s="961" t="s">
        <v>6437</v>
      </c>
      <c r="F447" s="962">
        <v>412</v>
      </c>
      <c r="G447" s="961" t="s">
        <v>741</v>
      </c>
      <c r="H447" s="961">
        <v>1</v>
      </c>
      <c r="I447" s="963">
        <v>14406</v>
      </c>
      <c r="J447" s="961">
        <v>1</v>
      </c>
      <c r="K447" s="961">
        <v>23</v>
      </c>
      <c r="L447" s="961">
        <v>1</v>
      </c>
      <c r="M447" s="961">
        <v>1</v>
      </c>
      <c r="N447" s="961" t="s">
        <v>6438</v>
      </c>
      <c r="O447" s="961">
        <v>13</v>
      </c>
      <c r="P447" s="964">
        <v>162</v>
      </c>
      <c r="Q447" s="964"/>
      <c r="R447" s="964">
        <f t="shared" si="8"/>
        <v>162</v>
      </c>
      <c r="S447" s="964">
        <v>162</v>
      </c>
      <c r="T447" s="964"/>
      <c r="U447" s="964"/>
      <c r="V447" s="964"/>
    </row>
    <row r="448" spans="1:22" x14ac:dyDescent="0.25">
      <c r="A448" s="961" t="s">
        <v>6466</v>
      </c>
      <c r="B448" s="961">
        <v>2</v>
      </c>
      <c r="C448" s="961">
        <v>2</v>
      </c>
      <c r="D448" s="961" t="s">
        <v>6436</v>
      </c>
      <c r="E448" s="961" t="s">
        <v>6437</v>
      </c>
      <c r="F448" s="962">
        <v>412</v>
      </c>
      <c r="G448" s="961" t="s">
        <v>741</v>
      </c>
      <c r="H448" s="961">
        <v>1</v>
      </c>
      <c r="I448" s="963">
        <v>15101</v>
      </c>
      <c r="J448" s="961">
        <v>1</v>
      </c>
      <c r="K448" s="961">
        <v>23</v>
      </c>
      <c r="L448" s="961">
        <v>1</v>
      </c>
      <c r="M448" s="961">
        <v>1</v>
      </c>
      <c r="N448" s="961" t="s">
        <v>6438</v>
      </c>
      <c r="O448" s="961">
        <v>13</v>
      </c>
      <c r="P448" s="964">
        <v>912.72</v>
      </c>
      <c r="Q448" s="964"/>
      <c r="R448" s="964">
        <f t="shared" si="8"/>
        <v>912.72</v>
      </c>
      <c r="S448" s="964">
        <v>912.72</v>
      </c>
      <c r="T448" s="964"/>
      <c r="U448" s="964"/>
      <c r="V448" s="964"/>
    </row>
    <row r="449" spans="1:22" x14ac:dyDescent="0.25">
      <c r="A449" s="961" t="s">
        <v>6466</v>
      </c>
      <c r="B449" s="961">
        <v>2</v>
      </c>
      <c r="C449" s="961">
        <v>2</v>
      </c>
      <c r="D449" s="961" t="s">
        <v>6436</v>
      </c>
      <c r="E449" s="961" t="s">
        <v>6437</v>
      </c>
      <c r="F449" s="962">
        <v>412</v>
      </c>
      <c r="G449" s="961" t="s">
        <v>741</v>
      </c>
      <c r="H449" s="961">
        <v>1</v>
      </c>
      <c r="I449" s="963">
        <v>15404</v>
      </c>
      <c r="J449" s="961">
        <v>1</v>
      </c>
      <c r="K449" s="961">
        <v>23</v>
      </c>
      <c r="L449" s="961">
        <v>1</v>
      </c>
      <c r="M449" s="961">
        <v>1</v>
      </c>
      <c r="N449" s="961" t="s">
        <v>6438</v>
      </c>
      <c r="O449" s="961">
        <v>13</v>
      </c>
      <c r="P449" s="964">
        <v>2620</v>
      </c>
      <c r="Q449" s="964"/>
      <c r="R449" s="964">
        <f t="shared" si="8"/>
        <v>2620</v>
      </c>
      <c r="S449" s="964">
        <v>2620</v>
      </c>
      <c r="T449" s="964"/>
      <c r="U449" s="964"/>
      <c r="V449" s="964"/>
    </row>
    <row r="450" spans="1:22" x14ac:dyDescent="0.25">
      <c r="A450" s="961" t="s">
        <v>6466</v>
      </c>
      <c r="B450" s="961">
        <v>2</v>
      </c>
      <c r="C450" s="961">
        <v>2</v>
      </c>
      <c r="D450" s="961" t="s">
        <v>6436</v>
      </c>
      <c r="E450" s="961" t="s">
        <v>6437</v>
      </c>
      <c r="F450" s="962">
        <v>412</v>
      </c>
      <c r="G450" s="961" t="s">
        <v>741</v>
      </c>
      <c r="H450" s="961">
        <v>1</v>
      </c>
      <c r="I450" s="963">
        <v>15409</v>
      </c>
      <c r="J450" s="961">
        <v>1</v>
      </c>
      <c r="K450" s="961">
        <v>23</v>
      </c>
      <c r="L450" s="961">
        <v>1</v>
      </c>
      <c r="M450" s="961">
        <v>1</v>
      </c>
      <c r="N450" s="961" t="s">
        <v>6438</v>
      </c>
      <c r="O450" s="961">
        <v>13</v>
      </c>
      <c r="P450" s="964">
        <v>15720</v>
      </c>
      <c r="Q450" s="964"/>
      <c r="R450" s="964">
        <f t="shared" si="8"/>
        <v>15720</v>
      </c>
      <c r="S450" s="964">
        <v>15720</v>
      </c>
      <c r="T450" s="964"/>
      <c r="U450" s="964"/>
      <c r="V450" s="964"/>
    </row>
    <row r="451" spans="1:22" x14ac:dyDescent="0.25">
      <c r="A451" s="961" t="s">
        <v>6466</v>
      </c>
      <c r="B451" s="961">
        <v>2</v>
      </c>
      <c r="C451" s="961">
        <v>2</v>
      </c>
      <c r="D451" s="961" t="s">
        <v>6436</v>
      </c>
      <c r="E451" s="961" t="s">
        <v>6437</v>
      </c>
      <c r="F451" s="962">
        <v>412</v>
      </c>
      <c r="G451" s="961" t="s">
        <v>741</v>
      </c>
      <c r="H451" s="961">
        <v>1</v>
      </c>
      <c r="I451" s="963">
        <v>15416</v>
      </c>
      <c r="J451" s="961">
        <v>1</v>
      </c>
      <c r="K451" s="961">
        <v>23</v>
      </c>
      <c r="L451" s="961">
        <v>1</v>
      </c>
      <c r="M451" s="961">
        <v>1</v>
      </c>
      <c r="N451" s="961" t="s">
        <v>6438</v>
      </c>
      <c r="O451" s="961">
        <v>13</v>
      </c>
      <c r="P451" s="964">
        <v>1425</v>
      </c>
      <c r="Q451" s="964"/>
      <c r="R451" s="964">
        <f t="shared" si="8"/>
        <v>1425</v>
      </c>
      <c r="S451" s="964">
        <v>1425</v>
      </c>
      <c r="T451" s="964"/>
      <c r="U451" s="964"/>
      <c r="V451" s="964"/>
    </row>
    <row r="452" spans="1:22" x14ac:dyDescent="0.25">
      <c r="A452" s="961" t="s">
        <v>6466</v>
      </c>
      <c r="B452" s="961">
        <v>2</v>
      </c>
      <c r="C452" s="961">
        <v>2</v>
      </c>
      <c r="D452" s="961" t="s">
        <v>6436</v>
      </c>
      <c r="E452" s="961" t="s">
        <v>6437</v>
      </c>
      <c r="F452" s="962">
        <v>412</v>
      </c>
      <c r="G452" s="961" t="s">
        <v>741</v>
      </c>
      <c r="H452" s="961">
        <v>1</v>
      </c>
      <c r="I452" s="963">
        <v>15417</v>
      </c>
      <c r="J452" s="961">
        <v>1</v>
      </c>
      <c r="K452" s="961">
        <v>23</v>
      </c>
      <c r="L452" s="961">
        <v>1</v>
      </c>
      <c r="M452" s="961">
        <v>1</v>
      </c>
      <c r="N452" s="961" t="s">
        <v>6438</v>
      </c>
      <c r="O452" s="961">
        <v>13</v>
      </c>
      <c r="P452" s="964">
        <v>8772</v>
      </c>
      <c r="Q452" s="964"/>
      <c r="R452" s="964">
        <f t="shared" si="8"/>
        <v>8772</v>
      </c>
      <c r="S452" s="964">
        <v>8772</v>
      </c>
      <c r="T452" s="964"/>
      <c r="U452" s="964"/>
      <c r="V452" s="964"/>
    </row>
    <row r="453" spans="1:22" x14ac:dyDescent="0.25">
      <c r="A453" s="961" t="s">
        <v>6466</v>
      </c>
      <c r="B453" s="961">
        <v>2</v>
      </c>
      <c r="C453" s="961">
        <v>2</v>
      </c>
      <c r="D453" s="961" t="s">
        <v>6436</v>
      </c>
      <c r="E453" s="961" t="s">
        <v>6437</v>
      </c>
      <c r="F453" s="962">
        <v>412</v>
      </c>
      <c r="G453" s="961" t="s">
        <v>741</v>
      </c>
      <c r="H453" s="961">
        <v>1</v>
      </c>
      <c r="I453" s="963">
        <v>15418</v>
      </c>
      <c r="J453" s="961">
        <v>1</v>
      </c>
      <c r="K453" s="961">
        <v>23</v>
      </c>
      <c r="L453" s="961">
        <v>1</v>
      </c>
      <c r="M453" s="961">
        <v>1</v>
      </c>
      <c r="N453" s="961" t="s">
        <v>6438</v>
      </c>
      <c r="O453" s="961">
        <v>13</v>
      </c>
      <c r="P453" s="964">
        <v>1572.02</v>
      </c>
      <c r="Q453" s="964"/>
      <c r="R453" s="964">
        <f t="shared" si="8"/>
        <v>1572.02</v>
      </c>
      <c r="S453" s="964">
        <v>1572.02</v>
      </c>
      <c r="T453" s="964"/>
      <c r="U453" s="964"/>
      <c r="V453" s="964"/>
    </row>
    <row r="454" spans="1:22" x14ac:dyDescent="0.25">
      <c r="A454" s="961" t="s">
        <v>6466</v>
      </c>
      <c r="B454" s="961">
        <v>2</v>
      </c>
      <c r="C454" s="961">
        <v>2</v>
      </c>
      <c r="D454" s="961" t="s">
        <v>6436</v>
      </c>
      <c r="E454" s="961" t="s">
        <v>6437</v>
      </c>
      <c r="F454" s="962">
        <v>412</v>
      </c>
      <c r="G454" s="961" t="s">
        <v>741</v>
      </c>
      <c r="H454" s="961">
        <v>1</v>
      </c>
      <c r="I454" s="963" t="s">
        <v>6450</v>
      </c>
      <c r="J454" s="961">
        <v>1</v>
      </c>
      <c r="K454" s="961">
        <v>23</v>
      </c>
      <c r="L454" s="961">
        <v>1</v>
      </c>
      <c r="M454" s="961">
        <v>1</v>
      </c>
      <c r="N454" s="961" t="s">
        <v>6438</v>
      </c>
      <c r="O454" s="961">
        <v>13</v>
      </c>
      <c r="P454" s="964">
        <v>9696</v>
      </c>
      <c r="Q454" s="964"/>
      <c r="R454" s="964">
        <f t="shared" si="8"/>
        <v>9696</v>
      </c>
      <c r="S454" s="964">
        <v>9696</v>
      </c>
      <c r="T454" s="964"/>
      <c r="U454" s="964"/>
      <c r="V454" s="964"/>
    </row>
    <row r="455" spans="1:22" x14ac:dyDescent="0.25">
      <c r="A455" s="961" t="s">
        <v>6466</v>
      </c>
      <c r="B455" s="961">
        <v>2</v>
      </c>
      <c r="C455" s="961">
        <v>2</v>
      </c>
      <c r="D455" s="961" t="s">
        <v>6436</v>
      </c>
      <c r="E455" s="961" t="s">
        <v>6437</v>
      </c>
      <c r="F455" s="962">
        <v>412</v>
      </c>
      <c r="G455" s="961" t="s">
        <v>741</v>
      </c>
      <c r="H455" s="961">
        <v>1</v>
      </c>
      <c r="I455" s="963">
        <v>15421</v>
      </c>
      <c r="J455" s="961">
        <v>1</v>
      </c>
      <c r="K455" s="961">
        <v>23</v>
      </c>
      <c r="L455" s="961">
        <v>1</v>
      </c>
      <c r="M455" s="961">
        <v>1</v>
      </c>
      <c r="N455" s="961" t="s">
        <v>6438</v>
      </c>
      <c r="O455" s="961">
        <v>13</v>
      </c>
      <c r="P455" s="964">
        <v>1250</v>
      </c>
      <c r="Q455" s="964"/>
      <c r="R455" s="964">
        <f t="shared" si="8"/>
        <v>1250</v>
      </c>
      <c r="S455" s="964">
        <v>1250</v>
      </c>
      <c r="T455" s="964"/>
      <c r="U455" s="964"/>
      <c r="V455" s="964"/>
    </row>
    <row r="456" spans="1:22" x14ac:dyDescent="0.25">
      <c r="A456" s="961" t="s">
        <v>6466</v>
      </c>
      <c r="B456" s="961">
        <v>2</v>
      </c>
      <c r="C456" s="961">
        <v>2</v>
      </c>
      <c r="D456" s="961" t="s">
        <v>6436</v>
      </c>
      <c r="E456" s="961" t="s">
        <v>6437</v>
      </c>
      <c r="F456" s="962">
        <v>412</v>
      </c>
      <c r="G456" s="961" t="s">
        <v>741</v>
      </c>
      <c r="H456" s="961">
        <v>1</v>
      </c>
      <c r="I456" s="963">
        <v>15423</v>
      </c>
      <c r="J456" s="961">
        <v>1</v>
      </c>
      <c r="K456" s="961">
        <v>23</v>
      </c>
      <c r="L456" s="961">
        <v>1</v>
      </c>
      <c r="M456" s="961">
        <v>1</v>
      </c>
      <c r="N456" s="961" t="s">
        <v>6438</v>
      </c>
      <c r="O456" s="961">
        <v>13</v>
      </c>
      <c r="P456" s="964">
        <v>630</v>
      </c>
      <c r="Q456" s="964"/>
      <c r="R456" s="964">
        <f t="shared" si="8"/>
        <v>630</v>
      </c>
      <c r="S456" s="964">
        <v>630</v>
      </c>
      <c r="T456" s="964"/>
      <c r="U456" s="964"/>
      <c r="V456" s="964"/>
    </row>
    <row r="457" spans="1:22" x14ac:dyDescent="0.25">
      <c r="A457" s="961" t="s">
        <v>6466</v>
      </c>
      <c r="B457" s="961">
        <v>2</v>
      </c>
      <c r="C457" s="961">
        <v>2</v>
      </c>
      <c r="D457" s="961" t="s">
        <v>6436</v>
      </c>
      <c r="E457" s="961" t="s">
        <v>6437</v>
      </c>
      <c r="F457" s="962">
        <v>412</v>
      </c>
      <c r="G457" s="961" t="s">
        <v>741</v>
      </c>
      <c r="H457" s="961">
        <v>1</v>
      </c>
      <c r="I457" s="963">
        <v>15424</v>
      </c>
      <c r="J457" s="961">
        <v>1</v>
      </c>
      <c r="K457" s="961">
        <v>23</v>
      </c>
      <c r="L457" s="961">
        <v>1</v>
      </c>
      <c r="M457" s="961">
        <v>1</v>
      </c>
      <c r="N457" s="961" t="s">
        <v>6438</v>
      </c>
      <c r="O457" s="961">
        <v>13</v>
      </c>
      <c r="P457" s="964">
        <v>900</v>
      </c>
      <c r="Q457" s="964"/>
      <c r="R457" s="964">
        <f t="shared" si="8"/>
        <v>900</v>
      </c>
      <c r="S457" s="964">
        <v>900</v>
      </c>
      <c r="T457" s="964"/>
      <c r="U457" s="964"/>
      <c r="V457" s="964"/>
    </row>
    <row r="458" spans="1:22" x14ac:dyDescent="0.25">
      <c r="A458" s="961" t="s">
        <v>6466</v>
      </c>
      <c r="B458" s="961">
        <v>2</v>
      </c>
      <c r="C458" s="961">
        <v>2</v>
      </c>
      <c r="D458" s="961" t="s">
        <v>6436</v>
      </c>
      <c r="E458" s="961" t="s">
        <v>6437</v>
      </c>
      <c r="F458" s="962">
        <v>412</v>
      </c>
      <c r="G458" s="961" t="s">
        <v>741</v>
      </c>
      <c r="H458" s="961">
        <v>1</v>
      </c>
      <c r="I458" s="963">
        <v>15425</v>
      </c>
      <c r="J458" s="961">
        <v>1</v>
      </c>
      <c r="K458" s="961">
        <v>23</v>
      </c>
      <c r="L458" s="961">
        <v>1</v>
      </c>
      <c r="M458" s="961">
        <v>1</v>
      </c>
      <c r="N458" s="961" t="s">
        <v>6438</v>
      </c>
      <c r="O458" s="961">
        <v>13</v>
      </c>
      <c r="P458" s="964">
        <v>5004</v>
      </c>
      <c r="Q458" s="964"/>
      <c r="R458" s="964">
        <f t="shared" si="8"/>
        <v>5004</v>
      </c>
      <c r="S458" s="964">
        <v>5004</v>
      </c>
      <c r="T458" s="964"/>
      <c r="U458" s="964"/>
      <c r="V458" s="964"/>
    </row>
    <row r="459" spans="1:22" x14ac:dyDescent="0.25">
      <c r="A459" s="961" t="s">
        <v>6466</v>
      </c>
      <c r="B459" s="961">
        <v>2</v>
      </c>
      <c r="C459" s="961">
        <v>2</v>
      </c>
      <c r="D459" s="961" t="s">
        <v>6436</v>
      </c>
      <c r="E459" s="961" t="s">
        <v>6437</v>
      </c>
      <c r="F459" s="962">
        <v>412</v>
      </c>
      <c r="G459" s="961" t="s">
        <v>741</v>
      </c>
      <c r="H459" s="961">
        <v>1</v>
      </c>
      <c r="I459" s="963">
        <v>15427</v>
      </c>
      <c r="J459" s="961">
        <v>1</v>
      </c>
      <c r="K459" s="961">
        <v>23</v>
      </c>
      <c r="L459" s="961">
        <v>1</v>
      </c>
      <c r="M459" s="961">
        <v>1</v>
      </c>
      <c r="N459" s="961" t="s">
        <v>6438</v>
      </c>
      <c r="O459" s="961">
        <v>13</v>
      </c>
      <c r="P459" s="964">
        <v>1800</v>
      </c>
      <c r="Q459" s="964"/>
      <c r="R459" s="964">
        <f t="shared" si="8"/>
        <v>1800</v>
      </c>
      <c r="S459" s="964">
        <v>1800</v>
      </c>
      <c r="T459" s="964"/>
      <c r="U459" s="964"/>
      <c r="V459" s="964"/>
    </row>
    <row r="460" spans="1:22" x14ac:dyDescent="0.25">
      <c r="A460" s="961" t="s">
        <v>6466</v>
      </c>
      <c r="B460" s="961">
        <v>2</v>
      </c>
      <c r="C460" s="961">
        <v>2</v>
      </c>
      <c r="D460" s="961" t="s">
        <v>6436</v>
      </c>
      <c r="E460" s="961" t="s">
        <v>6437</v>
      </c>
      <c r="F460" s="962">
        <v>412</v>
      </c>
      <c r="G460" s="961" t="s">
        <v>741</v>
      </c>
      <c r="H460" s="961">
        <v>1</v>
      </c>
      <c r="I460" s="963">
        <v>15430</v>
      </c>
      <c r="J460" s="961">
        <v>1</v>
      </c>
      <c r="K460" s="961">
        <v>23</v>
      </c>
      <c r="L460" s="961">
        <v>1</v>
      </c>
      <c r="M460" s="961">
        <v>1</v>
      </c>
      <c r="N460" s="961" t="s">
        <v>6438</v>
      </c>
      <c r="O460" s="961">
        <v>13</v>
      </c>
      <c r="P460" s="964">
        <v>750</v>
      </c>
      <c r="Q460" s="964"/>
      <c r="R460" s="964">
        <f t="shared" si="8"/>
        <v>750</v>
      </c>
      <c r="S460" s="964">
        <v>750</v>
      </c>
      <c r="T460" s="964"/>
      <c r="U460" s="964"/>
      <c r="V460" s="964"/>
    </row>
    <row r="461" spans="1:22" x14ac:dyDescent="0.25">
      <c r="A461" s="961" t="s">
        <v>6466</v>
      </c>
      <c r="B461" s="961">
        <v>2</v>
      </c>
      <c r="C461" s="961">
        <v>2</v>
      </c>
      <c r="D461" s="961" t="s">
        <v>6436</v>
      </c>
      <c r="E461" s="961" t="s">
        <v>6437</v>
      </c>
      <c r="F461" s="962">
        <v>412</v>
      </c>
      <c r="G461" s="961" t="s">
        <v>741</v>
      </c>
      <c r="H461" s="961">
        <v>1</v>
      </c>
      <c r="I461" s="963" t="s">
        <v>6451</v>
      </c>
      <c r="J461" s="961">
        <v>1</v>
      </c>
      <c r="K461" s="961">
        <v>23</v>
      </c>
      <c r="L461" s="961">
        <v>1</v>
      </c>
      <c r="M461" s="961">
        <v>1</v>
      </c>
      <c r="N461" s="961" t="s">
        <v>6438</v>
      </c>
      <c r="O461" s="961">
        <v>13</v>
      </c>
      <c r="P461" s="964">
        <v>438127.03</v>
      </c>
      <c r="Q461" s="964"/>
      <c r="R461" s="964">
        <f t="shared" si="8"/>
        <v>438127.03</v>
      </c>
      <c r="S461" s="964">
        <v>439654.77</v>
      </c>
      <c r="T461" s="964">
        <v>439654.77</v>
      </c>
      <c r="U461" s="964">
        <v>439654.77</v>
      </c>
      <c r="V461" s="964">
        <f>439654.77-72.55</f>
        <v>439582.22000000003</v>
      </c>
    </row>
    <row r="462" spans="1:22" x14ac:dyDescent="0.25">
      <c r="A462" s="961" t="s">
        <v>6466</v>
      </c>
      <c r="B462" s="961">
        <v>2</v>
      </c>
      <c r="C462" s="961">
        <v>2</v>
      </c>
      <c r="D462" s="961" t="s">
        <v>6436</v>
      </c>
      <c r="E462" s="961" t="s">
        <v>6437</v>
      </c>
      <c r="F462" s="962">
        <v>412</v>
      </c>
      <c r="G462" s="961" t="s">
        <v>741</v>
      </c>
      <c r="H462" s="961">
        <v>1</v>
      </c>
      <c r="I462" s="963">
        <v>17102</v>
      </c>
      <c r="J462" s="961">
        <v>1</v>
      </c>
      <c r="K462" s="961">
        <v>23</v>
      </c>
      <c r="L462" s="961">
        <v>1</v>
      </c>
      <c r="M462" s="961">
        <v>1</v>
      </c>
      <c r="N462" s="961" t="s">
        <v>6438</v>
      </c>
      <c r="O462" s="961">
        <v>13</v>
      </c>
      <c r="P462" s="964">
        <v>196800</v>
      </c>
      <c r="Q462" s="964"/>
      <c r="R462" s="964">
        <f t="shared" si="8"/>
        <v>196800</v>
      </c>
      <c r="S462" s="964">
        <v>196800</v>
      </c>
      <c r="T462" s="964">
        <v>196800</v>
      </c>
      <c r="U462" s="964">
        <v>196800</v>
      </c>
      <c r="V462" s="964">
        <v>196800</v>
      </c>
    </row>
    <row r="463" spans="1:22" x14ac:dyDescent="0.25">
      <c r="A463" s="961" t="s">
        <v>6466</v>
      </c>
      <c r="B463" s="961">
        <v>2</v>
      </c>
      <c r="C463" s="961">
        <v>2</v>
      </c>
      <c r="D463" s="961" t="s">
        <v>6436</v>
      </c>
      <c r="E463" s="961" t="s">
        <v>6437</v>
      </c>
      <c r="F463" s="962">
        <v>412</v>
      </c>
      <c r="G463" s="961" t="s">
        <v>741</v>
      </c>
      <c r="H463" s="961">
        <v>1</v>
      </c>
      <c r="I463" s="963">
        <v>17104</v>
      </c>
      <c r="J463" s="961">
        <v>1</v>
      </c>
      <c r="K463" s="961">
        <v>23</v>
      </c>
      <c r="L463" s="961">
        <v>1</v>
      </c>
      <c r="M463" s="961">
        <v>1</v>
      </c>
      <c r="N463" s="961" t="s">
        <v>6438</v>
      </c>
      <c r="O463" s="961">
        <v>13</v>
      </c>
      <c r="P463" s="964">
        <v>3520</v>
      </c>
      <c r="Q463" s="964"/>
      <c r="R463" s="964">
        <f t="shared" si="8"/>
        <v>3520</v>
      </c>
      <c r="S463" s="964">
        <v>3520</v>
      </c>
      <c r="T463" s="964"/>
      <c r="U463" s="964"/>
      <c r="V463" s="964"/>
    </row>
    <row r="464" spans="1:22" x14ac:dyDescent="0.25">
      <c r="A464" s="961" t="s">
        <v>6467</v>
      </c>
      <c r="B464" s="961">
        <v>2</v>
      </c>
      <c r="C464" s="961">
        <v>2</v>
      </c>
      <c r="D464" s="961" t="s">
        <v>6436</v>
      </c>
      <c r="E464" s="961" t="s">
        <v>6437</v>
      </c>
      <c r="F464" s="962">
        <v>448</v>
      </c>
      <c r="G464" s="961" t="s">
        <v>741</v>
      </c>
      <c r="H464" s="961">
        <v>1</v>
      </c>
      <c r="I464" s="963">
        <v>11301</v>
      </c>
      <c r="J464" s="961">
        <v>1</v>
      </c>
      <c r="K464" s="961">
        <v>23</v>
      </c>
      <c r="L464" s="961">
        <v>1</v>
      </c>
      <c r="M464" s="961">
        <v>4</v>
      </c>
      <c r="N464" s="961" t="s">
        <v>6468</v>
      </c>
      <c r="O464" s="961">
        <v>13</v>
      </c>
      <c r="P464" s="964">
        <v>46334585.095359303</v>
      </c>
      <c r="Q464" s="964">
        <f>23477533.34+6</f>
        <v>23477539.34</v>
      </c>
      <c r="R464" s="964">
        <f t="shared" si="8"/>
        <v>69812124.435359299</v>
      </c>
      <c r="S464" s="964">
        <v>72659899.030000001</v>
      </c>
      <c r="T464" s="964">
        <v>72659899.030000001</v>
      </c>
      <c r="U464" s="964">
        <v>72658601.449999988</v>
      </c>
      <c r="V464" s="964">
        <v>72658601.449999988</v>
      </c>
    </row>
    <row r="465" spans="1:22" x14ac:dyDescent="0.25">
      <c r="A465" s="961" t="s">
        <v>6467</v>
      </c>
      <c r="B465" s="961">
        <v>2</v>
      </c>
      <c r="C465" s="961">
        <v>2</v>
      </c>
      <c r="D465" s="961" t="s">
        <v>6436</v>
      </c>
      <c r="E465" s="961" t="s">
        <v>6437</v>
      </c>
      <c r="F465" s="962">
        <v>448</v>
      </c>
      <c r="G465" s="961" t="s">
        <v>741</v>
      </c>
      <c r="H465" s="961">
        <v>1</v>
      </c>
      <c r="I465" s="963">
        <v>11302</v>
      </c>
      <c r="J465" s="961">
        <v>1</v>
      </c>
      <c r="K465" s="961">
        <v>23</v>
      </c>
      <c r="L465" s="961">
        <v>1</v>
      </c>
      <c r="M465" s="961">
        <v>4</v>
      </c>
      <c r="N465" s="961" t="s">
        <v>6468</v>
      </c>
      <c r="O465" s="961">
        <v>13</v>
      </c>
      <c r="P465" s="964">
        <v>891273.36</v>
      </c>
      <c r="Q465" s="964">
        <v>-129294.59</v>
      </c>
      <c r="R465" s="964">
        <f t="shared" si="8"/>
        <v>761978.77</v>
      </c>
      <c r="S465" s="964">
        <v>761978.77</v>
      </c>
      <c r="T465" s="964">
        <v>761978.77</v>
      </c>
      <c r="U465" s="964">
        <v>761978.77</v>
      </c>
      <c r="V465" s="964">
        <v>761978.77</v>
      </c>
    </row>
    <row r="466" spans="1:22" x14ac:dyDescent="0.25">
      <c r="A466" s="961" t="s">
        <v>6467</v>
      </c>
      <c r="B466" s="961">
        <v>2</v>
      </c>
      <c r="C466" s="961">
        <v>2</v>
      </c>
      <c r="D466" s="961" t="s">
        <v>6436</v>
      </c>
      <c r="E466" s="961" t="s">
        <v>6437</v>
      </c>
      <c r="F466" s="962">
        <v>448</v>
      </c>
      <c r="G466" s="961" t="s">
        <v>741</v>
      </c>
      <c r="H466" s="961">
        <v>1</v>
      </c>
      <c r="I466" s="963">
        <v>11303</v>
      </c>
      <c r="J466" s="961">
        <v>1</v>
      </c>
      <c r="K466" s="961">
        <v>23</v>
      </c>
      <c r="L466" s="961">
        <v>1</v>
      </c>
      <c r="M466" s="961">
        <v>4</v>
      </c>
      <c r="N466" s="961" t="s">
        <v>6468</v>
      </c>
      <c r="O466" s="961">
        <v>13</v>
      </c>
      <c r="P466" s="964">
        <v>1903436.0841548129</v>
      </c>
      <c r="Q466" s="964">
        <v>-882727.95</v>
      </c>
      <c r="R466" s="964">
        <f t="shared" si="8"/>
        <v>1020708.1341548129</v>
      </c>
      <c r="S466" s="964">
        <v>1020708.1341548129</v>
      </c>
      <c r="T466" s="964">
        <v>1020707.82</v>
      </c>
      <c r="U466" s="964">
        <v>1020707.82</v>
      </c>
      <c r="V466" s="964">
        <v>1020707.82</v>
      </c>
    </row>
    <row r="467" spans="1:22" x14ac:dyDescent="0.25">
      <c r="A467" s="961" t="s">
        <v>6467</v>
      </c>
      <c r="B467" s="961">
        <v>2</v>
      </c>
      <c r="C467" s="961">
        <v>2</v>
      </c>
      <c r="D467" s="961" t="s">
        <v>6436</v>
      </c>
      <c r="E467" s="961" t="s">
        <v>6437</v>
      </c>
      <c r="F467" s="962">
        <v>448</v>
      </c>
      <c r="G467" s="961" t="s">
        <v>741</v>
      </c>
      <c r="H467" s="961">
        <v>1</v>
      </c>
      <c r="I467" s="963">
        <v>11306</v>
      </c>
      <c r="J467" s="961">
        <v>1</v>
      </c>
      <c r="K467" s="961">
        <v>23</v>
      </c>
      <c r="L467" s="961">
        <v>1</v>
      </c>
      <c r="M467" s="961">
        <v>4</v>
      </c>
      <c r="N467" s="961" t="s">
        <v>6468</v>
      </c>
      <c r="O467" s="961">
        <v>13</v>
      </c>
      <c r="P467" s="964">
        <v>36452991.584249936</v>
      </c>
      <c r="Q467" s="964">
        <v>-6235025.3499999996</v>
      </c>
      <c r="R467" s="964">
        <f t="shared" si="8"/>
        <v>30217966.234249935</v>
      </c>
      <c r="S467" s="964">
        <v>30390517.579999998</v>
      </c>
      <c r="T467" s="964">
        <f>30390517.58-1524198.29</f>
        <v>28866319.289999999</v>
      </c>
      <c r="U467" s="964">
        <v>30390517.579999998</v>
      </c>
      <c r="V467" s="964">
        <v>25446130.050000001</v>
      </c>
    </row>
    <row r="468" spans="1:22" x14ac:dyDescent="0.25">
      <c r="A468" s="961" t="s">
        <v>6467</v>
      </c>
      <c r="B468" s="961">
        <v>2</v>
      </c>
      <c r="C468" s="961">
        <v>2</v>
      </c>
      <c r="D468" s="961" t="s">
        <v>6436</v>
      </c>
      <c r="E468" s="961" t="s">
        <v>6437</v>
      </c>
      <c r="F468" s="962">
        <v>448</v>
      </c>
      <c r="G468" s="961" t="s">
        <v>741</v>
      </c>
      <c r="H468" s="961">
        <v>1</v>
      </c>
      <c r="I468" s="963">
        <v>11307</v>
      </c>
      <c r="J468" s="961">
        <v>1</v>
      </c>
      <c r="K468" s="961">
        <v>23</v>
      </c>
      <c r="L468" s="961">
        <v>1</v>
      </c>
      <c r="M468" s="961">
        <v>4</v>
      </c>
      <c r="N468" s="961" t="s">
        <v>6468</v>
      </c>
      <c r="O468" s="961">
        <v>13</v>
      </c>
      <c r="P468" s="964">
        <v>10078561.429963181</v>
      </c>
      <c r="Q468" s="964">
        <v>-4405601.4800000004</v>
      </c>
      <c r="R468" s="964">
        <f t="shared" si="8"/>
        <v>5672959.9499631803</v>
      </c>
      <c r="S468" s="964">
        <v>5672959.9499631803</v>
      </c>
      <c r="T468" s="964">
        <v>5672959.8600000003</v>
      </c>
      <c r="U468" s="964">
        <v>5672959.8600000003</v>
      </c>
      <c r="V468" s="964">
        <v>5672959.8600000003</v>
      </c>
    </row>
    <row r="469" spans="1:22" x14ac:dyDescent="0.25">
      <c r="A469" s="961" t="s">
        <v>6467</v>
      </c>
      <c r="B469" s="961">
        <v>2</v>
      </c>
      <c r="C469" s="961">
        <v>2</v>
      </c>
      <c r="D469" s="961" t="s">
        <v>6436</v>
      </c>
      <c r="E469" s="961" t="s">
        <v>6437</v>
      </c>
      <c r="F469" s="962">
        <v>448</v>
      </c>
      <c r="G469" s="961" t="s">
        <v>741</v>
      </c>
      <c r="H469" s="961">
        <v>1</v>
      </c>
      <c r="I469" s="963">
        <v>11308</v>
      </c>
      <c r="J469" s="961">
        <v>1</v>
      </c>
      <c r="K469" s="961">
        <v>23</v>
      </c>
      <c r="L469" s="961">
        <v>1</v>
      </c>
      <c r="M469" s="961">
        <v>4</v>
      </c>
      <c r="N469" s="961" t="s">
        <v>6468</v>
      </c>
      <c r="O469" s="961">
        <v>13</v>
      </c>
      <c r="P469" s="964">
        <v>40609.637852213993</v>
      </c>
      <c r="Q469" s="964">
        <v>50695</v>
      </c>
      <c r="R469" s="964">
        <f t="shared" si="8"/>
        <v>91304.637852213986</v>
      </c>
      <c r="S469" s="964">
        <v>91304.637852213986</v>
      </c>
      <c r="T469" s="964">
        <v>91305</v>
      </c>
      <c r="U469" s="964">
        <v>91305</v>
      </c>
      <c r="V469" s="964">
        <v>91305</v>
      </c>
    </row>
    <row r="470" spans="1:22" x14ac:dyDescent="0.25">
      <c r="A470" s="961" t="s">
        <v>6467</v>
      </c>
      <c r="B470" s="961">
        <v>2</v>
      </c>
      <c r="C470" s="961">
        <v>2</v>
      </c>
      <c r="D470" s="961" t="s">
        <v>6436</v>
      </c>
      <c r="E470" s="961" t="s">
        <v>6437</v>
      </c>
      <c r="F470" s="962">
        <v>448</v>
      </c>
      <c r="G470" s="961" t="s">
        <v>741</v>
      </c>
      <c r="H470" s="961">
        <v>1</v>
      </c>
      <c r="I470" s="963">
        <v>11310</v>
      </c>
      <c r="J470" s="961">
        <v>1</v>
      </c>
      <c r="K470" s="961">
        <v>23</v>
      </c>
      <c r="L470" s="961">
        <v>1</v>
      </c>
      <c r="M470" s="961">
        <v>4</v>
      </c>
      <c r="N470" s="961" t="s">
        <v>6468</v>
      </c>
      <c r="O470" s="961">
        <v>13</v>
      </c>
      <c r="P470" s="964">
        <v>7821042.4271908822</v>
      </c>
      <c r="Q470" s="964">
        <v>-4038146.69</v>
      </c>
      <c r="R470" s="964">
        <f t="shared" si="8"/>
        <v>3782895.7371908822</v>
      </c>
      <c r="S470" s="964">
        <v>3782895.7371908822</v>
      </c>
      <c r="T470" s="964">
        <v>3781971.73</v>
      </c>
      <c r="U470" s="964">
        <v>3781971.73</v>
      </c>
      <c r="V470" s="964">
        <v>3781971.73</v>
      </c>
    </row>
    <row r="471" spans="1:22" x14ac:dyDescent="0.25">
      <c r="A471" s="961" t="s">
        <v>6467</v>
      </c>
      <c r="B471" s="961">
        <v>2</v>
      </c>
      <c r="C471" s="961">
        <v>2</v>
      </c>
      <c r="D471" s="961" t="s">
        <v>6436</v>
      </c>
      <c r="E471" s="961" t="s">
        <v>6437</v>
      </c>
      <c r="F471" s="962">
        <v>448</v>
      </c>
      <c r="G471" s="961" t="s">
        <v>741</v>
      </c>
      <c r="H471" s="961">
        <v>1</v>
      </c>
      <c r="I471" s="963">
        <v>12101</v>
      </c>
      <c r="J471" s="961">
        <v>1</v>
      </c>
      <c r="K471" s="961">
        <v>23</v>
      </c>
      <c r="L471" s="961">
        <v>1</v>
      </c>
      <c r="M471" s="961">
        <v>4</v>
      </c>
      <c r="N471" s="961" t="s">
        <v>6468</v>
      </c>
      <c r="O471" s="961">
        <v>13</v>
      </c>
      <c r="P471" s="964">
        <v>2182566.3062395351</v>
      </c>
      <c r="Q471" s="964">
        <v>-1350437.63</v>
      </c>
      <c r="R471" s="964">
        <f t="shared" si="8"/>
        <v>832128.67623953521</v>
      </c>
      <c r="S471" s="964">
        <v>832128.67623953521</v>
      </c>
      <c r="T471" s="964">
        <v>832128.37</v>
      </c>
      <c r="U471" s="964">
        <v>794890.34</v>
      </c>
      <c r="V471" s="964">
        <v>794890.34</v>
      </c>
    </row>
    <row r="472" spans="1:22" x14ac:dyDescent="0.25">
      <c r="A472" s="961" t="s">
        <v>6467</v>
      </c>
      <c r="B472" s="961">
        <v>2</v>
      </c>
      <c r="C472" s="961">
        <v>2</v>
      </c>
      <c r="D472" s="961" t="s">
        <v>6436</v>
      </c>
      <c r="E472" s="961" t="s">
        <v>6437</v>
      </c>
      <c r="F472" s="962">
        <v>448</v>
      </c>
      <c r="G472" s="961" t="s">
        <v>741</v>
      </c>
      <c r="H472" s="961">
        <v>1</v>
      </c>
      <c r="I472" s="963">
        <v>12201</v>
      </c>
      <c r="J472" s="961">
        <v>1</v>
      </c>
      <c r="K472" s="961">
        <v>23</v>
      </c>
      <c r="L472" s="961">
        <v>1</v>
      </c>
      <c r="M472" s="961">
        <v>4</v>
      </c>
      <c r="N472" s="961" t="s">
        <v>6468</v>
      </c>
      <c r="O472" s="961">
        <v>13</v>
      </c>
      <c r="P472" s="964"/>
      <c r="Q472" s="964">
        <v>395931.12</v>
      </c>
      <c r="R472" s="964">
        <f t="shared" si="8"/>
        <v>395931.12</v>
      </c>
      <c r="S472" s="964">
        <v>395931.12</v>
      </c>
      <c r="T472" s="964">
        <v>395931.12</v>
      </c>
      <c r="U472" s="964">
        <v>388070.82</v>
      </c>
      <c r="V472" s="964">
        <v>388070.82</v>
      </c>
    </row>
    <row r="473" spans="1:22" x14ac:dyDescent="0.25">
      <c r="A473" s="961" t="s">
        <v>6467</v>
      </c>
      <c r="B473" s="961">
        <v>2</v>
      </c>
      <c r="C473" s="961">
        <v>2</v>
      </c>
      <c r="D473" s="961" t="s">
        <v>6436</v>
      </c>
      <c r="E473" s="961" t="s">
        <v>6437</v>
      </c>
      <c r="F473" s="962">
        <v>448</v>
      </c>
      <c r="G473" s="961" t="s">
        <v>741</v>
      </c>
      <c r="H473" s="961">
        <v>1</v>
      </c>
      <c r="I473" s="963">
        <v>13101</v>
      </c>
      <c r="J473" s="961">
        <v>1</v>
      </c>
      <c r="K473" s="961">
        <v>23</v>
      </c>
      <c r="L473" s="961">
        <v>1</v>
      </c>
      <c r="M473" s="961">
        <v>4</v>
      </c>
      <c r="N473" s="961" t="s">
        <v>6468</v>
      </c>
      <c r="O473" s="961">
        <v>13</v>
      </c>
      <c r="P473" s="964">
        <v>3503964.109715838</v>
      </c>
      <c r="Q473" s="964">
        <v>175758.32</v>
      </c>
      <c r="R473" s="964">
        <f t="shared" si="8"/>
        <v>3679722.4297158378</v>
      </c>
      <c r="S473" s="964">
        <v>3679722.4297158378</v>
      </c>
      <c r="T473" s="964">
        <v>3679722.4899999998</v>
      </c>
      <c r="U473" s="964">
        <v>3679722.4899999998</v>
      </c>
      <c r="V473" s="964">
        <v>3679722.4899999998</v>
      </c>
    </row>
    <row r="474" spans="1:22" x14ac:dyDescent="0.25">
      <c r="A474" s="961" t="s">
        <v>6467</v>
      </c>
      <c r="B474" s="961">
        <v>2</v>
      </c>
      <c r="C474" s="961">
        <v>2</v>
      </c>
      <c r="D474" s="961" t="s">
        <v>6436</v>
      </c>
      <c r="E474" s="961" t="s">
        <v>6437</v>
      </c>
      <c r="F474" s="962">
        <v>448</v>
      </c>
      <c r="G474" s="961" t="s">
        <v>741</v>
      </c>
      <c r="H474" s="961">
        <v>1</v>
      </c>
      <c r="I474" s="963">
        <v>13201</v>
      </c>
      <c r="J474" s="961">
        <v>1</v>
      </c>
      <c r="K474" s="961">
        <v>23</v>
      </c>
      <c r="L474" s="961">
        <v>1</v>
      </c>
      <c r="M474" s="961">
        <v>4</v>
      </c>
      <c r="N474" s="961" t="s">
        <v>6468</v>
      </c>
      <c r="O474" s="961">
        <v>13</v>
      </c>
      <c r="P474" s="964">
        <v>3416158.359868085</v>
      </c>
      <c r="Q474" s="964">
        <v>-155068.06000000003</v>
      </c>
      <c r="R474" s="964">
        <f t="shared" si="8"/>
        <v>3261090.299868085</v>
      </c>
      <c r="S474" s="964">
        <v>3261090.299868085</v>
      </c>
      <c r="T474" s="964">
        <v>3261090.17</v>
      </c>
      <c r="U474" s="964">
        <v>3243952.81</v>
      </c>
      <c r="V474" s="964">
        <v>3243952.81</v>
      </c>
    </row>
    <row r="475" spans="1:22" x14ac:dyDescent="0.25">
      <c r="A475" s="961" t="s">
        <v>6467</v>
      </c>
      <c r="B475" s="961">
        <v>2</v>
      </c>
      <c r="C475" s="961">
        <v>2</v>
      </c>
      <c r="D475" s="961" t="s">
        <v>6436</v>
      </c>
      <c r="E475" s="961" t="s">
        <v>6437</v>
      </c>
      <c r="F475" s="962">
        <v>448</v>
      </c>
      <c r="G475" s="961" t="s">
        <v>741</v>
      </c>
      <c r="H475" s="961">
        <v>1</v>
      </c>
      <c r="I475" s="963">
        <v>13202</v>
      </c>
      <c r="J475" s="961">
        <v>1</v>
      </c>
      <c r="K475" s="961">
        <v>23</v>
      </c>
      <c r="L475" s="961">
        <v>1</v>
      </c>
      <c r="M475" s="961">
        <v>4</v>
      </c>
      <c r="N475" s="961" t="s">
        <v>6468</v>
      </c>
      <c r="O475" s="961">
        <v>13</v>
      </c>
      <c r="P475" s="964">
        <v>3353677.7802641233</v>
      </c>
      <c r="Q475" s="964">
        <v>-734514.78</v>
      </c>
      <c r="R475" s="964">
        <f t="shared" si="8"/>
        <v>2619163.0002641231</v>
      </c>
      <c r="S475" s="964">
        <v>2619163.0002641231</v>
      </c>
      <c r="T475" s="964">
        <v>2619162.9700000002</v>
      </c>
      <c r="U475" s="964">
        <v>2435930.7199999997</v>
      </c>
      <c r="V475" s="964">
        <v>2435930.7199999997</v>
      </c>
    </row>
    <row r="476" spans="1:22" x14ac:dyDescent="0.25">
      <c r="A476" s="961" t="s">
        <v>6467</v>
      </c>
      <c r="B476" s="961">
        <v>2</v>
      </c>
      <c r="C476" s="961">
        <v>2</v>
      </c>
      <c r="D476" s="961" t="s">
        <v>6436</v>
      </c>
      <c r="E476" s="961" t="s">
        <v>6437</v>
      </c>
      <c r="F476" s="962">
        <v>448</v>
      </c>
      <c r="G476" s="961" t="s">
        <v>741</v>
      </c>
      <c r="H476" s="961">
        <v>1</v>
      </c>
      <c r="I476" s="963">
        <v>13203</v>
      </c>
      <c r="J476" s="961">
        <v>1</v>
      </c>
      <c r="K476" s="961">
        <v>23</v>
      </c>
      <c r="L476" s="961">
        <v>1</v>
      </c>
      <c r="M476" s="961">
        <v>4</v>
      </c>
      <c r="N476" s="961" t="s">
        <v>6468</v>
      </c>
      <c r="O476" s="961">
        <v>13</v>
      </c>
      <c r="P476" s="964">
        <v>97958.47</v>
      </c>
      <c r="Q476" s="964">
        <v>26563.98</v>
      </c>
      <c r="R476" s="964">
        <f t="shared" ref="R476:R546" si="9">SUM(P476:Q476)</f>
        <v>124522.45</v>
      </c>
      <c r="S476" s="964">
        <v>124522.45</v>
      </c>
      <c r="T476" s="964">
        <v>124522.45</v>
      </c>
      <c r="U476" s="964">
        <v>124522.45</v>
      </c>
      <c r="V476" s="964">
        <v>124522.45</v>
      </c>
    </row>
    <row r="477" spans="1:22" x14ac:dyDescent="0.25">
      <c r="A477" s="961" t="s">
        <v>6467</v>
      </c>
      <c r="B477" s="961">
        <v>2</v>
      </c>
      <c r="C477" s="961">
        <v>2</v>
      </c>
      <c r="D477" s="961" t="s">
        <v>6436</v>
      </c>
      <c r="E477" s="961" t="s">
        <v>6437</v>
      </c>
      <c r="F477" s="962">
        <v>448</v>
      </c>
      <c r="G477" s="961" t="s">
        <v>741</v>
      </c>
      <c r="H477" s="961">
        <v>1</v>
      </c>
      <c r="I477" s="963">
        <v>13204</v>
      </c>
      <c r="J477" s="961">
        <v>1</v>
      </c>
      <c r="K477" s="961">
        <v>23</v>
      </c>
      <c r="L477" s="961">
        <v>1</v>
      </c>
      <c r="M477" s="961">
        <v>4</v>
      </c>
      <c r="N477" s="961" t="s">
        <v>6468</v>
      </c>
      <c r="O477" s="961">
        <v>13</v>
      </c>
      <c r="P477" s="964">
        <v>95058.67</v>
      </c>
      <c r="Q477" s="964">
        <v>-7788.83</v>
      </c>
      <c r="R477" s="964">
        <f t="shared" si="9"/>
        <v>87269.84</v>
      </c>
      <c r="S477" s="964">
        <v>87269.84</v>
      </c>
      <c r="T477" s="964">
        <v>87269.84</v>
      </c>
      <c r="U477" s="964">
        <v>87269.84</v>
      </c>
      <c r="V477" s="964">
        <v>87269.84</v>
      </c>
    </row>
    <row r="478" spans="1:22" x14ac:dyDescent="0.25">
      <c r="A478" s="961" t="s">
        <v>6467</v>
      </c>
      <c r="B478" s="961">
        <v>2</v>
      </c>
      <c r="C478" s="961">
        <v>2</v>
      </c>
      <c r="D478" s="961" t="s">
        <v>6436</v>
      </c>
      <c r="E478" s="961" t="s">
        <v>6437</v>
      </c>
      <c r="F478" s="962">
        <v>448</v>
      </c>
      <c r="G478" s="961" t="s">
        <v>741</v>
      </c>
      <c r="H478" s="961">
        <v>1</v>
      </c>
      <c r="I478" s="963">
        <v>13301</v>
      </c>
      <c r="J478" s="961">
        <v>1</v>
      </c>
      <c r="K478" s="961">
        <v>23</v>
      </c>
      <c r="L478" s="961">
        <v>1</v>
      </c>
      <c r="M478" s="961">
        <v>4</v>
      </c>
      <c r="N478" s="961" t="s">
        <v>6468</v>
      </c>
      <c r="O478" s="961">
        <v>13</v>
      </c>
      <c r="P478" s="964">
        <v>6532993.8810684541</v>
      </c>
      <c r="Q478" s="964">
        <v>13089701.16</v>
      </c>
      <c r="R478" s="964">
        <f t="shared" si="9"/>
        <v>19622695.041068453</v>
      </c>
      <c r="S478" s="964">
        <v>19622695.041068453</v>
      </c>
      <c r="T478" s="964">
        <v>19622695.040000003</v>
      </c>
      <c r="U478" s="964">
        <v>19616397.660000004</v>
      </c>
      <c r="V478" s="964">
        <v>19616397.660000004</v>
      </c>
    </row>
    <row r="479" spans="1:22" x14ac:dyDescent="0.25">
      <c r="A479" s="961" t="s">
        <v>6467</v>
      </c>
      <c r="B479" s="961">
        <v>2</v>
      </c>
      <c r="C479" s="961">
        <v>2</v>
      </c>
      <c r="D479" s="961" t="s">
        <v>6436</v>
      </c>
      <c r="E479" s="961" t="s">
        <v>6437</v>
      </c>
      <c r="F479" s="962">
        <v>448</v>
      </c>
      <c r="G479" s="961" t="s">
        <v>741</v>
      </c>
      <c r="H479" s="961">
        <v>1</v>
      </c>
      <c r="I479" s="963">
        <v>13403</v>
      </c>
      <c r="J479" s="961">
        <v>1</v>
      </c>
      <c r="K479" s="961">
        <v>23</v>
      </c>
      <c r="L479" s="961">
        <v>1</v>
      </c>
      <c r="M479" s="961">
        <v>4</v>
      </c>
      <c r="N479" s="961" t="s">
        <v>6468</v>
      </c>
      <c r="O479" s="961">
        <v>13</v>
      </c>
      <c r="P479" s="964">
        <v>168000</v>
      </c>
      <c r="Q479" s="964">
        <v>0</v>
      </c>
      <c r="R479" s="964">
        <f t="shared" si="9"/>
        <v>168000</v>
      </c>
      <c r="S479" s="964">
        <v>168000</v>
      </c>
      <c r="T479" s="964">
        <v>168000</v>
      </c>
      <c r="U479" s="964">
        <v>168000</v>
      </c>
      <c r="V479" s="964">
        <v>168000</v>
      </c>
    </row>
    <row r="480" spans="1:22" x14ac:dyDescent="0.25">
      <c r="A480" s="961" t="s">
        <v>6467</v>
      </c>
      <c r="B480" s="961">
        <v>2</v>
      </c>
      <c r="C480" s="961">
        <v>2</v>
      </c>
      <c r="D480" s="961" t="s">
        <v>6436</v>
      </c>
      <c r="E480" s="961" t="s">
        <v>6437</v>
      </c>
      <c r="F480" s="962">
        <v>448</v>
      </c>
      <c r="G480" s="961" t="s">
        <v>741</v>
      </c>
      <c r="H480" s="961">
        <v>1</v>
      </c>
      <c r="I480" s="963">
        <v>14106</v>
      </c>
      <c r="J480" s="961">
        <v>1</v>
      </c>
      <c r="K480" s="961">
        <v>23</v>
      </c>
      <c r="L480" s="961">
        <v>1</v>
      </c>
      <c r="M480" s="961">
        <v>4</v>
      </c>
      <c r="N480" s="961" t="s">
        <v>6468</v>
      </c>
      <c r="O480" s="961">
        <v>13</v>
      </c>
      <c r="P480" s="964">
        <v>21809136.678602424</v>
      </c>
      <c r="Q480" s="964">
        <v>1737045.9800000002</v>
      </c>
      <c r="R480" s="964">
        <f t="shared" si="9"/>
        <v>23546182.658602424</v>
      </c>
      <c r="S480" s="964">
        <v>23778072.07</v>
      </c>
      <c r="T480" s="964">
        <v>23778072.07</v>
      </c>
      <c r="U480" s="964">
        <v>23778072.07</v>
      </c>
      <c r="V480" s="964">
        <v>20301385.729999997</v>
      </c>
    </row>
    <row r="481" spans="1:22" x14ac:dyDescent="0.25">
      <c r="A481" s="961" t="s">
        <v>6467</v>
      </c>
      <c r="B481" s="961">
        <v>2</v>
      </c>
      <c r="C481" s="961">
        <v>2</v>
      </c>
      <c r="D481" s="961" t="s">
        <v>6436</v>
      </c>
      <c r="E481" s="961" t="s">
        <v>6437</v>
      </c>
      <c r="F481" s="962">
        <v>448</v>
      </c>
      <c r="G481" s="961" t="s">
        <v>741</v>
      </c>
      <c r="H481" s="961">
        <v>1</v>
      </c>
      <c r="I481" s="963">
        <v>14109</v>
      </c>
      <c r="J481" s="961">
        <v>1</v>
      </c>
      <c r="K481" s="961">
        <v>23</v>
      </c>
      <c r="L481" s="961">
        <v>1</v>
      </c>
      <c r="M481" s="961">
        <v>4</v>
      </c>
      <c r="N481" s="961" t="s">
        <v>6468</v>
      </c>
      <c r="O481" s="961">
        <v>13</v>
      </c>
      <c r="P481" s="964">
        <v>175040.4</v>
      </c>
      <c r="Q481" s="964">
        <v>3209399.23</v>
      </c>
      <c r="R481" s="964">
        <f t="shared" si="9"/>
        <v>3384439.63</v>
      </c>
      <c r="S481" s="964">
        <v>3405033.1599999997</v>
      </c>
      <c r="T481" s="964">
        <v>3405033.1599999997</v>
      </c>
      <c r="U481" s="964">
        <v>3405033.1599999997</v>
      </c>
      <c r="V481" s="964">
        <v>2264168.64</v>
      </c>
    </row>
    <row r="482" spans="1:22" x14ac:dyDescent="0.25">
      <c r="A482" s="961" t="s">
        <v>6467</v>
      </c>
      <c r="B482" s="961">
        <v>2</v>
      </c>
      <c r="C482" s="961">
        <v>2</v>
      </c>
      <c r="D482" s="961" t="s">
        <v>6436</v>
      </c>
      <c r="E482" s="961" t="s">
        <v>6437</v>
      </c>
      <c r="F482" s="962">
        <v>448</v>
      </c>
      <c r="G482" s="961" t="s">
        <v>741</v>
      </c>
      <c r="H482" s="961">
        <v>1</v>
      </c>
      <c r="I482" s="963">
        <v>14303</v>
      </c>
      <c r="J482" s="961">
        <v>1</v>
      </c>
      <c r="K482" s="961">
        <v>23</v>
      </c>
      <c r="L482" s="961">
        <v>1</v>
      </c>
      <c r="M482" s="961">
        <v>4</v>
      </c>
      <c r="N482" s="961" t="s">
        <v>6468</v>
      </c>
      <c r="O482" s="961">
        <v>13</v>
      </c>
      <c r="P482" s="964"/>
      <c r="Q482" s="964"/>
      <c r="R482" s="964">
        <f t="shared" si="9"/>
        <v>0</v>
      </c>
      <c r="S482" s="964">
        <v>0</v>
      </c>
      <c r="T482" s="964">
        <v>0</v>
      </c>
      <c r="U482" s="964">
        <v>0</v>
      </c>
      <c r="V482" s="964">
        <v>0</v>
      </c>
    </row>
    <row r="483" spans="1:22" x14ac:dyDescent="0.25">
      <c r="A483" s="961" t="s">
        <v>6467</v>
      </c>
      <c r="B483" s="961">
        <v>2</v>
      </c>
      <c r="C483" s="961">
        <v>2</v>
      </c>
      <c r="D483" s="961" t="s">
        <v>6436</v>
      </c>
      <c r="E483" s="961" t="s">
        <v>6437</v>
      </c>
      <c r="F483" s="962">
        <v>448</v>
      </c>
      <c r="G483" s="961" t="s">
        <v>741</v>
      </c>
      <c r="H483" s="961">
        <v>1</v>
      </c>
      <c r="I483" s="963">
        <v>14403</v>
      </c>
      <c r="J483" s="961">
        <v>1</v>
      </c>
      <c r="K483" s="961">
        <v>23</v>
      </c>
      <c r="L483" s="961">
        <v>1</v>
      </c>
      <c r="M483" s="961">
        <v>4</v>
      </c>
      <c r="N483" s="961" t="s">
        <v>6468</v>
      </c>
      <c r="O483" s="961">
        <v>13</v>
      </c>
      <c r="P483" s="964">
        <v>3035635.5800460787</v>
      </c>
      <c r="Q483" s="964">
        <f>-2751226.09-6</f>
        <v>-2751232.09</v>
      </c>
      <c r="R483" s="964">
        <f t="shared" si="9"/>
        <v>284403.4900460788</v>
      </c>
      <c r="S483" s="964">
        <v>284409.49004607787</v>
      </c>
      <c r="T483" s="964">
        <v>284306.01</v>
      </c>
      <c r="U483" s="964">
        <v>283626.58999999997</v>
      </c>
      <c r="V483" s="964">
        <v>283626.58999999997</v>
      </c>
    </row>
    <row r="484" spans="1:22" x14ac:dyDescent="0.25">
      <c r="A484" s="961" t="s">
        <v>6467</v>
      </c>
      <c r="B484" s="961">
        <v>2</v>
      </c>
      <c r="C484" s="961">
        <v>2</v>
      </c>
      <c r="D484" s="961" t="s">
        <v>6436</v>
      </c>
      <c r="E484" s="961" t="s">
        <v>6437</v>
      </c>
      <c r="F484" s="962">
        <v>448</v>
      </c>
      <c r="G484" s="961" t="s">
        <v>741</v>
      </c>
      <c r="H484" s="961">
        <v>1</v>
      </c>
      <c r="I484" s="963">
        <v>15101</v>
      </c>
      <c r="J484" s="961">
        <v>1</v>
      </c>
      <c r="K484" s="961">
        <v>23</v>
      </c>
      <c r="L484" s="961">
        <v>1</v>
      </c>
      <c r="M484" s="961">
        <v>4</v>
      </c>
      <c r="N484" s="961" t="s">
        <v>6468</v>
      </c>
      <c r="O484" s="961">
        <v>13</v>
      </c>
      <c r="P484" s="964">
        <v>7554706.4950730223</v>
      </c>
      <c r="Q484" s="964">
        <v>-430860.29000000004</v>
      </c>
      <c r="R484" s="964">
        <f t="shared" si="9"/>
        <v>7123846.2050730223</v>
      </c>
      <c r="S484" s="964">
        <v>7130490.9399999995</v>
      </c>
      <c r="T484" s="964">
        <v>7130490.9399999995</v>
      </c>
      <c r="U484" s="964">
        <v>7130490.9399999995</v>
      </c>
      <c r="V484" s="964">
        <v>6451945.6899999995</v>
      </c>
    </row>
    <row r="485" spans="1:22" x14ac:dyDescent="0.25">
      <c r="A485" s="961" t="s">
        <v>6467</v>
      </c>
      <c r="B485" s="961">
        <v>2</v>
      </c>
      <c r="C485" s="961">
        <v>2</v>
      </c>
      <c r="D485" s="961" t="s">
        <v>6436</v>
      </c>
      <c r="E485" s="961" t="s">
        <v>6437</v>
      </c>
      <c r="F485" s="962">
        <v>448</v>
      </c>
      <c r="G485" s="961" t="s">
        <v>741</v>
      </c>
      <c r="H485" s="961">
        <v>1</v>
      </c>
      <c r="I485" s="963">
        <v>15201</v>
      </c>
      <c r="J485" s="961">
        <v>1</v>
      </c>
      <c r="K485" s="961">
        <v>23</v>
      </c>
      <c r="L485" s="961">
        <v>1</v>
      </c>
      <c r="M485" s="961">
        <v>4</v>
      </c>
      <c r="N485" s="961" t="s">
        <v>6468</v>
      </c>
      <c r="O485" s="961">
        <v>13</v>
      </c>
      <c r="P485" s="964"/>
      <c r="Q485" s="964">
        <v>5365897.8000000007</v>
      </c>
      <c r="R485" s="964">
        <f t="shared" si="9"/>
        <v>5365897.8000000007</v>
      </c>
      <c r="S485" s="964">
        <v>5365897.8000000007</v>
      </c>
      <c r="T485" s="964">
        <v>5365898.209999999</v>
      </c>
      <c r="U485" s="964">
        <v>5365898.209999999</v>
      </c>
      <c r="V485" s="964">
        <v>4623409.6199999992</v>
      </c>
    </row>
    <row r="486" spans="1:22" x14ac:dyDescent="0.25">
      <c r="A486" s="961" t="s">
        <v>6467</v>
      </c>
      <c r="B486" s="961">
        <v>2</v>
      </c>
      <c r="C486" s="961">
        <v>2</v>
      </c>
      <c r="D486" s="961" t="s">
        <v>6436</v>
      </c>
      <c r="E486" s="961" t="s">
        <v>6437</v>
      </c>
      <c r="F486" s="962">
        <v>448</v>
      </c>
      <c r="G486" s="961" t="s">
        <v>741</v>
      </c>
      <c r="H486" s="961">
        <v>1</v>
      </c>
      <c r="I486" s="963">
        <v>15202</v>
      </c>
      <c r="J486" s="961">
        <v>1</v>
      </c>
      <c r="K486" s="961">
        <v>23</v>
      </c>
      <c r="L486" s="961">
        <v>1</v>
      </c>
      <c r="M486" s="961">
        <v>4</v>
      </c>
      <c r="N486" s="961" t="s">
        <v>6468</v>
      </c>
      <c r="O486" s="961">
        <v>13</v>
      </c>
      <c r="P486" s="964">
        <v>4928.2679996987245</v>
      </c>
      <c r="Q486" s="964">
        <v>-4928.2700000000004</v>
      </c>
      <c r="R486" s="964">
        <f t="shared" si="9"/>
        <v>-2.0003012759843841E-3</v>
      </c>
      <c r="S486" s="964">
        <v>-2.0003012759843841E-3</v>
      </c>
      <c r="T486" s="964"/>
      <c r="U486" s="964"/>
      <c r="V486" s="964"/>
    </row>
    <row r="487" spans="1:22" x14ac:dyDescent="0.25">
      <c r="A487" s="961" t="s">
        <v>6467</v>
      </c>
      <c r="B487" s="961">
        <v>2</v>
      </c>
      <c r="C487" s="961">
        <v>2</v>
      </c>
      <c r="D487" s="961" t="s">
        <v>6436</v>
      </c>
      <c r="E487" s="961" t="s">
        <v>6437</v>
      </c>
      <c r="F487" s="962">
        <v>448</v>
      </c>
      <c r="G487" s="961" t="s">
        <v>741</v>
      </c>
      <c r="H487" s="961">
        <v>1</v>
      </c>
      <c r="I487" s="963">
        <v>15404</v>
      </c>
      <c r="J487" s="961">
        <v>1</v>
      </c>
      <c r="K487" s="961">
        <v>23</v>
      </c>
      <c r="L487" s="961">
        <v>1</v>
      </c>
      <c r="M487" s="961">
        <v>4</v>
      </c>
      <c r="N487" s="961" t="s">
        <v>6468</v>
      </c>
      <c r="O487" s="961">
        <v>13</v>
      </c>
      <c r="P487" s="964">
        <v>423571.23</v>
      </c>
      <c r="Q487" s="964">
        <v>231530.26</v>
      </c>
      <c r="R487" s="964">
        <f t="shared" si="9"/>
        <v>655101.49</v>
      </c>
      <c r="S487" s="964">
        <v>655101.49</v>
      </c>
      <c r="T487" s="964">
        <v>655101.49</v>
      </c>
      <c r="U487" s="964">
        <v>655101.49</v>
      </c>
      <c r="V487" s="964">
        <v>655101.49</v>
      </c>
    </row>
    <row r="488" spans="1:22" x14ac:dyDescent="0.25">
      <c r="A488" s="961" t="s">
        <v>6467</v>
      </c>
      <c r="B488" s="961">
        <v>2</v>
      </c>
      <c r="C488" s="961">
        <v>2</v>
      </c>
      <c r="D488" s="961" t="s">
        <v>6436</v>
      </c>
      <c r="E488" s="961" t="s">
        <v>6437</v>
      </c>
      <c r="F488" s="962">
        <v>448</v>
      </c>
      <c r="G488" s="961" t="s">
        <v>741</v>
      </c>
      <c r="H488" s="961">
        <v>1</v>
      </c>
      <c r="I488" s="963">
        <v>15409</v>
      </c>
      <c r="J488" s="961">
        <v>1</v>
      </c>
      <c r="K488" s="961">
        <v>23</v>
      </c>
      <c r="L488" s="961">
        <v>1</v>
      </c>
      <c r="M488" s="961">
        <v>4</v>
      </c>
      <c r="N488" s="961" t="s">
        <v>6468</v>
      </c>
      <c r="O488" s="961">
        <v>13</v>
      </c>
      <c r="P488" s="964">
        <v>4334038.537623791</v>
      </c>
      <c r="Q488" s="964">
        <v>785955.11999999988</v>
      </c>
      <c r="R488" s="964">
        <f t="shared" si="9"/>
        <v>5119993.6576237911</v>
      </c>
      <c r="S488" s="964">
        <v>5119993.6576237911</v>
      </c>
      <c r="T488" s="964">
        <v>5119993.2200000007</v>
      </c>
      <c r="U488" s="964">
        <v>5118743.1100000013</v>
      </c>
      <c r="V488" s="964">
        <v>5118743.1100000013</v>
      </c>
    </row>
    <row r="489" spans="1:22" x14ac:dyDescent="0.25">
      <c r="A489" s="961" t="s">
        <v>6467</v>
      </c>
      <c r="B489" s="961">
        <v>2</v>
      </c>
      <c r="C489" s="961">
        <v>2</v>
      </c>
      <c r="D489" s="961" t="s">
        <v>6436</v>
      </c>
      <c r="E489" s="961" t="s">
        <v>6437</v>
      </c>
      <c r="F489" s="962">
        <v>448</v>
      </c>
      <c r="G489" s="961" t="s">
        <v>741</v>
      </c>
      <c r="H489" s="961">
        <v>1</v>
      </c>
      <c r="I489" s="963">
        <v>15413</v>
      </c>
      <c r="J489" s="961">
        <v>1</v>
      </c>
      <c r="K489" s="961">
        <v>23</v>
      </c>
      <c r="L489" s="961">
        <v>1</v>
      </c>
      <c r="M489" s="961">
        <v>4</v>
      </c>
      <c r="N489" s="961" t="s">
        <v>6468</v>
      </c>
      <c r="O489" s="961">
        <v>13</v>
      </c>
      <c r="P489" s="964"/>
      <c r="Q489" s="964">
        <v>5960</v>
      </c>
      <c r="R489" s="964">
        <f t="shared" si="9"/>
        <v>5960</v>
      </c>
      <c r="S489" s="964">
        <v>5960</v>
      </c>
      <c r="T489" s="964">
        <v>5960</v>
      </c>
      <c r="U489" s="964">
        <v>5960</v>
      </c>
      <c r="V489" s="964">
        <v>5960</v>
      </c>
    </row>
    <row r="490" spans="1:22" x14ac:dyDescent="0.25">
      <c r="A490" s="961" t="s">
        <v>6467</v>
      </c>
      <c r="B490" s="961">
        <v>2</v>
      </c>
      <c r="C490" s="961">
        <v>2</v>
      </c>
      <c r="D490" s="961" t="s">
        <v>6436</v>
      </c>
      <c r="E490" s="961" t="s">
        <v>6437</v>
      </c>
      <c r="F490" s="962">
        <v>448</v>
      </c>
      <c r="G490" s="961" t="s">
        <v>741</v>
      </c>
      <c r="H490" s="961">
        <v>1</v>
      </c>
      <c r="I490" s="963">
        <v>15417</v>
      </c>
      <c r="J490" s="961">
        <v>1</v>
      </c>
      <c r="K490" s="961">
        <v>23</v>
      </c>
      <c r="L490" s="961">
        <v>1</v>
      </c>
      <c r="M490" s="961">
        <v>4</v>
      </c>
      <c r="N490" s="961" t="s">
        <v>6468</v>
      </c>
      <c r="O490" s="961">
        <v>13</v>
      </c>
      <c r="P490" s="964"/>
      <c r="Q490" s="964">
        <v>90032.36</v>
      </c>
      <c r="R490" s="964">
        <f t="shared" si="9"/>
        <v>90032.36</v>
      </c>
      <c r="S490" s="964">
        <v>142886.35999999999</v>
      </c>
      <c r="T490" s="964">
        <v>142886.35999999999</v>
      </c>
      <c r="U490" s="964">
        <v>142886.35999999999</v>
      </c>
      <c r="V490" s="964">
        <v>142886.35999999999</v>
      </c>
    </row>
    <row r="491" spans="1:22" x14ac:dyDescent="0.25">
      <c r="A491" s="961" t="s">
        <v>6467</v>
      </c>
      <c r="B491" s="961">
        <v>2</v>
      </c>
      <c r="C491" s="961">
        <v>2</v>
      </c>
      <c r="D491" s="961" t="s">
        <v>6436</v>
      </c>
      <c r="E491" s="961" t="s">
        <v>6437</v>
      </c>
      <c r="F491" s="962">
        <v>448</v>
      </c>
      <c r="G491" s="961" t="s">
        <v>741</v>
      </c>
      <c r="H491" s="961">
        <v>1</v>
      </c>
      <c r="I491" s="963">
        <v>15419</v>
      </c>
      <c r="J491" s="961">
        <v>1</v>
      </c>
      <c r="K491" s="961">
        <v>23</v>
      </c>
      <c r="L491" s="961">
        <v>1</v>
      </c>
      <c r="M491" s="961">
        <v>4</v>
      </c>
      <c r="N491" s="961" t="s">
        <v>6468</v>
      </c>
      <c r="O491" s="961">
        <v>13</v>
      </c>
      <c r="P491" s="964">
        <v>1437590.6249575764</v>
      </c>
      <c r="Q491" s="964">
        <v>215618</v>
      </c>
      <c r="R491" s="964">
        <f t="shared" si="9"/>
        <v>1653208.6249575764</v>
      </c>
      <c r="S491" s="964">
        <v>1656580.62</v>
      </c>
      <c r="T491" s="964">
        <v>1656580.62</v>
      </c>
      <c r="U491" s="964">
        <v>1656580.62</v>
      </c>
      <c r="V491" s="964">
        <v>1656580.62</v>
      </c>
    </row>
    <row r="492" spans="1:22" x14ac:dyDescent="0.25">
      <c r="A492" s="961" t="s">
        <v>6467</v>
      </c>
      <c r="B492" s="961">
        <v>2</v>
      </c>
      <c r="C492" s="961">
        <v>2</v>
      </c>
      <c r="D492" s="961" t="s">
        <v>6436</v>
      </c>
      <c r="E492" s="961" t="s">
        <v>6437</v>
      </c>
      <c r="F492" s="962">
        <v>448</v>
      </c>
      <c r="G492" s="961" t="s">
        <v>741</v>
      </c>
      <c r="H492" s="961">
        <v>1</v>
      </c>
      <c r="I492" s="963">
        <v>15420</v>
      </c>
      <c r="J492" s="961">
        <v>1</v>
      </c>
      <c r="K492" s="961">
        <v>23</v>
      </c>
      <c r="L492" s="961">
        <v>1</v>
      </c>
      <c r="M492" s="961">
        <v>4</v>
      </c>
      <c r="N492" s="961" t="s">
        <v>6468</v>
      </c>
      <c r="O492" s="961">
        <v>13</v>
      </c>
      <c r="P492" s="964"/>
      <c r="Q492" s="964">
        <v>10680</v>
      </c>
      <c r="R492" s="964">
        <f t="shared" si="9"/>
        <v>10680</v>
      </c>
      <c r="S492" s="964">
        <v>21360</v>
      </c>
      <c r="T492" s="964">
        <v>21360</v>
      </c>
      <c r="U492" s="964">
        <v>21360</v>
      </c>
      <c r="V492" s="964">
        <v>21360</v>
      </c>
    </row>
    <row r="493" spans="1:22" x14ac:dyDescent="0.25">
      <c r="A493" s="961" t="s">
        <v>6467</v>
      </c>
      <c r="B493" s="961">
        <v>2</v>
      </c>
      <c r="C493" s="961">
        <v>2</v>
      </c>
      <c r="D493" s="961" t="s">
        <v>6436</v>
      </c>
      <c r="E493" s="961" t="s">
        <v>6437</v>
      </c>
      <c r="F493" s="962">
        <v>448</v>
      </c>
      <c r="G493" s="961" t="s">
        <v>741</v>
      </c>
      <c r="H493" s="961">
        <v>1</v>
      </c>
      <c r="I493" s="963">
        <v>15901</v>
      </c>
      <c r="J493" s="961">
        <v>1</v>
      </c>
      <c r="K493" s="961">
        <v>23</v>
      </c>
      <c r="L493" s="961">
        <v>1</v>
      </c>
      <c r="M493" s="961">
        <v>4</v>
      </c>
      <c r="N493" s="961" t="s">
        <v>6468</v>
      </c>
      <c r="O493" s="961">
        <v>13</v>
      </c>
      <c r="P493" s="964">
        <v>15006150.644206733</v>
      </c>
      <c r="Q493" s="964">
        <v>-6988821.4500000002</v>
      </c>
      <c r="R493" s="964">
        <f t="shared" si="9"/>
        <v>8017329.1942067323</v>
      </c>
      <c r="S493" s="964">
        <v>8017329.2800000003</v>
      </c>
      <c r="T493" s="964">
        <v>8017329.2800000003</v>
      </c>
      <c r="U493" s="964">
        <v>8017329.2800000003</v>
      </c>
      <c r="V493" s="964">
        <v>8017329.2800000003</v>
      </c>
    </row>
    <row r="494" spans="1:22" x14ac:dyDescent="0.25">
      <c r="A494" s="961" t="s">
        <v>6467</v>
      </c>
      <c r="B494" s="961">
        <v>2</v>
      </c>
      <c r="C494" s="961">
        <v>2</v>
      </c>
      <c r="D494" s="961" t="s">
        <v>6436</v>
      </c>
      <c r="E494" s="961" t="s">
        <v>6437</v>
      </c>
      <c r="F494" s="962">
        <v>448</v>
      </c>
      <c r="G494" s="961" t="s">
        <v>741</v>
      </c>
      <c r="H494" s="961">
        <v>1</v>
      </c>
      <c r="I494" s="963">
        <v>17102</v>
      </c>
      <c r="J494" s="961">
        <v>1</v>
      </c>
      <c r="K494" s="961">
        <v>23</v>
      </c>
      <c r="L494" s="961">
        <v>1</v>
      </c>
      <c r="M494" s="961">
        <v>4</v>
      </c>
      <c r="N494" s="961" t="s">
        <v>6468</v>
      </c>
      <c r="O494" s="961">
        <v>13</v>
      </c>
      <c r="P494" s="964"/>
      <c r="Q494" s="964">
        <v>20148.330000000002</v>
      </c>
      <c r="R494" s="964">
        <f t="shared" si="9"/>
        <v>20148.330000000002</v>
      </c>
      <c r="S494" s="964">
        <v>45098.33</v>
      </c>
      <c r="T494" s="964">
        <v>45098.33</v>
      </c>
      <c r="U494" s="964">
        <v>45098.33</v>
      </c>
      <c r="V494" s="964">
        <v>45098.33</v>
      </c>
    </row>
    <row r="495" spans="1:22" x14ac:dyDescent="0.25">
      <c r="A495" s="961" t="s">
        <v>6467</v>
      </c>
      <c r="B495" s="961">
        <v>2</v>
      </c>
      <c r="C495" s="961">
        <v>2</v>
      </c>
      <c r="D495" s="961" t="s">
        <v>6436</v>
      </c>
      <c r="E495" s="961" t="s">
        <v>6437</v>
      </c>
      <c r="F495" s="962">
        <v>448</v>
      </c>
      <c r="G495" s="961" t="s">
        <v>741</v>
      </c>
      <c r="H495" s="961">
        <v>1</v>
      </c>
      <c r="I495" s="963">
        <v>17104</v>
      </c>
      <c r="J495" s="961">
        <v>1</v>
      </c>
      <c r="K495" s="961">
        <v>23</v>
      </c>
      <c r="L495" s="961">
        <v>1</v>
      </c>
      <c r="M495" s="961">
        <v>4</v>
      </c>
      <c r="N495" s="961" t="s">
        <v>6468</v>
      </c>
      <c r="O495" s="961">
        <v>13</v>
      </c>
      <c r="P495" s="964">
        <v>565769.23750556691</v>
      </c>
      <c r="Q495" s="964">
        <v>65745.759999999995</v>
      </c>
      <c r="R495" s="964">
        <f t="shared" si="9"/>
        <v>631514.99750556692</v>
      </c>
      <c r="S495" s="964">
        <v>631514.99750556692</v>
      </c>
      <c r="T495" s="964">
        <f>635035-40370</f>
        <v>594665</v>
      </c>
      <c r="U495" s="964">
        <v>487910</v>
      </c>
      <c r="V495" s="964">
        <v>487910</v>
      </c>
    </row>
    <row r="496" spans="1:22" x14ac:dyDescent="0.25">
      <c r="A496" s="961" t="s">
        <v>6467</v>
      </c>
      <c r="B496" s="961">
        <v>2</v>
      </c>
      <c r="C496" s="961">
        <v>2</v>
      </c>
      <c r="D496" s="961" t="s">
        <v>6436</v>
      </c>
      <c r="E496" s="961" t="s">
        <v>6437</v>
      </c>
      <c r="F496" s="962">
        <v>448</v>
      </c>
      <c r="G496" s="961" t="s">
        <v>741</v>
      </c>
      <c r="H496" s="961">
        <v>1</v>
      </c>
      <c r="I496" s="963">
        <v>17105</v>
      </c>
      <c r="J496" s="961">
        <v>1</v>
      </c>
      <c r="K496" s="961">
        <v>23</v>
      </c>
      <c r="L496" s="961">
        <v>1</v>
      </c>
      <c r="M496" s="961">
        <v>4</v>
      </c>
      <c r="N496" s="961" t="s">
        <v>6468</v>
      </c>
      <c r="O496" s="961">
        <v>13</v>
      </c>
      <c r="P496" s="964"/>
      <c r="Q496" s="964">
        <v>124812.51</v>
      </c>
      <c r="R496" s="964">
        <f t="shared" si="9"/>
        <v>124812.51</v>
      </c>
      <c r="S496" s="964">
        <v>124812.51000000001</v>
      </c>
      <c r="T496" s="964">
        <v>124812.51000000001</v>
      </c>
      <c r="U496" s="964">
        <v>124802.51000000001</v>
      </c>
      <c r="V496" s="964">
        <v>124802.51000000001</v>
      </c>
    </row>
    <row r="497" spans="1:22" x14ac:dyDescent="0.25">
      <c r="A497" s="961" t="s">
        <v>6467</v>
      </c>
      <c r="B497" s="961">
        <v>2</v>
      </c>
      <c r="C497" s="961">
        <v>2</v>
      </c>
      <c r="D497" s="961" t="s">
        <v>6436</v>
      </c>
      <c r="E497" s="961" t="s">
        <v>6437</v>
      </c>
      <c r="F497" s="962">
        <v>448</v>
      </c>
      <c r="G497" s="961" t="s">
        <v>741</v>
      </c>
      <c r="H497" s="961">
        <v>1</v>
      </c>
      <c r="I497" s="963">
        <v>21101</v>
      </c>
      <c r="J497" s="961">
        <v>1</v>
      </c>
      <c r="K497" s="961">
        <v>23</v>
      </c>
      <c r="L497" s="961">
        <v>1</v>
      </c>
      <c r="M497" s="961">
        <v>4</v>
      </c>
      <c r="N497" s="961" t="s">
        <v>6468</v>
      </c>
      <c r="O497" s="961">
        <v>13</v>
      </c>
      <c r="P497" s="964">
        <v>957116.54685850709</v>
      </c>
      <c r="Q497" s="964">
        <v>-237287.58000000002</v>
      </c>
      <c r="R497" s="964">
        <f t="shared" si="9"/>
        <v>719828.96685850713</v>
      </c>
      <c r="S497" s="964">
        <v>615983.65</v>
      </c>
      <c r="T497" s="964">
        <v>615983.65</v>
      </c>
      <c r="U497" s="964">
        <v>539401.74</v>
      </c>
      <c r="V497" s="964">
        <v>539401.74</v>
      </c>
    </row>
    <row r="498" spans="1:22" x14ac:dyDescent="0.25">
      <c r="A498" s="961" t="s">
        <v>6467</v>
      </c>
      <c r="B498" s="961">
        <v>2</v>
      </c>
      <c r="C498" s="961">
        <v>2</v>
      </c>
      <c r="D498" s="961" t="s">
        <v>6436</v>
      </c>
      <c r="E498" s="961" t="s">
        <v>6437</v>
      </c>
      <c r="F498" s="962">
        <v>448</v>
      </c>
      <c r="G498" s="961" t="s">
        <v>741</v>
      </c>
      <c r="H498" s="961">
        <v>1</v>
      </c>
      <c r="I498" s="963">
        <v>21201</v>
      </c>
      <c r="J498" s="961">
        <v>1</v>
      </c>
      <c r="K498" s="961">
        <v>23</v>
      </c>
      <c r="L498" s="961">
        <v>1</v>
      </c>
      <c r="M498" s="961">
        <v>4</v>
      </c>
      <c r="N498" s="961" t="s">
        <v>6468</v>
      </c>
      <c r="O498" s="961">
        <v>13</v>
      </c>
      <c r="P498" s="964">
        <v>168654.5260726586</v>
      </c>
      <c r="Q498" s="964">
        <v>-102990.45000000001</v>
      </c>
      <c r="R498" s="964">
        <f t="shared" si="9"/>
        <v>65664.076072658587</v>
      </c>
      <c r="S498" s="964">
        <v>4157.2199999999993</v>
      </c>
      <c r="T498" s="964">
        <v>4157.2199999999993</v>
      </c>
      <c r="U498" s="964">
        <v>4157.2199999999993</v>
      </c>
      <c r="V498" s="964">
        <v>4157.2199999999993</v>
      </c>
    </row>
    <row r="499" spans="1:22" x14ac:dyDescent="0.25">
      <c r="A499" s="961" t="s">
        <v>6467</v>
      </c>
      <c r="B499" s="961">
        <v>2</v>
      </c>
      <c r="C499" s="961">
        <v>2</v>
      </c>
      <c r="D499" s="961" t="s">
        <v>6436</v>
      </c>
      <c r="E499" s="961" t="s">
        <v>6437</v>
      </c>
      <c r="F499" s="962">
        <v>448</v>
      </c>
      <c r="G499" s="961" t="s">
        <v>741</v>
      </c>
      <c r="H499" s="961">
        <v>1</v>
      </c>
      <c r="I499" s="963">
        <v>21401</v>
      </c>
      <c r="J499" s="961">
        <v>1</v>
      </c>
      <c r="K499" s="961">
        <v>23</v>
      </c>
      <c r="L499" s="961">
        <v>1</v>
      </c>
      <c r="M499" s="961">
        <v>4</v>
      </c>
      <c r="N499" s="961" t="s">
        <v>6468</v>
      </c>
      <c r="O499" s="961">
        <v>13</v>
      </c>
      <c r="P499" s="964">
        <v>282496.10178076691</v>
      </c>
      <c r="Q499" s="964">
        <v>-127696.64</v>
      </c>
      <c r="R499" s="964">
        <f t="shared" si="9"/>
        <v>154799.4617807669</v>
      </c>
      <c r="S499" s="964">
        <v>130505.20999999999</v>
      </c>
      <c r="T499" s="964">
        <v>130505.20999999999</v>
      </c>
      <c r="U499" s="964">
        <v>128225.81</v>
      </c>
      <c r="V499" s="964">
        <v>128225.81</v>
      </c>
    </row>
    <row r="500" spans="1:22" x14ac:dyDescent="0.25">
      <c r="A500" s="961" t="s">
        <v>6467</v>
      </c>
      <c r="B500" s="961">
        <v>2</v>
      </c>
      <c r="C500" s="961">
        <v>2</v>
      </c>
      <c r="D500" s="961" t="s">
        <v>6436</v>
      </c>
      <c r="E500" s="961" t="s">
        <v>6437</v>
      </c>
      <c r="F500" s="962">
        <v>448</v>
      </c>
      <c r="G500" s="961" t="s">
        <v>741</v>
      </c>
      <c r="H500" s="961">
        <v>1</v>
      </c>
      <c r="I500" s="963">
        <v>21502</v>
      </c>
      <c r="J500" s="961">
        <v>1</v>
      </c>
      <c r="K500" s="961">
        <v>23</v>
      </c>
      <c r="L500" s="961">
        <v>1</v>
      </c>
      <c r="M500" s="961">
        <v>4</v>
      </c>
      <c r="N500" s="961" t="s">
        <v>6468</v>
      </c>
      <c r="O500" s="961">
        <v>13</v>
      </c>
      <c r="P500" s="964">
        <v>29639.360000000001</v>
      </c>
      <c r="Q500" s="964">
        <v>6700</v>
      </c>
      <c r="R500" s="964">
        <f t="shared" si="9"/>
        <v>36339.360000000001</v>
      </c>
      <c r="S500" s="964">
        <v>36270.28</v>
      </c>
      <c r="T500" s="964">
        <v>36270.28</v>
      </c>
      <c r="U500" s="964">
        <v>36270.28</v>
      </c>
      <c r="V500" s="964">
        <v>36270.28</v>
      </c>
    </row>
    <row r="501" spans="1:22" x14ac:dyDescent="0.25">
      <c r="A501" s="961" t="s">
        <v>6467</v>
      </c>
      <c r="B501" s="961">
        <v>2</v>
      </c>
      <c r="C501" s="961">
        <v>2</v>
      </c>
      <c r="D501" s="961" t="s">
        <v>6436</v>
      </c>
      <c r="E501" s="961" t="s">
        <v>6437</v>
      </c>
      <c r="F501" s="962">
        <v>448</v>
      </c>
      <c r="G501" s="961" t="s">
        <v>741</v>
      </c>
      <c r="H501" s="961">
        <v>1</v>
      </c>
      <c r="I501" s="963">
        <v>21601</v>
      </c>
      <c r="J501" s="961">
        <v>1</v>
      </c>
      <c r="K501" s="961">
        <v>23</v>
      </c>
      <c r="L501" s="961">
        <v>1</v>
      </c>
      <c r="M501" s="961">
        <v>4</v>
      </c>
      <c r="N501" s="961" t="s">
        <v>6468</v>
      </c>
      <c r="O501" s="961">
        <v>13</v>
      </c>
      <c r="P501" s="964">
        <v>245294.85859059572</v>
      </c>
      <c r="Q501" s="964">
        <v>-35062.97</v>
      </c>
      <c r="R501" s="964">
        <f t="shared" si="9"/>
        <v>210231.88859059571</v>
      </c>
      <c r="S501" s="964">
        <v>86563.63</v>
      </c>
      <c r="T501" s="964">
        <v>86563.63</v>
      </c>
      <c r="U501" s="964">
        <v>82791.969999999987</v>
      </c>
      <c r="V501" s="964">
        <v>82791.969999999987</v>
      </c>
    </row>
    <row r="502" spans="1:22" x14ac:dyDescent="0.25">
      <c r="A502" s="961" t="s">
        <v>6467</v>
      </c>
      <c r="B502" s="961">
        <v>2</v>
      </c>
      <c r="C502" s="961">
        <v>2</v>
      </c>
      <c r="D502" s="961" t="s">
        <v>6436</v>
      </c>
      <c r="E502" s="961" t="s">
        <v>6437</v>
      </c>
      <c r="F502" s="962">
        <v>448</v>
      </c>
      <c r="G502" s="961" t="s">
        <v>741</v>
      </c>
      <c r="H502" s="961">
        <v>1</v>
      </c>
      <c r="I502" s="963">
        <v>21801</v>
      </c>
      <c r="J502" s="961">
        <v>1</v>
      </c>
      <c r="K502" s="961">
        <v>23</v>
      </c>
      <c r="L502" s="961">
        <v>1</v>
      </c>
      <c r="M502" s="961">
        <v>4</v>
      </c>
      <c r="N502" s="961" t="s">
        <v>6468</v>
      </c>
      <c r="O502" s="961">
        <v>13</v>
      </c>
      <c r="P502" s="964">
        <v>210690.57843528775</v>
      </c>
      <c r="Q502" s="964">
        <v>-5115.4900000000016</v>
      </c>
      <c r="R502" s="964">
        <f t="shared" si="9"/>
        <v>205575.08843528776</v>
      </c>
      <c r="S502" s="964">
        <v>186447</v>
      </c>
      <c r="T502" s="964">
        <v>186447</v>
      </c>
      <c r="U502" s="964">
        <v>186447</v>
      </c>
      <c r="V502" s="964">
        <v>186447</v>
      </c>
    </row>
    <row r="503" spans="1:22" x14ac:dyDescent="0.25">
      <c r="A503" s="961" t="s">
        <v>6467</v>
      </c>
      <c r="B503" s="961">
        <v>2</v>
      </c>
      <c r="C503" s="961">
        <v>2</v>
      </c>
      <c r="D503" s="961" t="s">
        <v>6436</v>
      </c>
      <c r="E503" s="961" t="s">
        <v>6437</v>
      </c>
      <c r="F503" s="962">
        <v>448</v>
      </c>
      <c r="G503" s="961" t="s">
        <v>741</v>
      </c>
      <c r="H503" s="961">
        <v>1</v>
      </c>
      <c r="I503" s="963">
        <v>22101</v>
      </c>
      <c r="J503" s="961">
        <v>1</v>
      </c>
      <c r="K503" s="961">
        <v>23</v>
      </c>
      <c r="L503" s="961">
        <v>1</v>
      </c>
      <c r="M503" s="961">
        <v>4</v>
      </c>
      <c r="N503" s="961" t="s">
        <v>6468</v>
      </c>
      <c r="O503" s="961">
        <v>13</v>
      </c>
      <c r="P503" s="964">
        <v>353699.57399164216</v>
      </c>
      <c r="Q503" s="964">
        <v>-96786.310000000012</v>
      </c>
      <c r="R503" s="964">
        <f t="shared" si="9"/>
        <v>256913.26399164216</v>
      </c>
      <c r="S503" s="964">
        <v>231015.85</v>
      </c>
      <c r="T503" s="964">
        <v>231015.85</v>
      </c>
      <c r="U503" s="964">
        <v>231015.85</v>
      </c>
      <c r="V503" s="964">
        <v>231015.85</v>
      </c>
    </row>
    <row r="504" spans="1:22" x14ac:dyDescent="0.25">
      <c r="A504" s="961" t="s">
        <v>6467</v>
      </c>
      <c r="B504" s="961">
        <v>2</v>
      </c>
      <c r="C504" s="961">
        <v>2</v>
      </c>
      <c r="D504" s="961" t="s">
        <v>6436</v>
      </c>
      <c r="E504" s="961" t="s">
        <v>6437</v>
      </c>
      <c r="F504" s="962">
        <v>448</v>
      </c>
      <c r="G504" s="961" t="s">
        <v>741</v>
      </c>
      <c r="H504" s="961">
        <v>1</v>
      </c>
      <c r="I504" s="963">
        <v>22106</v>
      </c>
      <c r="J504" s="961">
        <v>1</v>
      </c>
      <c r="K504" s="961">
        <v>23</v>
      </c>
      <c r="L504" s="961">
        <v>1</v>
      </c>
      <c r="M504" s="961">
        <v>4</v>
      </c>
      <c r="N504" s="961" t="s">
        <v>6468</v>
      </c>
      <c r="O504" s="961">
        <v>13</v>
      </c>
      <c r="P504" s="964">
        <v>198594.21303427962</v>
      </c>
      <c r="Q504" s="964">
        <v>-48460.130000000005</v>
      </c>
      <c r="R504" s="964">
        <f t="shared" si="9"/>
        <v>150134.08303427961</v>
      </c>
      <c r="S504" s="964">
        <v>117755.6</v>
      </c>
      <c r="T504" s="964">
        <v>117755.6</v>
      </c>
      <c r="U504" s="964">
        <v>37087</v>
      </c>
      <c r="V504" s="964">
        <v>37087</v>
      </c>
    </row>
    <row r="505" spans="1:22" x14ac:dyDescent="0.25">
      <c r="A505" s="961" t="s">
        <v>6467</v>
      </c>
      <c r="B505" s="961">
        <v>2</v>
      </c>
      <c r="C505" s="961">
        <v>2</v>
      </c>
      <c r="D505" s="961" t="s">
        <v>6436</v>
      </c>
      <c r="E505" s="961" t="s">
        <v>6437</v>
      </c>
      <c r="F505" s="962">
        <v>448</v>
      </c>
      <c r="G505" s="961" t="s">
        <v>741</v>
      </c>
      <c r="H505" s="961">
        <v>1</v>
      </c>
      <c r="I505" s="963">
        <v>22301</v>
      </c>
      <c r="J505" s="961">
        <v>1</v>
      </c>
      <c r="K505" s="961">
        <v>23</v>
      </c>
      <c r="L505" s="961">
        <v>1</v>
      </c>
      <c r="M505" s="961">
        <v>4</v>
      </c>
      <c r="N505" s="961" t="s">
        <v>6468</v>
      </c>
      <c r="O505" s="961">
        <v>13</v>
      </c>
      <c r="P505" s="964">
        <v>5508.6117759999997</v>
      </c>
      <c r="Q505" s="964">
        <v>-2000</v>
      </c>
      <c r="R505" s="964">
        <f t="shared" si="9"/>
        <v>3508.6117759999997</v>
      </c>
      <c r="S505" s="964">
        <v>3427.54</v>
      </c>
      <c r="T505" s="964">
        <v>3427.54</v>
      </c>
      <c r="U505" s="964">
        <v>3427.54</v>
      </c>
      <c r="V505" s="964">
        <v>3427.54</v>
      </c>
    </row>
    <row r="506" spans="1:22" x14ac:dyDescent="0.25">
      <c r="A506" s="961" t="s">
        <v>6467</v>
      </c>
      <c r="B506" s="961">
        <v>2</v>
      </c>
      <c r="C506" s="961">
        <v>2</v>
      </c>
      <c r="D506" s="961" t="s">
        <v>6436</v>
      </c>
      <c r="E506" s="961" t="s">
        <v>6437</v>
      </c>
      <c r="F506" s="962">
        <v>448</v>
      </c>
      <c r="G506" s="961" t="s">
        <v>741</v>
      </c>
      <c r="H506" s="961">
        <v>1</v>
      </c>
      <c r="I506" s="963">
        <v>23901</v>
      </c>
      <c r="J506" s="961">
        <v>1</v>
      </c>
      <c r="K506" s="961">
        <v>23</v>
      </c>
      <c r="L506" s="961">
        <v>1</v>
      </c>
      <c r="M506" s="961">
        <v>4</v>
      </c>
      <c r="N506" s="961" t="s">
        <v>6468</v>
      </c>
      <c r="O506" s="961">
        <v>13</v>
      </c>
      <c r="P506" s="964">
        <v>2245216.0910823718</v>
      </c>
      <c r="Q506" s="964">
        <v>6598564.0999999996</v>
      </c>
      <c r="R506" s="964">
        <f t="shared" si="9"/>
        <v>8843780.1910823714</v>
      </c>
      <c r="S506" s="964">
        <v>8843780.1910823714</v>
      </c>
      <c r="T506" s="964">
        <v>6692647.6399999997</v>
      </c>
      <c r="U506" s="964">
        <v>6182328.3700000001</v>
      </c>
      <c r="V506" s="964">
        <v>6182328.3700000001</v>
      </c>
    </row>
    <row r="507" spans="1:22" x14ac:dyDescent="0.25">
      <c r="A507" s="961" t="s">
        <v>6467</v>
      </c>
      <c r="B507" s="961">
        <v>2</v>
      </c>
      <c r="C507" s="961">
        <v>2</v>
      </c>
      <c r="D507" s="961" t="s">
        <v>6436</v>
      </c>
      <c r="E507" s="961" t="s">
        <v>6437</v>
      </c>
      <c r="F507" s="962">
        <v>448</v>
      </c>
      <c r="G507" s="961" t="s">
        <v>741</v>
      </c>
      <c r="H507" s="961">
        <v>1</v>
      </c>
      <c r="I507" s="963">
        <v>24201</v>
      </c>
      <c r="J507" s="961">
        <v>1</v>
      </c>
      <c r="K507" s="961">
        <v>23</v>
      </c>
      <c r="L507" s="961">
        <v>1</v>
      </c>
      <c r="M507" s="961">
        <v>4</v>
      </c>
      <c r="N507" s="961" t="s">
        <v>6468</v>
      </c>
      <c r="O507" s="961">
        <v>13</v>
      </c>
      <c r="P507" s="964">
        <v>163493.84939414894</v>
      </c>
      <c r="Q507" s="964">
        <v>-52992.81</v>
      </c>
      <c r="R507" s="964">
        <f t="shared" si="9"/>
        <v>110501.03939414895</v>
      </c>
      <c r="S507" s="964">
        <v>81869.87</v>
      </c>
      <c r="T507" s="964">
        <v>81869.87</v>
      </c>
      <c r="U507" s="964">
        <v>81869.87</v>
      </c>
      <c r="V507" s="964">
        <v>81869.87</v>
      </c>
    </row>
    <row r="508" spans="1:22" x14ac:dyDescent="0.25">
      <c r="A508" s="961" t="s">
        <v>6467</v>
      </c>
      <c r="B508" s="961">
        <v>2</v>
      </c>
      <c r="C508" s="961">
        <v>2</v>
      </c>
      <c r="D508" s="961" t="s">
        <v>6436</v>
      </c>
      <c r="E508" s="961" t="s">
        <v>6437</v>
      </c>
      <c r="F508" s="962">
        <v>448</v>
      </c>
      <c r="G508" s="961" t="s">
        <v>741</v>
      </c>
      <c r="H508" s="961">
        <v>1</v>
      </c>
      <c r="I508" s="963">
        <v>24601</v>
      </c>
      <c r="J508" s="961">
        <v>1</v>
      </c>
      <c r="K508" s="961">
        <v>23</v>
      </c>
      <c r="L508" s="961">
        <v>1</v>
      </c>
      <c r="M508" s="961">
        <v>4</v>
      </c>
      <c r="N508" s="961" t="s">
        <v>6468</v>
      </c>
      <c r="O508" s="961">
        <v>13</v>
      </c>
      <c r="P508" s="964">
        <v>702973.12374342547</v>
      </c>
      <c r="Q508" s="964">
        <v>-99112.109999999986</v>
      </c>
      <c r="R508" s="964">
        <f t="shared" si="9"/>
        <v>603861.01374342549</v>
      </c>
      <c r="S508" s="964">
        <v>549366.17000000004</v>
      </c>
      <c r="T508" s="964">
        <v>549366.17000000004</v>
      </c>
      <c r="U508" s="964">
        <v>546616.11</v>
      </c>
      <c r="V508" s="964">
        <v>546616.11</v>
      </c>
    </row>
    <row r="509" spans="1:22" x14ac:dyDescent="0.25">
      <c r="A509" s="961" t="s">
        <v>6467</v>
      </c>
      <c r="B509" s="961">
        <v>2</v>
      </c>
      <c r="C509" s="961">
        <v>2</v>
      </c>
      <c r="D509" s="961" t="s">
        <v>6436</v>
      </c>
      <c r="E509" s="961" t="s">
        <v>6437</v>
      </c>
      <c r="F509" s="962">
        <v>448</v>
      </c>
      <c r="G509" s="961" t="s">
        <v>741</v>
      </c>
      <c r="H509" s="961">
        <v>1</v>
      </c>
      <c r="I509" s="963">
        <v>24901</v>
      </c>
      <c r="J509" s="961">
        <v>1</v>
      </c>
      <c r="K509" s="961">
        <v>23</v>
      </c>
      <c r="L509" s="961">
        <v>1</v>
      </c>
      <c r="M509" s="961">
        <v>4</v>
      </c>
      <c r="N509" s="961" t="s">
        <v>6468</v>
      </c>
      <c r="O509" s="961">
        <v>13</v>
      </c>
      <c r="P509" s="964"/>
      <c r="Q509" s="964"/>
      <c r="R509" s="964">
        <f t="shared" si="9"/>
        <v>0</v>
      </c>
      <c r="S509" s="964"/>
      <c r="T509" s="964"/>
      <c r="U509" s="964"/>
      <c r="V509" s="964"/>
    </row>
    <row r="510" spans="1:22" x14ac:dyDescent="0.25">
      <c r="A510" s="961" t="s">
        <v>6467</v>
      </c>
      <c r="B510" s="961">
        <v>2</v>
      </c>
      <c r="C510" s="961">
        <v>2</v>
      </c>
      <c r="D510" s="961" t="s">
        <v>6436</v>
      </c>
      <c r="E510" s="961" t="s">
        <v>6437</v>
      </c>
      <c r="F510" s="962">
        <v>448</v>
      </c>
      <c r="G510" s="961" t="s">
        <v>741</v>
      </c>
      <c r="H510" s="961">
        <v>1</v>
      </c>
      <c r="I510" s="963">
        <v>25201</v>
      </c>
      <c r="J510" s="961">
        <v>1</v>
      </c>
      <c r="K510" s="961">
        <v>23</v>
      </c>
      <c r="L510" s="961">
        <v>1</v>
      </c>
      <c r="M510" s="961">
        <v>4</v>
      </c>
      <c r="N510" s="961" t="s">
        <v>6468</v>
      </c>
      <c r="O510" s="961">
        <v>13</v>
      </c>
      <c r="P510" s="964">
        <v>5000</v>
      </c>
      <c r="Q510" s="964">
        <v>0</v>
      </c>
      <c r="R510" s="964">
        <f t="shared" si="9"/>
        <v>5000</v>
      </c>
      <c r="S510" s="964">
        <v>699</v>
      </c>
      <c r="T510" s="964">
        <v>699</v>
      </c>
      <c r="U510" s="964">
        <v>699</v>
      </c>
      <c r="V510" s="964">
        <v>699</v>
      </c>
    </row>
    <row r="511" spans="1:22" x14ac:dyDescent="0.25">
      <c r="A511" s="961" t="s">
        <v>6467</v>
      </c>
      <c r="B511" s="961">
        <v>2</v>
      </c>
      <c r="C511" s="961">
        <v>2</v>
      </c>
      <c r="D511" s="961" t="s">
        <v>6436</v>
      </c>
      <c r="E511" s="961" t="s">
        <v>6437</v>
      </c>
      <c r="F511" s="962">
        <v>448</v>
      </c>
      <c r="G511" s="961" t="s">
        <v>741</v>
      </c>
      <c r="H511" s="961">
        <v>1</v>
      </c>
      <c r="I511" s="963">
        <v>25301</v>
      </c>
      <c r="J511" s="961">
        <v>1</v>
      </c>
      <c r="K511" s="961">
        <v>23</v>
      </c>
      <c r="L511" s="961">
        <v>1</v>
      </c>
      <c r="M511" s="961">
        <v>4</v>
      </c>
      <c r="N511" s="961" t="s">
        <v>6468</v>
      </c>
      <c r="O511" s="961">
        <v>13</v>
      </c>
      <c r="P511" s="964">
        <v>70401.563938351086</v>
      </c>
      <c r="Q511" s="964">
        <v>-47877.62</v>
      </c>
      <c r="R511" s="964">
        <f t="shared" si="9"/>
        <v>22523.943938351083</v>
      </c>
      <c r="S511" s="964">
        <v>3686.16</v>
      </c>
      <c r="T511" s="964">
        <v>3686.16</v>
      </c>
      <c r="U511" s="964">
        <v>3686.16</v>
      </c>
      <c r="V511" s="964">
        <v>3686.16</v>
      </c>
    </row>
    <row r="512" spans="1:22" x14ac:dyDescent="0.25">
      <c r="A512" s="961" t="s">
        <v>6467</v>
      </c>
      <c r="B512" s="961">
        <v>2</v>
      </c>
      <c r="C512" s="961">
        <v>2</v>
      </c>
      <c r="D512" s="961" t="s">
        <v>6436</v>
      </c>
      <c r="E512" s="961" t="s">
        <v>6437</v>
      </c>
      <c r="F512" s="962">
        <v>448</v>
      </c>
      <c r="G512" s="961" t="s">
        <v>741</v>
      </c>
      <c r="H512" s="961">
        <v>1</v>
      </c>
      <c r="I512" s="963">
        <v>25901</v>
      </c>
      <c r="J512" s="961">
        <v>1</v>
      </c>
      <c r="K512" s="961">
        <v>23</v>
      </c>
      <c r="L512" s="961">
        <v>1</v>
      </c>
      <c r="M512" s="961">
        <v>4</v>
      </c>
      <c r="N512" s="961" t="s">
        <v>6468</v>
      </c>
      <c r="O512" s="971">
        <v>13</v>
      </c>
      <c r="P512" s="964">
        <v>3577541.7689470001</v>
      </c>
      <c r="Q512" s="964">
        <f>1851243.72+450000</f>
        <v>2301243.7199999997</v>
      </c>
      <c r="R512" s="964">
        <f t="shared" si="9"/>
        <v>5878785.4889470004</v>
      </c>
      <c r="S512" s="964">
        <v>5428785.4889470004</v>
      </c>
      <c r="T512" s="964">
        <v>1854244.96</v>
      </c>
      <c r="U512" s="964">
        <v>1508356.16</v>
      </c>
      <c r="V512" s="964">
        <v>1508356.16</v>
      </c>
    </row>
    <row r="513" spans="1:22" x14ac:dyDescent="0.25">
      <c r="A513" s="961" t="s">
        <v>6467</v>
      </c>
      <c r="B513" s="961">
        <v>2</v>
      </c>
      <c r="C513" s="961">
        <v>2</v>
      </c>
      <c r="D513" s="961" t="s">
        <v>6436</v>
      </c>
      <c r="E513" s="961" t="s">
        <v>6437</v>
      </c>
      <c r="F513" s="962">
        <v>448</v>
      </c>
      <c r="G513" s="961" t="s">
        <v>741</v>
      </c>
      <c r="H513" s="961">
        <v>1</v>
      </c>
      <c r="I513" s="963">
        <v>26101</v>
      </c>
      <c r="J513" s="961">
        <v>1</v>
      </c>
      <c r="K513" s="961">
        <v>23</v>
      </c>
      <c r="L513" s="961">
        <v>1</v>
      </c>
      <c r="M513" s="961">
        <v>4</v>
      </c>
      <c r="N513" s="961" t="s">
        <v>6468</v>
      </c>
      <c r="O513" s="961">
        <v>13</v>
      </c>
      <c r="P513" s="964">
        <v>8558746.6127386317</v>
      </c>
      <c r="Q513" s="964">
        <v>2339371.0299999998</v>
      </c>
      <c r="R513" s="964">
        <f t="shared" si="9"/>
        <v>10898117.642738631</v>
      </c>
      <c r="S513" s="964">
        <v>10898117.642738631</v>
      </c>
      <c r="T513" s="964">
        <v>9353317.5</v>
      </c>
      <c r="U513" s="964">
        <v>9353317.5</v>
      </c>
      <c r="V513" s="964">
        <v>8894717.209999999</v>
      </c>
    </row>
    <row r="514" spans="1:22" x14ac:dyDescent="0.25">
      <c r="A514" s="961" t="s">
        <v>6467</v>
      </c>
      <c r="B514" s="961">
        <v>2</v>
      </c>
      <c r="C514" s="961">
        <v>2</v>
      </c>
      <c r="D514" s="961" t="s">
        <v>6436</v>
      </c>
      <c r="E514" s="961" t="s">
        <v>6437</v>
      </c>
      <c r="F514" s="962">
        <v>448</v>
      </c>
      <c r="G514" s="961" t="s">
        <v>741</v>
      </c>
      <c r="H514" s="961">
        <v>1</v>
      </c>
      <c r="I514" s="963">
        <v>26102</v>
      </c>
      <c r="J514" s="961">
        <v>1</v>
      </c>
      <c r="K514" s="961">
        <v>23</v>
      </c>
      <c r="L514" s="961">
        <v>1</v>
      </c>
      <c r="M514" s="961">
        <v>4</v>
      </c>
      <c r="N514" s="961" t="s">
        <v>6468</v>
      </c>
      <c r="O514" s="961">
        <v>13</v>
      </c>
      <c r="P514" s="964">
        <v>806557.17059907247</v>
      </c>
      <c r="Q514" s="964">
        <v>295302.09999999998</v>
      </c>
      <c r="R514" s="964">
        <f t="shared" si="9"/>
        <v>1101859.2705990723</v>
      </c>
      <c r="S514" s="964">
        <v>1095240.51</v>
      </c>
      <c r="T514" s="964">
        <v>1095240.51</v>
      </c>
      <c r="U514" s="964">
        <v>909593.73</v>
      </c>
      <c r="V514" s="964">
        <v>909593.73</v>
      </c>
    </row>
    <row r="515" spans="1:22" x14ac:dyDescent="0.25">
      <c r="A515" s="961" t="s">
        <v>6467</v>
      </c>
      <c r="B515" s="961">
        <v>2</v>
      </c>
      <c r="C515" s="961">
        <v>2</v>
      </c>
      <c r="D515" s="961" t="s">
        <v>6436</v>
      </c>
      <c r="E515" s="961" t="s">
        <v>6437</v>
      </c>
      <c r="F515" s="962">
        <v>448</v>
      </c>
      <c r="G515" s="961" t="s">
        <v>741</v>
      </c>
      <c r="H515" s="961">
        <v>1</v>
      </c>
      <c r="I515" s="963">
        <v>27101</v>
      </c>
      <c r="J515" s="961">
        <v>1</v>
      </c>
      <c r="K515" s="961">
        <v>23</v>
      </c>
      <c r="L515" s="961">
        <v>1</v>
      </c>
      <c r="M515" s="961">
        <v>4</v>
      </c>
      <c r="N515" s="961" t="s">
        <v>6468</v>
      </c>
      <c r="O515" s="961">
        <v>13</v>
      </c>
      <c r="P515" s="964">
        <v>2424289.7799831475</v>
      </c>
      <c r="Q515" s="964">
        <v>-917327.16999999993</v>
      </c>
      <c r="R515" s="964">
        <f t="shared" si="9"/>
        <v>1506962.6099831476</v>
      </c>
      <c r="S515" s="964">
        <v>966707.24</v>
      </c>
      <c r="T515" s="964">
        <v>966707.24</v>
      </c>
      <c r="U515" s="964">
        <v>373149.12</v>
      </c>
      <c r="V515" s="964">
        <v>373149.12</v>
      </c>
    </row>
    <row r="516" spans="1:22" x14ac:dyDescent="0.25">
      <c r="A516" s="961" t="s">
        <v>6467</v>
      </c>
      <c r="B516" s="961">
        <v>2</v>
      </c>
      <c r="C516" s="961">
        <v>2</v>
      </c>
      <c r="D516" s="961" t="s">
        <v>6436</v>
      </c>
      <c r="E516" s="961" t="s">
        <v>6437</v>
      </c>
      <c r="F516" s="962">
        <v>448</v>
      </c>
      <c r="G516" s="961" t="s">
        <v>741</v>
      </c>
      <c r="H516" s="961">
        <v>1</v>
      </c>
      <c r="I516" s="963">
        <v>27201</v>
      </c>
      <c r="J516" s="961">
        <v>1</v>
      </c>
      <c r="K516" s="961">
        <v>23</v>
      </c>
      <c r="L516" s="961">
        <v>1</v>
      </c>
      <c r="M516" s="961">
        <v>4</v>
      </c>
      <c r="N516" s="961" t="s">
        <v>6468</v>
      </c>
      <c r="O516" s="961">
        <v>13</v>
      </c>
      <c r="P516" s="964">
        <v>201491.23668541433</v>
      </c>
      <c r="Q516" s="964">
        <v>-83646.350000000006</v>
      </c>
      <c r="R516" s="964">
        <f t="shared" si="9"/>
        <v>117844.88668541433</v>
      </c>
      <c r="S516" s="964">
        <v>88977.88</v>
      </c>
      <c r="T516" s="964">
        <v>88977.88</v>
      </c>
      <c r="U516" s="964">
        <v>84448.83</v>
      </c>
      <c r="V516" s="964">
        <v>84448.83</v>
      </c>
    </row>
    <row r="517" spans="1:22" x14ac:dyDescent="0.25">
      <c r="A517" s="961" t="s">
        <v>6467</v>
      </c>
      <c r="B517" s="961">
        <v>2</v>
      </c>
      <c r="C517" s="961">
        <v>2</v>
      </c>
      <c r="D517" s="961" t="s">
        <v>6436</v>
      </c>
      <c r="E517" s="961" t="s">
        <v>6437</v>
      </c>
      <c r="F517" s="962">
        <v>448</v>
      </c>
      <c r="G517" s="961" t="s">
        <v>741</v>
      </c>
      <c r="H517" s="961">
        <v>1</v>
      </c>
      <c r="I517" s="963">
        <v>29101</v>
      </c>
      <c r="J517" s="961">
        <v>1</v>
      </c>
      <c r="K517" s="961">
        <v>23</v>
      </c>
      <c r="L517" s="961">
        <v>1</v>
      </c>
      <c r="M517" s="961">
        <v>4</v>
      </c>
      <c r="N517" s="961" t="s">
        <v>6468</v>
      </c>
      <c r="O517" s="961">
        <v>13</v>
      </c>
      <c r="P517" s="964">
        <v>306080.07124442363</v>
      </c>
      <c r="Q517" s="964">
        <v>-76608.149999999994</v>
      </c>
      <c r="R517" s="964">
        <f t="shared" si="9"/>
        <v>229471.92124442363</v>
      </c>
      <c r="S517" s="964">
        <v>203058.63</v>
      </c>
      <c r="T517" s="964">
        <v>203058.63</v>
      </c>
      <c r="U517" s="964">
        <v>196577.65999999997</v>
      </c>
      <c r="V517" s="964">
        <v>196577.65999999997</v>
      </c>
    </row>
    <row r="518" spans="1:22" x14ac:dyDescent="0.25">
      <c r="A518" s="961" t="s">
        <v>6467</v>
      </c>
      <c r="B518" s="961">
        <v>2</v>
      </c>
      <c r="C518" s="961">
        <v>2</v>
      </c>
      <c r="D518" s="961" t="s">
        <v>6436</v>
      </c>
      <c r="E518" s="961" t="s">
        <v>6437</v>
      </c>
      <c r="F518" s="962">
        <v>448</v>
      </c>
      <c r="G518" s="961" t="s">
        <v>741</v>
      </c>
      <c r="H518" s="961">
        <v>1</v>
      </c>
      <c r="I518" s="963">
        <v>29201</v>
      </c>
      <c r="J518" s="961">
        <v>1</v>
      </c>
      <c r="K518" s="961">
        <v>23</v>
      </c>
      <c r="L518" s="961">
        <v>1</v>
      </c>
      <c r="M518" s="961">
        <v>4</v>
      </c>
      <c r="N518" s="961" t="s">
        <v>6468</v>
      </c>
      <c r="O518" s="961">
        <v>13</v>
      </c>
      <c r="P518" s="964">
        <v>15379.478810679859</v>
      </c>
      <c r="Q518" s="964">
        <v>-10000</v>
      </c>
      <c r="R518" s="964">
        <f t="shared" si="9"/>
        <v>5379.4788106798587</v>
      </c>
      <c r="S518" s="964">
        <v>256</v>
      </c>
      <c r="T518" s="964">
        <v>256</v>
      </c>
      <c r="U518" s="964">
        <v>256</v>
      </c>
      <c r="V518" s="964">
        <v>256</v>
      </c>
    </row>
    <row r="519" spans="1:22" x14ac:dyDescent="0.25">
      <c r="A519" s="961" t="s">
        <v>6467</v>
      </c>
      <c r="B519" s="961">
        <v>2</v>
      </c>
      <c r="C519" s="961">
        <v>2</v>
      </c>
      <c r="D519" s="961" t="s">
        <v>6436</v>
      </c>
      <c r="E519" s="961" t="s">
        <v>6437</v>
      </c>
      <c r="F519" s="962">
        <v>448</v>
      </c>
      <c r="G519" s="961" t="s">
        <v>741</v>
      </c>
      <c r="H519" s="961">
        <v>1</v>
      </c>
      <c r="I519" s="963">
        <v>29301</v>
      </c>
      <c r="J519" s="961">
        <v>1</v>
      </c>
      <c r="K519" s="961">
        <v>23</v>
      </c>
      <c r="L519" s="961">
        <v>1</v>
      </c>
      <c r="M519" s="961">
        <v>4</v>
      </c>
      <c r="N519" s="961" t="s">
        <v>6468</v>
      </c>
      <c r="O519" s="961">
        <v>13</v>
      </c>
      <c r="P519" s="964">
        <v>9668.3007231149786</v>
      </c>
      <c r="Q519" s="964">
        <v>-8000</v>
      </c>
      <c r="R519" s="964">
        <f t="shared" si="9"/>
        <v>1668.3007231149786</v>
      </c>
      <c r="S519" s="964"/>
      <c r="T519" s="964"/>
      <c r="U519" s="964"/>
      <c r="V519" s="964"/>
    </row>
    <row r="520" spans="1:22" x14ac:dyDescent="0.25">
      <c r="A520" s="961" t="s">
        <v>6467</v>
      </c>
      <c r="B520" s="961">
        <v>2</v>
      </c>
      <c r="C520" s="961">
        <v>2</v>
      </c>
      <c r="D520" s="961" t="s">
        <v>6436</v>
      </c>
      <c r="E520" s="961" t="s">
        <v>6437</v>
      </c>
      <c r="F520" s="962">
        <v>448</v>
      </c>
      <c r="G520" s="961" t="s">
        <v>741</v>
      </c>
      <c r="H520" s="961">
        <v>1</v>
      </c>
      <c r="I520" s="963">
        <v>29401</v>
      </c>
      <c r="J520" s="961">
        <v>1</v>
      </c>
      <c r="K520" s="961">
        <v>23</v>
      </c>
      <c r="L520" s="961">
        <v>1</v>
      </c>
      <c r="M520" s="961">
        <v>4</v>
      </c>
      <c r="N520" s="961" t="s">
        <v>6468</v>
      </c>
      <c r="O520" s="971">
        <v>13</v>
      </c>
      <c r="P520" s="964">
        <v>91992.065722731626</v>
      </c>
      <c r="Q520" s="964">
        <v>-2477.2199999999998</v>
      </c>
      <c r="R520" s="964">
        <f t="shared" si="9"/>
        <v>89514.845722731625</v>
      </c>
      <c r="S520" s="964">
        <v>2753.01</v>
      </c>
      <c r="T520" s="964">
        <v>2753.01</v>
      </c>
      <c r="U520" s="964">
        <v>2753.01</v>
      </c>
      <c r="V520" s="964">
        <v>2753.01</v>
      </c>
    </row>
    <row r="521" spans="1:22" x14ac:dyDescent="0.25">
      <c r="A521" s="961" t="s">
        <v>6467</v>
      </c>
      <c r="B521" s="961">
        <v>2</v>
      </c>
      <c r="C521" s="961">
        <v>2</v>
      </c>
      <c r="D521" s="961" t="s">
        <v>6436</v>
      </c>
      <c r="E521" s="961" t="s">
        <v>6437</v>
      </c>
      <c r="F521" s="962">
        <v>448</v>
      </c>
      <c r="G521" s="961" t="s">
        <v>741</v>
      </c>
      <c r="H521" s="961">
        <v>1</v>
      </c>
      <c r="I521" s="963">
        <v>29601</v>
      </c>
      <c r="J521" s="961">
        <v>1</v>
      </c>
      <c r="K521" s="961">
        <v>23</v>
      </c>
      <c r="L521" s="961">
        <v>1</v>
      </c>
      <c r="M521" s="961">
        <v>4</v>
      </c>
      <c r="N521" s="961" t="s">
        <v>6468</v>
      </c>
      <c r="O521" s="971">
        <v>13</v>
      </c>
      <c r="P521" s="964">
        <v>788663.40633959882</v>
      </c>
      <c r="Q521" s="964">
        <v>1307487.29</v>
      </c>
      <c r="R521" s="964">
        <f t="shared" si="9"/>
        <v>2096150.6963395989</v>
      </c>
      <c r="S521" s="964">
        <v>2018965.05</v>
      </c>
      <c r="T521" s="964">
        <v>2018965.05</v>
      </c>
      <c r="U521" s="964">
        <v>1888443.81</v>
      </c>
      <c r="V521" s="964">
        <v>1888443.81</v>
      </c>
    </row>
    <row r="522" spans="1:22" x14ac:dyDescent="0.25">
      <c r="A522" s="961" t="s">
        <v>6467</v>
      </c>
      <c r="B522" s="961">
        <v>2</v>
      </c>
      <c r="C522" s="961">
        <v>2</v>
      </c>
      <c r="D522" s="961" t="s">
        <v>6436</v>
      </c>
      <c r="E522" s="961" t="s">
        <v>6437</v>
      </c>
      <c r="F522" s="962">
        <v>448</v>
      </c>
      <c r="G522" s="961" t="s">
        <v>741</v>
      </c>
      <c r="H522" s="961">
        <v>1</v>
      </c>
      <c r="I522" s="963">
        <v>29801</v>
      </c>
      <c r="J522" s="961">
        <v>1</v>
      </c>
      <c r="K522" s="961">
        <v>23</v>
      </c>
      <c r="L522" s="961">
        <v>1</v>
      </c>
      <c r="M522" s="961">
        <v>4</v>
      </c>
      <c r="N522" s="961" t="s">
        <v>6468</v>
      </c>
      <c r="O522" s="971">
        <v>13</v>
      </c>
      <c r="P522" s="964">
        <v>764789.19172180572</v>
      </c>
      <c r="Q522" s="964">
        <v>-99444.02999999997</v>
      </c>
      <c r="R522" s="964">
        <f t="shared" si="9"/>
        <v>665345.16172180581</v>
      </c>
      <c r="S522" s="964">
        <v>531465.4</v>
      </c>
      <c r="T522" s="964">
        <v>531465.4</v>
      </c>
      <c r="U522" s="964">
        <v>515013.4</v>
      </c>
      <c r="V522" s="964">
        <v>515013.4</v>
      </c>
    </row>
    <row r="523" spans="1:22" x14ac:dyDescent="0.25">
      <c r="A523" s="961" t="s">
        <v>6467</v>
      </c>
      <c r="B523" s="961">
        <v>2</v>
      </c>
      <c r="C523" s="961">
        <v>2</v>
      </c>
      <c r="D523" s="961" t="s">
        <v>6436</v>
      </c>
      <c r="E523" s="961" t="s">
        <v>6437</v>
      </c>
      <c r="F523" s="962">
        <v>448</v>
      </c>
      <c r="G523" s="961" t="s">
        <v>741</v>
      </c>
      <c r="H523" s="961">
        <v>1</v>
      </c>
      <c r="I523" s="963">
        <v>51101</v>
      </c>
      <c r="J523" s="961">
        <v>2</v>
      </c>
      <c r="K523" s="961">
        <v>23</v>
      </c>
      <c r="L523" s="961">
        <v>1</v>
      </c>
      <c r="M523" s="961">
        <v>4</v>
      </c>
      <c r="N523" s="961" t="s">
        <v>6468</v>
      </c>
      <c r="O523" s="971">
        <v>13</v>
      </c>
      <c r="P523" s="964">
        <v>150105.79999999999</v>
      </c>
      <c r="Q523" s="964">
        <v>-150000</v>
      </c>
      <c r="R523" s="964">
        <f t="shared" si="9"/>
        <v>105.79999999998836</v>
      </c>
      <c r="S523" s="964"/>
      <c r="T523" s="964"/>
      <c r="U523" s="964"/>
      <c r="V523" s="964"/>
    </row>
    <row r="524" spans="1:22" x14ac:dyDescent="0.25">
      <c r="A524" s="961" t="s">
        <v>6467</v>
      </c>
      <c r="B524" s="961">
        <v>2</v>
      </c>
      <c r="C524" s="961">
        <v>2</v>
      </c>
      <c r="D524" s="961" t="s">
        <v>6436</v>
      </c>
      <c r="E524" s="961" t="s">
        <v>6437</v>
      </c>
      <c r="F524" s="962">
        <v>448</v>
      </c>
      <c r="G524" s="961" t="s">
        <v>741</v>
      </c>
      <c r="H524" s="961">
        <v>1</v>
      </c>
      <c r="I524" s="963">
        <v>51501</v>
      </c>
      <c r="J524" s="961">
        <v>2</v>
      </c>
      <c r="K524" s="961">
        <v>23</v>
      </c>
      <c r="L524" s="961">
        <v>1</v>
      </c>
      <c r="M524" s="961">
        <v>4</v>
      </c>
      <c r="N524" s="961" t="s">
        <v>6468</v>
      </c>
      <c r="O524" s="971">
        <v>13</v>
      </c>
      <c r="P524" s="964">
        <v>30249</v>
      </c>
      <c r="Q524" s="964">
        <v>1205880.48</v>
      </c>
      <c r="R524" s="964">
        <f t="shared" si="9"/>
        <v>1236129.48</v>
      </c>
      <c r="S524" s="964">
        <v>1235873.48</v>
      </c>
      <c r="T524" s="964">
        <v>1235873.48</v>
      </c>
      <c r="U524" s="964">
        <v>1235873.48</v>
      </c>
      <c r="V524" s="964">
        <v>1084309.48</v>
      </c>
    </row>
    <row r="525" spans="1:22" x14ac:dyDescent="0.25">
      <c r="A525" s="961" t="s">
        <v>6467</v>
      </c>
      <c r="B525" s="961">
        <v>2</v>
      </c>
      <c r="C525" s="961">
        <v>2</v>
      </c>
      <c r="D525" s="961" t="s">
        <v>6436</v>
      </c>
      <c r="E525" s="961" t="s">
        <v>6437</v>
      </c>
      <c r="F525" s="962">
        <v>448</v>
      </c>
      <c r="G525" s="961" t="s">
        <v>741</v>
      </c>
      <c r="H525" s="961">
        <v>1</v>
      </c>
      <c r="I525" s="963">
        <v>52301</v>
      </c>
      <c r="J525" s="961">
        <v>2</v>
      </c>
      <c r="K525" s="961">
        <v>23</v>
      </c>
      <c r="L525" s="961">
        <v>1</v>
      </c>
      <c r="M525" s="961">
        <v>4</v>
      </c>
      <c r="N525" s="961" t="s">
        <v>6468</v>
      </c>
      <c r="O525" s="971">
        <v>13</v>
      </c>
      <c r="P525" s="964"/>
      <c r="Q525" s="964"/>
      <c r="R525" s="964">
        <f t="shared" si="9"/>
        <v>0</v>
      </c>
      <c r="S525" s="964"/>
      <c r="T525" s="964"/>
      <c r="U525" s="964"/>
      <c r="V525" s="964"/>
    </row>
    <row r="526" spans="1:22" x14ac:dyDescent="0.25">
      <c r="A526" s="961" t="s">
        <v>6467</v>
      </c>
      <c r="B526" s="961">
        <v>2</v>
      </c>
      <c r="C526" s="961">
        <v>2</v>
      </c>
      <c r="D526" s="961" t="s">
        <v>6436</v>
      </c>
      <c r="E526" s="961" t="s">
        <v>6437</v>
      </c>
      <c r="F526" s="962">
        <v>448</v>
      </c>
      <c r="G526" s="961" t="s">
        <v>741</v>
      </c>
      <c r="H526" s="961">
        <v>1</v>
      </c>
      <c r="I526" s="963">
        <v>53101</v>
      </c>
      <c r="J526" s="961">
        <v>2</v>
      </c>
      <c r="K526" s="961">
        <v>23</v>
      </c>
      <c r="L526" s="961">
        <v>1</v>
      </c>
      <c r="M526" s="961">
        <v>4</v>
      </c>
      <c r="N526" s="961" t="s">
        <v>6468</v>
      </c>
      <c r="O526" s="971">
        <v>13</v>
      </c>
      <c r="P526" s="964"/>
      <c r="Q526" s="964">
        <v>121800</v>
      </c>
      <c r="R526" s="964">
        <f t="shared" si="9"/>
        <v>121800</v>
      </c>
      <c r="S526" s="964">
        <v>121800</v>
      </c>
      <c r="T526" s="964">
        <v>121800</v>
      </c>
      <c r="U526" s="964">
        <v>121800</v>
      </c>
      <c r="V526" s="964">
        <v>121800</v>
      </c>
    </row>
    <row r="527" spans="1:22" x14ac:dyDescent="0.25">
      <c r="A527" s="967">
        <v>4121500400</v>
      </c>
      <c r="B527" s="961">
        <v>2</v>
      </c>
      <c r="C527" s="961">
        <v>2</v>
      </c>
      <c r="D527" s="961" t="s">
        <v>6436</v>
      </c>
      <c r="E527" s="961" t="s">
        <v>6437</v>
      </c>
      <c r="F527" s="962">
        <v>448</v>
      </c>
      <c r="G527" s="961" t="s">
        <v>741</v>
      </c>
      <c r="H527" s="961">
        <v>1</v>
      </c>
      <c r="I527" s="963">
        <v>54101</v>
      </c>
      <c r="J527" s="961">
        <v>2</v>
      </c>
      <c r="K527" s="961">
        <v>23</v>
      </c>
      <c r="L527" s="961">
        <v>1</v>
      </c>
      <c r="M527" s="961">
        <v>4</v>
      </c>
      <c r="N527" s="961" t="s">
        <v>6438</v>
      </c>
      <c r="O527" s="971">
        <v>13</v>
      </c>
      <c r="P527" s="964"/>
      <c r="Q527" s="964">
        <v>13920000</v>
      </c>
      <c r="R527" s="964">
        <f t="shared" si="9"/>
        <v>13920000</v>
      </c>
      <c r="S527" s="964">
        <v>13920000</v>
      </c>
      <c r="T527" s="964">
        <v>13920000</v>
      </c>
      <c r="U527" s="964">
        <v>13920000</v>
      </c>
      <c r="V527" s="964">
        <v>13920000</v>
      </c>
    </row>
    <row r="528" spans="1:22" x14ac:dyDescent="0.25">
      <c r="A528" s="961" t="s">
        <v>6467</v>
      </c>
      <c r="B528" s="961">
        <v>2</v>
      </c>
      <c r="C528" s="961">
        <v>2</v>
      </c>
      <c r="D528" s="961" t="s">
        <v>6436</v>
      </c>
      <c r="E528" s="961" t="s">
        <v>6437</v>
      </c>
      <c r="F528" s="962">
        <v>448</v>
      </c>
      <c r="G528" s="961" t="s">
        <v>741</v>
      </c>
      <c r="H528" s="961">
        <v>1</v>
      </c>
      <c r="I528" s="963">
        <v>54101</v>
      </c>
      <c r="J528" s="961">
        <v>2</v>
      </c>
      <c r="K528" s="961">
        <v>23</v>
      </c>
      <c r="L528" s="961">
        <v>1</v>
      </c>
      <c r="M528" s="961">
        <v>4</v>
      </c>
      <c r="N528" s="961" t="s">
        <v>6468</v>
      </c>
      <c r="O528" s="971">
        <v>13</v>
      </c>
      <c r="P528" s="964">
        <v>1508000</v>
      </c>
      <c r="Q528" s="964">
        <v>-1397000</v>
      </c>
      <c r="R528" s="964">
        <f t="shared" si="9"/>
        <v>111000</v>
      </c>
      <c r="S528" s="964"/>
      <c r="T528" s="964"/>
      <c r="U528" s="964"/>
      <c r="V528" s="964"/>
    </row>
    <row r="529" spans="1:22" x14ac:dyDescent="0.25">
      <c r="A529" s="961" t="s">
        <v>6467</v>
      </c>
      <c r="B529" s="961">
        <v>2</v>
      </c>
      <c r="C529" s="961">
        <v>2</v>
      </c>
      <c r="D529" s="961" t="s">
        <v>6436</v>
      </c>
      <c r="E529" s="961" t="s">
        <v>6437</v>
      </c>
      <c r="F529" s="962">
        <v>448</v>
      </c>
      <c r="G529" s="961" t="s">
        <v>741</v>
      </c>
      <c r="H529" s="961">
        <v>1</v>
      </c>
      <c r="I529" s="963">
        <v>54201</v>
      </c>
      <c r="J529" s="961">
        <v>2</v>
      </c>
      <c r="K529" s="961">
        <v>23</v>
      </c>
      <c r="L529" s="961">
        <v>1</v>
      </c>
      <c r="M529" s="961">
        <v>4</v>
      </c>
      <c r="N529" s="961" t="s">
        <v>6468</v>
      </c>
      <c r="O529" s="971">
        <v>13</v>
      </c>
      <c r="P529" s="964">
        <v>87000</v>
      </c>
      <c r="Q529" s="964">
        <v>168200</v>
      </c>
      <c r="R529" s="964">
        <f t="shared" si="9"/>
        <v>255200</v>
      </c>
      <c r="S529" s="964">
        <v>255200</v>
      </c>
      <c r="T529" s="964">
        <v>255200</v>
      </c>
      <c r="U529" s="964">
        <v>255200</v>
      </c>
      <c r="V529" s="964">
        <v>255200</v>
      </c>
    </row>
    <row r="530" spans="1:22" x14ac:dyDescent="0.25">
      <c r="A530" s="961" t="s">
        <v>6467</v>
      </c>
      <c r="B530" s="961">
        <v>2</v>
      </c>
      <c r="C530" s="961">
        <v>2</v>
      </c>
      <c r="D530" s="961" t="s">
        <v>6436</v>
      </c>
      <c r="E530" s="961" t="s">
        <v>6437</v>
      </c>
      <c r="F530" s="962">
        <v>448</v>
      </c>
      <c r="G530" s="961" t="s">
        <v>741</v>
      </c>
      <c r="H530" s="961">
        <v>1</v>
      </c>
      <c r="I530" s="963">
        <v>54901</v>
      </c>
      <c r="J530" s="961">
        <v>2</v>
      </c>
      <c r="K530" s="961">
        <v>23</v>
      </c>
      <c r="L530" s="961">
        <v>1</v>
      </c>
      <c r="M530" s="961">
        <v>4</v>
      </c>
      <c r="N530" s="961" t="s">
        <v>6468</v>
      </c>
      <c r="O530" s="971">
        <v>13</v>
      </c>
      <c r="P530" s="964"/>
      <c r="Q530" s="964">
        <v>563590</v>
      </c>
      <c r="R530" s="964">
        <f t="shared" si="9"/>
        <v>563590</v>
      </c>
      <c r="S530" s="964">
        <v>563590</v>
      </c>
      <c r="T530" s="964">
        <v>563590</v>
      </c>
      <c r="U530" s="964">
        <v>563590</v>
      </c>
      <c r="V530" s="964">
        <v>563590</v>
      </c>
    </row>
    <row r="531" spans="1:22" x14ac:dyDescent="0.25">
      <c r="A531" s="961" t="s">
        <v>6467</v>
      </c>
      <c r="B531" s="961">
        <v>2</v>
      </c>
      <c r="C531" s="961">
        <v>2</v>
      </c>
      <c r="D531" s="961" t="s">
        <v>6436</v>
      </c>
      <c r="E531" s="961" t="s">
        <v>6437</v>
      </c>
      <c r="F531" s="962">
        <v>448</v>
      </c>
      <c r="G531" s="961" t="s">
        <v>741</v>
      </c>
      <c r="H531" s="961">
        <v>1</v>
      </c>
      <c r="I531" s="963">
        <v>56201</v>
      </c>
      <c r="J531" s="961">
        <v>2</v>
      </c>
      <c r="K531" s="961">
        <v>23</v>
      </c>
      <c r="L531" s="961">
        <v>1</v>
      </c>
      <c r="M531" s="961">
        <v>4</v>
      </c>
      <c r="N531" s="961" t="s">
        <v>6468</v>
      </c>
      <c r="O531" s="971">
        <v>13</v>
      </c>
      <c r="P531" s="964">
        <v>2208458.2351000002</v>
      </c>
      <c r="Q531" s="964">
        <v>36186.389999999898</v>
      </c>
      <c r="R531" s="964">
        <f t="shared" si="9"/>
        <v>2244644.6250999998</v>
      </c>
      <c r="S531" s="964">
        <v>2190648.65</v>
      </c>
      <c r="T531" s="964">
        <v>2190648.65</v>
      </c>
      <c r="U531" s="964">
        <v>2190648.65</v>
      </c>
      <c r="V531" s="964">
        <v>2108663.29</v>
      </c>
    </row>
    <row r="532" spans="1:22" x14ac:dyDescent="0.25">
      <c r="A532" s="967">
        <v>4121500400</v>
      </c>
      <c r="B532" s="961">
        <v>2</v>
      </c>
      <c r="C532" s="961">
        <v>2</v>
      </c>
      <c r="D532" s="961" t="s">
        <v>6436</v>
      </c>
      <c r="E532" s="961" t="s">
        <v>6437</v>
      </c>
      <c r="F532" s="962">
        <v>448</v>
      </c>
      <c r="G532" s="961" t="s">
        <v>741</v>
      </c>
      <c r="H532" s="961">
        <v>1</v>
      </c>
      <c r="I532" s="963">
        <v>56301</v>
      </c>
      <c r="J532" s="961">
        <v>2</v>
      </c>
      <c r="K532" s="961">
        <v>23</v>
      </c>
      <c r="L532" s="961">
        <v>1</v>
      </c>
      <c r="M532" s="961">
        <v>4</v>
      </c>
      <c r="N532" s="961" t="s">
        <v>6438</v>
      </c>
      <c r="O532" s="971">
        <v>13</v>
      </c>
      <c r="P532" s="964"/>
      <c r="Q532" s="964">
        <v>3453784</v>
      </c>
      <c r="R532" s="964">
        <f t="shared" si="9"/>
        <v>3453784</v>
      </c>
      <c r="S532" s="964">
        <v>3453784</v>
      </c>
      <c r="T532" s="964">
        <v>3453784</v>
      </c>
      <c r="U532" s="964">
        <v>3453784</v>
      </c>
      <c r="V532" s="964">
        <v>0</v>
      </c>
    </row>
    <row r="533" spans="1:22" x14ac:dyDescent="0.25">
      <c r="A533" s="961" t="s">
        <v>6467</v>
      </c>
      <c r="B533" s="961">
        <v>2</v>
      </c>
      <c r="C533" s="961">
        <v>2</v>
      </c>
      <c r="D533" s="961" t="s">
        <v>6436</v>
      </c>
      <c r="E533" s="961" t="s">
        <v>6437</v>
      </c>
      <c r="F533" s="962">
        <v>448</v>
      </c>
      <c r="G533" s="961" t="s">
        <v>741</v>
      </c>
      <c r="H533" s="961">
        <v>1</v>
      </c>
      <c r="I533" s="963">
        <v>56301</v>
      </c>
      <c r="J533" s="961">
        <v>2</v>
      </c>
      <c r="K533" s="961">
        <v>23</v>
      </c>
      <c r="L533" s="961">
        <v>1</v>
      </c>
      <c r="M533" s="961">
        <v>4</v>
      </c>
      <c r="N533" s="961" t="s">
        <v>6468</v>
      </c>
      <c r="O533" s="971">
        <v>13</v>
      </c>
      <c r="P533" s="964">
        <v>312813.84999999998</v>
      </c>
      <c r="Q533" s="964">
        <v>-312000</v>
      </c>
      <c r="R533" s="964">
        <f t="shared" si="9"/>
        <v>813.84999999997672</v>
      </c>
      <c r="S533" s="964"/>
      <c r="T533" s="964"/>
      <c r="U533" s="964"/>
      <c r="V533" s="964"/>
    </row>
    <row r="534" spans="1:22" x14ac:dyDescent="0.25">
      <c r="A534" s="961" t="s">
        <v>6467</v>
      </c>
      <c r="B534" s="961">
        <v>2</v>
      </c>
      <c r="C534" s="961">
        <v>2</v>
      </c>
      <c r="D534" s="961" t="s">
        <v>6436</v>
      </c>
      <c r="E534" s="961" t="s">
        <v>6437</v>
      </c>
      <c r="F534" s="962">
        <v>448</v>
      </c>
      <c r="G534" s="961" t="s">
        <v>741</v>
      </c>
      <c r="H534" s="961">
        <v>1</v>
      </c>
      <c r="I534" s="963">
        <v>56401</v>
      </c>
      <c r="J534" s="961">
        <v>2</v>
      </c>
      <c r="K534" s="961">
        <v>23</v>
      </c>
      <c r="L534" s="961">
        <v>1</v>
      </c>
      <c r="M534" s="961">
        <v>4</v>
      </c>
      <c r="N534" s="961" t="s">
        <v>6468</v>
      </c>
      <c r="O534" s="971">
        <v>13</v>
      </c>
      <c r="P534" s="964"/>
      <c r="Q534" s="964">
        <v>34412</v>
      </c>
      <c r="R534" s="964">
        <f t="shared" si="9"/>
        <v>34412</v>
      </c>
      <c r="S534" s="964">
        <v>34412</v>
      </c>
      <c r="T534" s="964">
        <v>34412</v>
      </c>
      <c r="U534" s="964">
        <v>34412</v>
      </c>
      <c r="V534" s="964">
        <v>34412</v>
      </c>
    </row>
    <row r="535" spans="1:22" x14ac:dyDescent="0.25">
      <c r="A535" s="961" t="s">
        <v>6467</v>
      </c>
      <c r="B535" s="961">
        <v>2</v>
      </c>
      <c r="C535" s="961">
        <v>2</v>
      </c>
      <c r="D535" s="961" t="s">
        <v>6436</v>
      </c>
      <c r="E535" s="961" t="s">
        <v>6437</v>
      </c>
      <c r="F535" s="962">
        <v>448</v>
      </c>
      <c r="G535" s="961" t="s">
        <v>741</v>
      </c>
      <c r="H535" s="961">
        <v>1</v>
      </c>
      <c r="I535" s="963">
        <v>56501</v>
      </c>
      <c r="J535" s="961">
        <v>2</v>
      </c>
      <c r="K535" s="961">
        <v>23</v>
      </c>
      <c r="L535" s="961">
        <v>1</v>
      </c>
      <c r="M535" s="961">
        <v>4</v>
      </c>
      <c r="N535" s="961" t="s">
        <v>6468</v>
      </c>
      <c r="O535" s="971">
        <v>13</v>
      </c>
      <c r="P535" s="964"/>
      <c r="Q535" s="964"/>
      <c r="R535" s="964">
        <f t="shared" si="9"/>
        <v>0</v>
      </c>
      <c r="S535" s="964"/>
      <c r="T535" s="964"/>
      <c r="U535" s="964"/>
      <c r="V535" s="964"/>
    </row>
    <row r="536" spans="1:22" x14ac:dyDescent="0.25">
      <c r="A536" s="961" t="s">
        <v>6467</v>
      </c>
      <c r="B536" s="961">
        <v>2</v>
      </c>
      <c r="C536" s="961">
        <v>2</v>
      </c>
      <c r="D536" s="961" t="s">
        <v>6436</v>
      </c>
      <c r="E536" s="961" t="s">
        <v>6437</v>
      </c>
      <c r="F536" s="962">
        <v>448</v>
      </c>
      <c r="G536" s="961" t="s">
        <v>741</v>
      </c>
      <c r="H536" s="961">
        <v>1</v>
      </c>
      <c r="I536" s="963">
        <v>56601</v>
      </c>
      <c r="J536" s="961">
        <v>2</v>
      </c>
      <c r="K536" s="961">
        <v>23</v>
      </c>
      <c r="L536" s="961">
        <v>1</v>
      </c>
      <c r="M536" s="961">
        <v>4</v>
      </c>
      <c r="N536" s="961" t="s">
        <v>6468</v>
      </c>
      <c r="O536" s="971">
        <v>13</v>
      </c>
      <c r="P536" s="964"/>
      <c r="Q536" s="964">
        <v>725466.76</v>
      </c>
      <c r="R536" s="964">
        <f t="shared" si="9"/>
        <v>725466.76</v>
      </c>
      <c r="S536" s="964">
        <v>725246.24</v>
      </c>
      <c r="T536" s="964">
        <v>725246.24</v>
      </c>
      <c r="U536" s="964">
        <v>701466.24</v>
      </c>
      <c r="V536" s="964">
        <v>701466.24</v>
      </c>
    </row>
    <row r="537" spans="1:22" x14ac:dyDescent="0.25">
      <c r="A537" s="961" t="s">
        <v>6467</v>
      </c>
      <c r="B537" s="961">
        <v>2</v>
      </c>
      <c r="C537" s="961">
        <v>2</v>
      </c>
      <c r="D537" s="961" t="s">
        <v>6436</v>
      </c>
      <c r="E537" s="961" t="s">
        <v>6437</v>
      </c>
      <c r="F537" s="962">
        <v>448</v>
      </c>
      <c r="G537" s="961" t="s">
        <v>741</v>
      </c>
      <c r="H537" s="961">
        <v>1</v>
      </c>
      <c r="I537" s="963">
        <v>56701</v>
      </c>
      <c r="J537" s="961">
        <v>2</v>
      </c>
      <c r="K537" s="961">
        <v>23</v>
      </c>
      <c r="L537" s="961">
        <v>1</v>
      </c>
      <c r="M537" s="961">
        <v>4</v>
      </c>
      <c r="N537" s="961" t="s">
        <v>6468</v>
      </c>
      <c r="O537" s="971">
        <v>13</v>
      </c>
      <c r="P537" s="964"/>
      <c r="Q537" s="964">
        <v>121212.26000000001</v>
      </c>
      <c r="R537" s="964">
        <f t="shared" si="9"/>
        <v>121212.26000000001</v>
      </c>
      <c r="S537" s="964">
        <v>121212.26</v>
      </c>
      <c r="T537" s="964">
        <v>121212.26</v>
      </c>
      <c r="U537" s="964">
        <v>121212.26</v>
      </c>
      <c r="V537" s="964">
        <v>121212.26</v>
      </c>
    </row>
    <row r="538" spans="1:22" x14ac:dyDescent="0.25">
      <c r="A538" s="961" t="s">
        <v>6467</v>
      </c>
      <c r="B538" s="961">
        <v>2</v>
      </c>
      <c r="C538" s="961">
        <v>2</v>
      </c>
      <c r="D538" s="961" t="s">
        <v>6436</v>
      </c>
      <c r="E538" s="961" t="s">
        <v>6437</v>
      </c>
      <c r="F538" s="962">
        <v>448</v>
      </c>
      <c r="G538" s="961" t="s">
        <v>741</v>
      </c>
      <c r="H538" s="961">
        <v>1</v>
      </c>
      <c r="I538" s="963">
        <v>56702</v>
      </c>
      <c r="J538" s="961">
        <v>2</v>
      </c>
      <c r="K538" s="961">
        <v>23</v>
      </c>
      <c r="L538" s="961">
        <v>1</v>
      </c>
      <c r="M538" s="961">
        <v>4</v>
      </c>
      <c r="N538" s="961" t="s">
        <v>6468</v>
      </c>
      <c r="O538" s="971">
        <v>13</v>
      </c>
      <c r="P538" s="964"/>
      <c r="Q538" s="964"/>
      <c r="R538" s="964">
        <f t="shared" si="9"/>
        <v>0</v>
      </c>
      <c r="S538" s="964"/>
      <c r="T538" s="964"/>
      <c r="U538" s="964"/>
      <c r="V538" s="964"/>
    </row>
    <row r="539" spans="1:22" x14ac:dyDescent="0.25">
      <c r="A539" s="961" t="s">
        <v>6467</v>
      </c>
      <c r="B539" s="961">
        <v>2</v>
      </c>
      <c r="C539" s="961">
        <v>2</v>
      </c>
      <c r="D539" s="961" t="s">
        <v>6436</v>
      </c>
      <c r="E539" s="961" t="s">
        <v>6437</v>
      </c>
      <c r="F539" s="962">
        <v>448</v>
      </c>
      <c r="G539" s="961" t="s">
        <v>741</v>
      </c>
      <c r="H539" s="961">
        <v>1</v>
      </c>
      <c r="I539" s="963">
        <v>56901</v>
      </c>
      <c r="J539" s="961">
        <v>2</v>
      </c>
      <c r="K539" s="961">
        <v>23</v>
      </c>
      <c r="L539" s="961">
        <v>1</v>
      </c>
      <c r="M539" s="961">
        <v>4</v>
      </c>
      <c r="N539" s="961" t="s">
        <v>6468</v>
      </c>
      <c r="O539" s="971">
        <v>13</v>
      </c>
      <c r="P539" s="964"/>
      <c r="Q539" s="964">
        <v>23223.200000000001</v>
      </c>
      <c r="R539" s="964">
        <f t="shared" si="9"/>
        <v>23223.200000000001</v>
      </c>
      <c r="S539" s="964">
        <v>23223.200000000001</v>
      </c>
      <c r="T539" s="964">
        <v>23223.200000000001</v>
      </c>
      <c r="U539" s="964">
        <v>23223.200000000001</v>
      </c>
      <c r="V539" s="964">
        <v>23223.200000000001</v>
      </c>
    </row>
    <row r="540" spans="1:22" x14ac:dyDescent="0.25">
      <c r="A540" s="961" t="s">
        <v>6467</v>
      </c>
      <c r="B540" s="961">
        <v>2</v>
      </c>
      <c r="C540" s="961">
        <v>2</v>
      </c>
      <c r="D540" s="961" t="s">
        <v>6436</v>
      </c>
      <c r="E540" s="961" t="s">
        <v>6437</v>
      </c>
      <c r="F540" s="962">
        <v>448</v>
      </c>
      <c r="G540" s="961" t="s">
        <v>741</v>
      </c>
      <c r="H540" s="961">
        <v>1</v>
      </c>
      <c r="I540" s="963">
        <v>59701</v>
      </c>
      <c r="J540" s="961">
        <v>2</v>
      </c>
      <c r="K540" s="961">
        <v>23</v>
      </c>
      <c r="L540" s="961">
        <v>1</v>
      </c>
      <c r="M540" s="961">
        <v>4</v>
      </c>
      <c r="N540" s="961" t="s">
        <v>6468</v>
      </c>
      <c r="O540" s="971">
        <v>13</v>
      </c>
      <c r="P540" s="964"/>
      <c r="Q540" s="964">
        <v>24537.599999999999</v>
      </c>
      <c r="R540" s="964">
        <f t="shared" si="9"/>
        <v>24537.599999999999</v>
      </c>
      <c r="S540" s="964">
        <v>24537.599999999999</v>
      </c>
      <c r="T540" s="964">
        <v>24537.599999999999</v>
      </c>
      <c r="U540" s="964">
        <v>24537.599999999999</v>
      </c>
      <c r="V540" s="964">
        <v>24537.599999999999</v>
      </c>
    </row>
    <row r="541" spans="1:22" x14ac:dyDescent="0.25">
      <c r="A541" s="961" t="s">
        <v>6467</v>
      </c>
      <c r="B541" s="961">
        <v>2</v>
      </c>
      <c r="C541" s="961">
        <v>2</v>
      </c>
      <c r="D541" s="961" t="s">
        <v>6436</v>
      </c>
      <c r="E541" s="961" t="s">
        <v>6437</v>
      </c>
      <c r="F541" s="962">
        <v>448</v>
      </c>
      <c r="G541" s="961" t="s">
        <v>741</v>
      </c>
      <c r="H541" s="961">
        <v>1</v>
      </c>
      <c r="I541" s="963">
        <v>61305</v>
      </c>
      <c r="J541" s="961">
        <v>2</v>
      </c>
      <c r="K541" s="961">
        <v>23</v>
      </c>
      <c r="L541" s="961">
        <v>1</v>
      </c>
      <c r="M541" s="961">
        <v>1</v>
      </c>
      <c r="N541" s="961" t="s">
        <v>6438</v>
      </c>
      <c r="O541" s="971">
        <v>13</v>
      </c>
      <c r="P541" s="964"/>
      <c r="Q541" s="964"/>
      <c r="R541" s="964">
        <f t="shared" si="9"/>
        <v>0</v>
      </c>
      <c r="S541" s="964"/>
      <c r="T541" s="964"/>
      <c r="U541" s="964"/>
      <c r="V541" s="964"/>
    </row>
    <row r="542" spans="1:22" x14ac:dyDescent="0.25">
      <c r="A542" s="961" t="s">
        <v>6467</v>
      </c>
      <c r="B542" s="961">
        <v>2</v>
      </c>
      <c r="C542" s="961">
        <v>2</v>
      </c>
      <c r="D542" s="961" t="s">
        <v>6436</v>
      </c>
      <c r="E542" s="961" t="s">
        <v>6437</v>
      </c>
      <c r="F542" s="962">
        <v>448</v>
      </c>
      <c r="G542" s="961" t="s">
        <v>741</v>
      </c>
      <c r="H542" s="961">
        <v>1</v>
      </c>
      <c r="I542" s="963">
        <v>61305</v>
      </c>
      <c r="J542" s="961">
        <v>2</v>
      </c>
      <c r="K542" s="961">
        <v>23</v>
      </c>
      <c r="L542" s="961">
        <v>2</v>
      </c>
      <c r="M542" s="961">
        <v>5</v>
      </c>
      <c r="N542" s="961" t="s">
        <v>6468</v>
      </c>
      <c r="O542" s="971">
        <v>13</v>
      </c>
      <c r="P542" s="964"/>
      <c r="Q542" s="964"/>
      <c r="R542" s="964">
        <f t="shared" si="9"/>
        <v>0</v>
      </c>
      <c r="S542" s="964"/>
      <c r="T542" s="964"/>
      <c r="U542" s="964"/>
      <c r="V542" s="964"/>
    </row>
    <row r="543" spans="1:22" x14ac:dyDescent="0.25">
      <c r="A543" s="961" t="s">
        <v>6467</v>
      </c>
      <c r="B543" s="961">
        <v>2</v>
      </c>
      <c r="C543" s="961">
        <v>2</v>
      </c>
      <c r="D543" s="961" t="s">
        <v>6436</v>
      </c>
      <c r="E543" s="961" t="s">
        <v>6437</v>
      </c>
      <c r="F543" s="962">
        <v>448</v>
      </c>
      <c r="G543" s="961" t="s">
        <v>741</v>
      </c>
      <c r="H543" s="961">
        <v>1</v>
      </c>
      <c r="I543" s="963">
        <v>61409</v>
      </c>
      <c r="J543" s="961">
        <v>2</v>
      </c>
      <c r="K543" s="961">
        <v>23</v>
      </c>
      <c r="L543" s="961">
        <v>1</v>
      </c>
      <c r="M543" s="961">
        <v>1</v>
      </c>
      <c r="N543" s="961" t="s">
        <v>6438</v>
      </c>
      <c r="O543" s="971">
        <v>13</v>
      </c>
      <c r="P543" s="964"/>
      <c r="Q543" s="964">
        <v>1413027</v>
      </c>
      <c r="R543" s="964">
        <f t="shared" si="9"/>
        <v>1413027</v>
      </c>
      <c r="S543" s="964">
        <v>1413027</v>
      </c>
      <c r="T543" s="964">
        <v>1413027</v>
      </c>
      <c r="U543" s="964">
        <v>1413027</v>
      </c>
      <c r="V543" s="964">
        <v>1413027</v>
      </c>
    </row>
    <row r="544" spans="1:22" x14ac:dyDescent="0.25">
      <c r="A544" s="961" t="s">
        <v>6467</v>
      </c>
      <c r="B544" s="961">
        <v>2</v>
      </c>
      <c r="C544" s="961">
        <v>2</v>
      </c>
      <c r="D544" s="961" t="s">
        <v>6436</v>
      </c>
      <c r="E544" s="961" t="s">
        <v>6437</v>
      </c>
      <c r="F544" s="962">
        <v>448</v>
      </c>
      <c r="G544" s="961" t="s">
        <v>741</v>
      </c>
      <c r="H544" s="961">
        <v>1</v>
      </c>
      <c r="I544" s="963">
        <v>62408</v>
      </c>
      <c r="J544" s="961">
        <v>2</v>
      </c>
      <c r="K544" s="961">
        <v>23</v>
      </c>
      <c r="L544" s="961">
        <v>1</v>
      </c>
      <c r="M544" s="961">
        <v>1</v>
      </c>
      <c r="N544" s="961" t="s">
        <v>6438</v>
      </c>
      <c r="O544" s="971">
        <v>13</v>
      </c>
      <c r="P544" s="964"/>
      <c r="Q544" s="964">
        <v>2449920</v>
      </c>
      <c r="R544" s="964">
        <f t="shared" si="9"/>
        <v>2449920</v>
      </c>
      <c r="S544" s="964">
        <v>2284000.7999999998</v>
      </c>
      <c r="T544" s="964">
        <v>2284000.7999999998</v>
      </c>
      <c r="U544" s="964">
        <v>2284000.7999999998</v>
      </c>
      <c r="V544" s="964">
        <v>2284000.7999999998</v>
      </c>
    </row>
    <row r="545" spans="1:22" x14ac:dyDescent="0.25">
      <c r="A545" s="961" t="s">
        <v>6467</v>
      </c>
      <c r="B545" s="961">
        <v>2</v>
      </c>
      <c r="C545" s="961">
        <v>2</v>
      </c>
      <c r="D545" s="961" t="s">
        <v>6436</v>
      </c>
      <c r="E545" s="961" t="s">
        <v>6437</v>
      </c>
      <c r="F545" s="962">
        <v>448</v>
      </c>
      <c r="G545" s="961" t="s">
        <v>741</v>
      </c>
      <c r="H545" s="961">
        <v>1</v>
      </c>
      <c r="I545" s="963">
        <v>62409</v>
      </c>
      <c r="J545" s="961">
        <v>2</v>
      </c>
      <c r="K545" s="961">
        <v>23</v>
      </c>
      <c r="L545" s="961">
        <v>1</v>
      </c>
      <c r="M545" s="961">
        <v>1</v>
      </c>
      <c r="N545" s="961" t="s">
        <v>6438</v>
      </c>
      <c r="O545" s="971">
        <v>13</v>
      </c>
      <c r="P545" s="964"/>
      <c r="Q545" s="964"/>
      <c r="R545" s="964">
        <f t="shared" si="9"/>
        <v>0</v>
      </c>
      <c r="S545" s="964"/>
      <c r="T545" s="964"/>
      <c r="U545" s="964"/>
      <c r="V545" s="964"/>
    </row>
    <row r="546" spans="1:22" x14ac:dyDescent="0.25">
      <c r="A546" s="961" t="s">
        <v>6467</v>
      </c>
      <c r="B546" s="961">
        <v>2</v>
      </c>
      <c r="C546" s="961">
        <v>2</v>
      </c>
      <c r="D546" s="961" t="s">
        <v>6436</v>
      </c>
      <c r="E546" s="961" t="s">
        <v>6437</v>
      </c>
      <c r="F546" s="962">
        <v>448</v>
      </c>
      <c r="G546" s="961" t="s">
        <v>741</v>
      </c>
      <c r="H546" s="961">
        <v>1</v>
      </c>
      <c r="I546" s="963">
        <v>91102</v>
      </c>
      <c r="J546" s="961">
        <v>1</v>
      </c>
      <c r="K546" s="961">
        <v>23</v>
      </c>
      <c r="L546" s="961">
        <v>1</v>
      </c>
      <c r="M546" s="961">
        <v>4</v>
      </c>
      <c r="N546" s="961" t="s">
        <v>6468</v>
      </c>
      <c r="O546" s="971">
        <v>13</v>
      </c>
      <c r="P546" s="964"/>
      <c r="Q546" s="964">
        <v>18872883.509999998</v>
      </c>
      <c r="R546" s="964">
        <f t="shared" si="9"/>
        <v>18872883.509999998</v>
      </c>
      <c r="S546" s="964">
        <v>18872883.509999998</v>
      </c>
      <c r="T546" s="964">
        <v>18872883.509999998</v>
      </c>
      <c r="U546" s="964">
        <v>18872883.509999998</v>
      </c>
      <c r="V546" s="964">
        <v>18872883.509999998</v>
      </c>
    </row>
    <row r="547" spans="1:22" x14ac:dyDescent="0.25">
      <c r="A547" s="961" t="s">
        <v>6467</v>
      </c>
      <c r="B547" s="961">
        <v>2</v>
      </c>
      <c r="C547" s="961">
        <v>2</v>
      </c>
      <c r="D547" s="961" t="s">
        <v>6436</v>
      </c>
      <c r="E547" s="961" t="s">
        <v>6437</v>
      </c>
      <c r="F547" s="962">
        <v>448</v>
      </c>
      <c r="G547" s="961" t="s">
        <v>741</v>
      </c>
      <c r="H547" s="961">
        <v>1</v>
      </c>
      <c r="I547" s="963">
        <v>92102</v>
      </c>
      <c r="J547" s="961">
        <v>1</v>
      </c>
      <c r="K547" s="961">
        <v>23</v>
      </c>
      <c r="L547" s="961">
        <v>1</v>
      </c>
      <c r="M547" s="961">
        <v>4</v>
      </c>
      <c r="N547" s="961" t="s">
        <v>6468</v>
      </c>
      <c r="O547" s="971">
        <v>13</v>
      </c>
      <c r="P547" s="964"/>
      <c r="Q547" s="964">
        <v>17347034.84</v>
      </c>
      <c r="R547" s="964">
        <f t="shared" ref="R547:R594" si="10">SUM(P547:Q547)</f>
        <v>17347034.84</v>
      </c>
      <c r="S547" s="964">
        <v>17347034.84</v>
      </c>
      <c r="T547" s="964">
        <v>17347034.84</v>
      </c>
      <c r="U547" s="964">
        <v>17347034.84</v>
      </c>
      <c r="V547" s="964">
        <v>17347034.84</v>
      </c>
    </row>
    <row r="548" spans="1:22" x14ac:dyDescent="0.25">
      <c r="A548" s="961" t="s">
        <v>6467</v>
      </c>
      <c r="B548" s="961">
        <v>2</v>
      </c>
      <c r="C548" s="961">
        <v>2</v>
      </c>
      <c r="D548" s="961" t="s">
        <v>6436</v>
      </c>
      <c r="E548" s="961" t="s">
        <v>6437</v>
      </c>
      <c r="F548" s="962">
        <v>448</v>
      </c>
      <c r="G548" s="961" t="s">
        <v>741</v>
      </c>
      <c r="H548" s="961">
        <v>1</v>
      </c>
      <c r="I548" s="963">
        <v>99101</v>
      </c>
      <c r="J548" s="961">
        <v>1</v>
      </c>
      <c r="K548" s="961">
        <v>23</v>
      </c>
      <c r="L548" s="961">
        <v>1</v>
      </c>
      <c r="M548" s="961">
        <v>4</v>
      </c>
      <c r="N548" s="961" t="s">
        <v>6468</v>
      </c>
      <c r="O548" s="971">
        <v>13</v>
      </c>
      <c r="P548" s="964"/>
      <c r="Q548" s="964">
        <f>27855353.95-10564</f>
        <v>27844789.949999999</v>
      </c>
      <c r="R548" s="964">
        <f t="shared" si="10"/>
        <v>27844789.949999999</v>
      </c>
      <c r="S548" s="964">
        <v>10613877.289999999</v>
      </c>
      <c r="T548" s="964">
        <v>10613877.289999999</v>
      </c>
      <c r="U548" s="964">
        <v>10613877.289999999</v>
      </c>
      <c r="V548" s="964">
        <v>9332925.6999999993</v>
      </c>
    </row>
    <row r="549" spans="1:22" x14ac:dyDescent="0.25">
      <c r="A549" s="961" t="s">
        <v>6467</v>
      </c>
      <c r="B549" s="961">
        <v>2</v>
      </c>
      <c r="C549" s="961">
        <v>2</v>
      </c>
      <c r="D549" s="961" t="s">
        <v>6436</v>
      </c>
      <c r="E549" s="961" t="s">
        <v>6437</v>
      </c>
      <c r="F549" s="962">
        <v>448</v>
      </c>
      <c r="G549" s="961" t="s">
        <v>741</v>
      </c>
      <c r="H549" s="961">
        <v>1</v>
      </c>
      <c r="I549" s="963">
        <v>31101</v>
      </c>
      <c r="J549" s="961">
        <v>1</v>
      </c>
      <c r="K549" s="961">
        <v>23</v>
      </c>
      <c r="L549" s="961">
        <v>1</v>
      </c>
      <c r="M549" s="961">
        <v>4</v>
      </c>
      <c r="N549" s="961" t="s">
        <v>6468</v>
      </c>
      <c r="O549" s="961">
        <v>13</v>
      </c>
      <c r="P549" s="964">
        <v>19174995.899999999</v>
      </c>
      <c r="Q549" s="964">
        <f>43020798.18+102641.66-89566-555523.23+27000-823</f>
        <v>42504527.609999999</v>
      </c>
      <c r="R549" s="964">
        <f t="shared" si="10"/>
        <v>61679523.509999998</v>
      </c>
      <c r="S549" s="964">
        <v>56840931.640000001</v>
      </c>
      <c r="T549" s="964">
        <f>52888763.64+1394955+1292355+1265683-825</f>
        <v>56840931.640000001</v>
      </c>
      <c r="U549" s="964">
        <v>56212428.640000001</v>
      </c>
      <c r="V549" s="964">
        <f>52253546.64+1401671+1292355+1265683-827</f>
        <v>56212428.640000001</v>
      </c>
    </row>
    <row r="550" spans="1:22" x14ac:dyDescent="0.25">
      <c r="A550" s="961" t="s">
        <v>6467</v>
      </c>
      <c r="B550" s="961">
        <v>2</v>
      </c>
      <c r="C550" s="961">
        <v>2</v>
      </c>
      <c r="D550" s="961" t="s">
        <v>6436</v>
      </c>
      <c r="E550" s="961" t="s">
        <v>6437</v>
      </c>
      <c r="F550" s="962">
        <v>448</v>
      </c>
      <c r="G550" s="961" t="s">
        <v>741</v>
      </c>
      <c r="H550" s="961">
        <v>1</v>
      </c>
      <c r="I550" s="963">
        <v>31201</v>
      </c>
      <c r="J550" s="961">
        <v>1</v>
      </c>
      <c r="K550" s="961">
        <v>23</v>
      </c>
      <c r="L550" s="961">
        <v>1</v>
      </c>
      <c r="M550" s="961">
        <v>4</v>
      </c>
      <c r="N550" s="961" t="s">
        <v>6468</v>
      </c>
      <c r="O550" s="971">
        <v>13</v>
      </c>
      <c r="P550" s="964">
        <v>3175.2000000000003</v>
      </c>
      <c r="Q550" s="964">
        <v>0</v>
      </c>
      <c r="R550" s="964">
        <f t="shared" si="10"/>
        <v>3175.2000000000003</v>
      </c>
      <c r="S550" s="964">
        <v>2909.99</v>
      </c>
      <c r="T550" s="964">
        <v>2909.99</v>
      </c>
      <c r="U550" s="964">
        <v>2909.99</v>
      </c>
      <c r="V550" s="964">
        <v>2909.99</v>
      </c>
    </row>
    <row r="551" spans="1:22" x14ac:dyDescent="0.25">
      <c r="A551" s="961" t="s">
        <v>6467</v>
      </c>
      <c r="B551" s="961">
        <v>2</v>
      </c>
      <c r="C551" s="961">
        <v>2</v>
      </c>
      <c r="D551" s="961" t="s">
        <v>6436</v>
      </c>
      <c r="E551" s="961" t="s">
        <v>6437</v>
      </c>
      <c r="F551" s="962">
        <v>448</v>
      </c>
      <c r="G551" s="961" t="s">
        <v>741</v>
      </c>
      <c r="H551" s="961">
        <v>1</v>
      </c>
      <c r="I551" s="963">
        <v>31301</v>
      </c>
      <c r="J551" s="961">
        <v>1</v>
      </c>
      <c r="K551" s="961">
        <v>23</v>
      </c>
      <c r="L551" s="961">
        <v>1</v>
      </c>
      <c r="M551" s="961">
        <v>4</v>
      </c>
      <c r="N551" s="961" t="s">
        <v>6468</v>
      </c>
      <c r="O551" s="961">
        <v>13</v>
      </c>
      <c r="P551" s="964">
        <v>10476</v>
      </c>
      <c r="Q551" s="964">
        <v>9773.9</v>
      </c>
      <c r="R551" s="964">
        <f t="shared" si="10"/>
        <v>20249.900000000001</v>
      </c>
      <c r="S551" s="964">
        <v>18337.47</v>
      </c>
      <c r="T551" s="964">
        <v>18337.47</v>
      </c>
      <c r="U551" s="964">
        <v>18306.71</v>
      </c>
      <c r="V551" s="964">
        <v>18306.71</v>
      </c>
    </row>
    <row r="552" spans="1:22" x14ac:dyDescent="0.25">
      <c r="A552" s="961" t="s">
        <v>6467</v>
      </c>
      <c r="B552" s="961">
        <v>2</v>
      </c>
      <c r="C552" s="961">
        <v>2</v>
      </c>
      <c r="D552" s="961" t="s">
        <v>6436</v>
      </c>
      <c r="E552" s="961" t="s">
        <v>6437</v>
      </c>
      <c r="F552" s="962">
        <v>448</v>
      </c>
      <c r="G552" s="961" t="s">
        <v>741</v>
      </c>
      <c r="H552" s="961">
        <v>1</v>
      </c>
      <c r="I552" s="963">
        <v>31401</v>
      </c>
      <c r="J552" s="961">
        <v>1</v>
      </c>
      <c r="K552" s="961">
        <v>23</v>
      </c>
      <c r="L552" s="961">
        <v>1</v>
      </c>
      <c r="M552" s="961">
        <v>4</v>
      </c>
      <c r="N552" s="961" t="s">
        <v>6468</v>
      </c>
      <c r="O552" s="961">
        <v>13</v>
      </c>
      <c r="P552" s="964">
        <v>430666.80552019237</v>
      </c>
      <c r="Q552" s="964">
        <v>13762.68</v>
      </c>
      <c r="R552" s="964">
        <f t="shared" si="10"/>
        <v>444429.48552019236</v>
      </c>
      <c r="S552" s="964">
        <v>387934.32</v>
      </c>
      <c r="T552" s="964">
        <v>387934.32</v>
      </c>
      <c r="U552" s="964">
        <v>159588.84</v>
      </c>
      <c r="V552" s="964">
        <v>159588.84</v>
      </c>
    </row>
    <row r="553" spans="1:22" x14ac:dyDescent="0.25">
      <c r="A553" s="961" t="s">
        <v>6467</v>
      </c>
      <c r="B553" s="961">
        <v>2</v>
      </c>
      <c r="C553" s="961">
        <v>2</v>
      </c>
      <c r="D553" s="961" t="s">
        <v>6436</v>
      </c>
      <c r="E553" s="961" t="s">
        <v>6437</v>
      </c>
      <c r="F553" s="962">
        <v>448</v>
      </c>
      <c r="G553" s="961" t="s">
        <v>741</v>
      </c>
      <c r="H553" s="961">
        <v>1</v>
      </c>
      <c r="I553" s="963">
        <v>31701</v>
      </c>
      <c r="J553" s="961">
        <v>1</v>
      </c>
      <c r="K553" s="961">
        <v>23</v>
      </c>
      <c r="L553" s="961">
        <v>1</v>
      </c>
      <c r="M553" s="961">
        <v>4</v>
      </c>
      <c r="N553" s="961" t="s">
        <v>6468</v>
      </c>
      <c r="O553" s="971">
        <v>13</v>
      </c>
      <c r="P553" s="964">
        <v>437859.38884040323</v>
      </c>
      <c r="Q553" s="964">
        <v>-134969.07</v>
      </c>
      <c r="R553" s="964">
        <f t="shared" si="10"/>
        <v>302890.31884040323</v>
      </c>
      <c r="S553" s="964">
        <v>196790.84000000003</v>
      </c>
      <c r="T553" s="964">
        <v>196790.84000000003</v>
      </c>
      <c r="U553" s="964">
        <v>171107.28</v>
      </c>
      <c r="V553" s="964">
        <v>171107.28</v>
      </c>
    </row>
    <row r="554" spans="1:22" x14ac:dyDescent="0.25">
      <c r="A554" s="961" t="s">
        <v>6467</v>
      </c>
      <c r="B554" s="961">
        <v>2</v>
      </c>
      <c r="C554" s="961">
        <v>2</v>
      </c>
      <c r="D554" s="961" t="s">
        <v>6436</v>
      </c>
      <c r="E554" s="961" t="s">
        <v>6437</v>
      </c>
      <c r="F554" s="962">
        <v>448</v>
      </c>
      <c r="G554" s="961" t="s">
        <v>741</v>
      </c>
      <c r="H554" s="961">
        <v>1</v>
      </c>
      <c r="I554" s="963">
        <v>31801</v>
      </c>
      <c r="J554" s="961">
        <v>1</v>
      </c>
      <c r="K554" s="961">
        <v>23</v>
      </c>
      <c r="L554" s="961">
        <v>1</v>
      </c>
      <c r="M554" s="961">
        <v>4</v>
      </c>
      <c r="N554" s="961" t="s">
        <v>6468</v>
      </c>
      <c r="O554" s="971">
        <v>13</v>
      </c>
      <c r="P554" s="964">
        <v>9639.6015167864061</v>
      </c>
      <c r="Q554" s="964">
        <v>-182.55</v>
      </c>
      <c r="R554" s="964">
        <f t="shared" si="10"/>
        <v>9457.0515167864069</v>
      </c>
      <c r="S554" s="964">
        <v>997.67</v>
      </c>
      <c r="T554" s="964">
        <v>997.67</v>
      </c>
      <c r="U554" s="964">
        <v>997.67</v>
      </c>
      <c r="V554" s="964">
        <v>997.67</v>
      </c>
    </row>
    <row r="555" spans="1:22" x14ac:dyDescent="0.25">
      <c r="A555" s="961" t="s">
        <v>6467</v>
      </c>
      <c r="B555" s="961">
        <v>2</v>
      </c>
      <c r="C555" s="961">
        <v>2</v>
      </c>
      <c r="D555" s="961" t="s">
        <v>6436</v>
      </c>
      <c r="E555" s="961" t="s">
        <v>6437</v>
      </c>
      <c r="F555" s="962">
        <v>448</v>
      </c>
      <c r="G555" s="961" t="s">
        <v>741</v>
      </c>
      <c r="H555" s="961">
        <v>1</v>
      </c>
      <c r="I555" s="963">
        <v>32101</v>
      </c>
      <c r="J555" s="961">
        <v>1</v>
      </c>
      <c r="K555" s="961">
        <v>23</v>
      </c>
      <c r="L555" s="961">
        <v>1</v>
      </c>
      <c r="M555" s="961">
        <v>4</v>
      </c>
      <c r="N555" s="961" t="s">
        <v>6468</v>
      </c>
      <c r="O555" s="971">
        <v>13</v>
      </c>
      <c r="P555" s="964">
        <v>700732.39275292773</v>
      </c>
      <c r="Q555" s="964">
        <v>-100000</v>
      </c>
      <c r="R555" s="964">
        <f t="shared" si="10"/>
        <v>600732.39275292773</v>
      </c>
      <c r="S555" s="964"/>
      <c r="T555" s="964"/>
      <c r="U555" s="964"/>
      <c r="V555" s="964"/>
    </row>
    <row r="556" spans="1:22" x14ac:dyDescent="0.25">
      <c r="A556" s="961" t="s">
        <v>6467</v>
      </c>
      <c r="B556" s="961">
        <v>2</v>
      </c>
      <c r="C556" s="961">
        <v>2</v>
      </c>
      <c r="D556" s="961" t="s">
        <v>6436</v>
      </c>
      <c r="E556" s="961" t="s">
        <v>6437</v>
      </c>
      <c r="F556" s="962">
        <v>448</v>
      </c>
      <c r="G556" s="961" t="s">
        <v>741</v>
      </c>
      <c r="H556" s="961">
        <v>1</v>
      </c>
      <c r="I556" s="963">
        <v>32201</v>
      </c>
      <c r="J556" s="961">
        <v>1</v>
      </c>
      <c r="K556" s="961">
        <v>23</v>
      </c>
      <c r="L556" s="961">
        <v>1</v>
      </c>
      <c r="M556" s="961">
        <v>4</v>
      </c>
      <c r="N556" s="961" t="s">
        <v>6468</v>
      </c>
      <c r="O556" s="971">
        <v>13</v>
      </c>
      <c r="P556" s="964">
        <v>2382711.777222015</v>
      </c>
      <c r="Q556" s="964">
        <v>906395.85999999987</v>
      </c>
      <c r="R556" s="964">
        <f t="shared" si="10"/>
        <v>3289107.6372220148</v>
      </c>
      <c r="S556" s="964">
        <v>2083977.1099999999</v>
      </c>
      <c r="T556" s="964">
        <v>2083977.1099999999</v>
      </c>
      <c r="U556" s="964">
        <v>2083977.1099999999</v>
      </c>
      <c r="V556" s="964">
        <v>1735679.1099999999</v>
      </c>
    </row>
    <row r="557" spans="1:22" x14ac:dyDescent="0.25">
      <c r="A557" s="961" t="s">
        <v>6467</v>
      </c>
      <c r="B557" s="961">
        <v>2</v>
      </c>
      <c r="C557" s="961">
        <v>2</v>
      </c>
      <c r="D557" s="961" t="s">
        <v>6436</v>
      </c>
      <c r="E557" s="961" t="s">
        <v>6437</v>
      </c>
      <c r="F557" s="962">
        <v>448</v>
      </c>
      <c r="G557" s="961" t="s">
        <v>741</v>
      </c>
      <c r="H557" s="961">
        <v>1</v>
      </c>
      <c r="I557" s="963">
        <v>32301</v>
      </c>
      <c r="J557" s="961">
        <v>1</v>
      </c>
      <c r="K557" s="961">
        <v>23</v>
      </c>
      <c r="L557" s="961">
        <v>1</v>
      </c>
      <c r="M557" s="961">
        <v>4</v>
      </c>
      <c r="N557" s="961" t="s">
        <v>6468</v>
      </c>
      <c r="O557" s="961">
        <v>13</v>
      </c>
      <c r="P557" s="964">
        <v>35914.233030152798</v>
      </c>
      <c r="Q557" s="964"/>
      <c r="R557" s="964">
        <f t="shared" si="10"/>
        <v>35914.233030152798</v>
      </c>
      <c r="S557" s="964"/>
      <c r="T557" s="964"/>
      <c r="U557" s="964"/>
      <c r="V557" s="964"/>
    </row>
    <row r="558" spans="1:22" x14ac:dyDescent="0.25">
      <c r="A558" s="961" t="s">
        <v>6467</v>
      </c>
      <c r="B558" s="961">
        <v>2</v>
      </c>
      <c r="C558" s="961">
        <v>2</v>
      </c>
      <c r="D558" s="961" t="s">
        <v>6436</v>
      </c>
      <c r="E558" s="961" t="s">
        <v>6437</v>
      </c>
      <c r="F558" s="962">
        <v>448</v>
      </c>
      <c r="G558" s="961" t="s">
        <v>741</v>
      </c>
      <c r="H558" s="961">
        <v>1</v>
      </c>
      <c r="I558" s="963">
        <v>32302</v>
      </c>
      <c r="J558" s="961">
        <v>1</v>
      </c>
      <c r="K558" s="961">
        <v>23</v>
      </c>
      <c r="L558" s="961">
        <v>1</v>
      </c>
      <c r="M558" s="961">
        <v>4</v>
      </c>
      <c r="N558" s="961" t="s">
        <v>6468</v>
      </c>
      <c r="O558" s="971">
        <v>13</v>
      </c>
      <c r="P558" s="964">
        <v>1057526.9320954226</v>
      </c>
      <c r="Q558" s="964">
        <v>0</v>
      </c>
      <c r="R558" s="964">
        <f t="shared" si="10"/>
        <v>1057526.9320954226</v>
      </c>
      <c r="S558" s="964">
        <v>381992.99</v>
      </c>
      <c r="T558" s="964">
        <v>381992.99</v>
      </c>
      <c r="U558" s="964">
        <v>381992.99</v>
      </c>
      <c r="V558" s="964">
        <v>381992.99</v>
      </c>
    </row>
    <row r="559" spans="1:22" x14ac:dyDescent="0.25">
      <c r="A559" s="961" t="s">
        <v>6467</v>
      </c>
      <c r="B559" s="961">
        <v>2</v>
      </c>
      <c r="C559" s="961">
        <v>2</v>
      </c>
      <c r="D559" s="961" t="s">
        <v>6436</v>
      </c>
      <c r="E559" s="961" t="s">
        <v>6437</v>
      </c>
      <c r="F559" s="962">
        <v>448</v>
      </c>
      <c r="G559" s="961" t="s">
        <v>741</v>
      </c>
      <c r="H559" s="961">
        <v>1</v>
      </c>
      <c r="I559" s="963">
        <v>32601</v>
      </c>
      <c r="J559" s="961">
        <v>1</v>
      </c>
      <c r="K559" s="961">
        <v>23</v>
      </c>
      <c r="L559" s="961">
        <v>1</v>
      </c>
      <c r="M559" s="961">
        <v>4</v>
      </c>
      <c r="N559" s="961" t="s">
        <v>6468</v>
      </c>
      <c r="O559" s="961">
        <v>13</v>
      </c>
      <c r="P559" s="964">
        <v>2331268.9251699736</v>
      </c>
      <c r="Q559" s="964">
        <f>3277314.37+229680</f>
        <v>3506994.37</v>
      </c>
      <c r="R559" s="964">
        <f t="shared" si="10"/>
        <v>5838263.2951699737</v>
      </c>
      <c r="S559" s="964">
        <f>4777591.3+182113.6</f>
        <v>4959704.8999999994</v>
      </c>
      <c r="T559" s="964">
        <v>4777591.3</v>
      </c>
      <c r="U559" s="964">
        <v>4777591.3</v>
      </c>
      <c r="V559" s="964">
        <v>4238459.6399999997</v>
      </c>
    </row>
    <row r="560" spans="1:22" x14ac:dyDescent="0.25">
      <c r="A560" s="961" t="s">
        <v>6467</v>
      </c>
      <c r="B560" s="961">
        <v>2</v>
      </c>
      <c r="C560" s="961">
        <v>2</v>
      </c>
      <c r="D560" s="961" t="s">
        <v>6436</v>
      </c>
      <c r="E560" s="961" t="s">
        <v>6437</v>
      </c>
      <c r="F560" s="962">
        <v>448</v>
      </c>
      <c r="G560" s="961" t="s">
        <v>741</v>
      </c>
      <c r="H560" s="961">
        <v>1</v>
      </c>
      <c r="I560" s="963">
        <v>32901</v>
      </c>
      <c r="J560" s="961">
        <v>1</v>
      </c>
      <c r="K560" s="961">
        <v>23</v>
      </c>
      <c r="L560" s="961">
        <v>1</v>
      </c>
      <c r="M560" s="961">
        <v>4</v>
      </c>
      <c r="N560" s="961" t="s">
        <v>6468</v>
      </c>
      <c r="O560" s="971">
        <v>13</v>
      </c>
      <c r="P560" s="964">
        <v>9779.13304227548</v>
      </c>
      <c r="Q560" s="964">
        <v>928</v>
      </c>
      <c r="R560" s="964">
        <f t="shared" si="10"/>
        <v>10707.13304227548</v>
      </c>
      <c r="S560" s="964">
        <v>928</v>
      </c>
      <c r="T560" s="964">
        <v>928</v>
      </c>
      <c r="U560" s="964">
        <v>928</v>
      </c>
      <c r="V560" s="964">
        <v>928</v>
      </c>
    </row>
    <row r="561" spans="1:22" x14ac:dyDescent="0.25">
      <c r="A561" s="961" t="s">
        <v>6467</v>
      </c>
      <c r="B561" s="961">
        <v>2</v>
      </c>
      <c r="C561" s="961">
        <v>2</v>
      </c>
      <c r="D561" s="961" t="s">
        <v>6436</v>
      </c>
      <c r="E561" s="961" t="s">
        <v>6437</v>
      </c>
      <c r="F561" s="962">
        <v>448</v>
      </c>
      <c r="G561" s="961" t="s">
        <v>741</v>
      </c>
      <c r="H561" s="961">
        <v>1</v>
      </c>
      <c r="I561" s="963">
        <v>33101</v>
      </c>
      <c r="J561" s="961">
        <v>1</v>
      </c>
      <c r="K561" s="961">
        <v>23</v>
      </c>
      <c r="L561" s="961">
        <v>1</v>
      </c>
      <c r="M561" s="961">
        <v>4</v>
      </c>
      <c r="N561" s="961" t="s">
        <v>6468</v>
      </c>
      <c r="O561" s="971">
        <v>13</v>
      </c>
      <c r="P561" s="964">
        <v>1850081.3854247041</v>
      </c>
      <c r="Q561" s="964">
        <v>112623.57999999997</v>
      </c>
      <c r="R561" s="964">
        <f t="shared" si="10"/>
        <v>1962704.9654247041</v>
      </c>
      <c r="S561" s="964">
        <v>967547.09</v>
      </c>
      <c r="T561" s="964">
        <v>967547.09</v>
      </c>
      <c r="U561" s="964">
        <v>730913.66</v>
      </c>
      <c r="V561" s="964">
        <v>730913.66</v>
      </c>
    </row>
    <row r="562" spans="1:22" x14ac:dyDescent="0.25">
      <c r="A562" s="961" t="s">
        <v>6467</v>
      </c>
      <c r="B562" s="961">
        <v>2</v>
      </c>
      <c r="C562" s="961">
        <v>2</v>
      </c>
      <c r="D562" s="961" t="s">
        <v>6436</v>
      </c>
      <c r="E562" s="961" t="s">
        <v>6437</v>
      </c>
      <c r="F562" s="962">
        <v>448</v>
      </c>
      <c r="G562" s="961" t="s">
        <v>741</v>
      </c>
      <c r="H562" s="961">
        <v>1</v>
      </c>
      <c r="I562" s="963">
        <v>33201</v>
      </c>
      <c r="J562" s="961">
        <v>1</v>
      </c>
      <c r="K562" s="961">
        <v>23</v>
      </c>
      <c r="L562" s="961">
        <v>1</v>
      </c>
      <c r="M562" s="961">
        <v>4</v>
      </c>
      <c r="N562" s="961" t="s">
        <v>6468</v>
      </c>
      <c r="O562" s="971">
        <v>13</v>
      </c>
      <c r="P562" s="964">
        <v>529575.52678136365</v>
      </c>
      <c r="Q562" s="964">
        <v>-196180.44</v>
      </c>
      <c r="R562" s="964">
        <f t="shared" si="10"/>
        <v>333395.08678136364</v>
      </c>
      <c r="S562" s="964">
        <v>145205.35</v>
      </c>
      <c r="T562" s="964">
        <v>145205.35</v>
      </c>
      <c r="U562" s="964">
        <v>31283.3</v>
      </c>
      <c r="V562" s="964">
        <v>31283.3</v>
      </c>
    </row>
    <row r="563" spans="1:22" x14ac:dyDescent="0.25">
      <c r="A563" s="961" t="s">
        <v>6467</v>
      </c>
      <c r="B563" s="961">
        <v>2</v>
      </c>
      <c r="C563" s="961">
        <v>2</v>
      </c>
      <c r="D563" s="961" t="s">
        <v>6436</v>
      </c>
      <c r="E563" s="961" t="s">
        <v>6437</v>
      </c>
      <c r="F563" s="962">
        <v>448</v>
      </c>
      <c r="G563" s="961" t="s">
        <v>741</v>
      </c>
      <c r="H563" s="961">
        <v>1</v>
      </c>
      <c r="I563" s="963">
        <v>33301</v>
      </c>
      <c r="J563" s="961">
        <v>1</v>
      </c>
      <c r="K563" s="961">
        <v>23</v>
      </c>
      <c r="L563" s="961">
        <v>1</v>
      </c>
      <c r="M563" s="961">
        <v>4</v>
      </c>
      <c r="N563" s="961" t="s">
        <v>6468</v>
      </c>
      <c r="O563" s="971">
        <v>13</v>
      </c>
      <c r="P563" s="964">
        <v>787560.52121685853</v>
      </c>
      <c r="Q563" s="964">
        <v>-221457.15000000002</v>
      </c>
      <c r="R563" s="964">
        <f t="shared" si="10"/>
        <v>566103.3712168585</v>
      </c>
      <c r="S563" s="964">
        <v>201230.52000000002</v>
      </c>
      <c r="T563" s="964">
        <v>201230.52000000002</v>
      </c>
      <c r="U563" s="964">
        <v>188403.32000000004</v>
      </c>
      <c r="V563" s="964">
        <v>188403.32000000004</v>
      </c>
    </row>
    <row r="564" spans="1:22" x14ac:dyDescent="0.25">
      <c r="A564" s="961" t="s">
        <v>6467</v>
      </c>
      <c r="B564" s="961">
        <v>2</v>
      </c>
      <c r="C564" s="961">
        <v>2</v>
      </c>
      <c r="D564" s="961" t="s">
        <v>6436</v>
      </c>
      <c r="E564" s="961" t="s">
        <v>6437</v>
      </c>
      <c r="F564" s="962">
        <v>448</v>
      </c>
      <c r="G564" s="961" t="s">
        <v>741</v>
      </c>
      <c r="H564" s="961">
        <v>1</v>
      </c>
      <c r="I564" s="963">
        <v>33401</v>
      </c>
      <c r="J564" s="961">
        <v>1</v>
      </c>
      <c r="K564" s="961">
        <v>23</v>
      </c>
      <c r="L564" s="961">
        <v>1</v>
      </c>
      <c r="M564" s="961">
        <v>4</v>
      </c>
      <c r="N564" s="961" t="s">
        <v>6468</v>
      </c>
      <c r="O564" s="971">
        <v>13</v>
      </c>
      <c r="P564" s="964">
        <v>129620.65855212901</v>
      </c>
      <c r="Q564" s="964"/>
      <c r="R564" s="964">
        <f t="shared" si="10"/>
        <v>129620.65855212901</v>
      </c>
      <c r="S564" s="964"/>
      <c r="T564" s="964"/>
      <c r="U564" s="964"/>
      <c r="V564" s="964"/>
    </row>
    <row r="565" spans="1:22" x14ac:dyDescent="0.25">
      <c r="A565" s="961" t="s">
        <v>6467</v>
      </c>
      <c r="B565" s="961">
        <v>2</v>
      </c>
      <c r="C565" s="961">
        <v>2</v>
      </c>
      <c r="D565" s="961" t="s">
        <v>6436</v>
      </c>
      <c r="E565" s="961" t="s">
        <v>6437</v>
      </c>
      <c r="F565" s="962">
        <v>448</v>
      </c>
      <c r="G565" s="961" t="s">
        <v>741</v>
      </c>
      <c r="H565" s="961">
        <v>1</v>
      </c>
      <c r="I565" s="963">
        <v>33603</v>
      </c>
      <c r="J565" s="961">
        <v>1</v>
      </c>
      <c r="K565" s="961">
        <v>23</v>
      </c>
      <c r="L565" s="961">
        <v>1</v>
      </c>
      <c r="M565" s="961">
        <v>4</v>
      </c>
      <c r="N565" s="961" t="s">
        <v>6468</v>
      </c>
      <c r="O565" s="961">
        <v>13</v>
      </c>
      <c r="P565" s="964">
        <v>946382.70124591992</v>
      </c>
      <c r="Q565" s="964">
        <v>-231258.54000000004</v>
      </c>
      <c r="R565" s="964">
        <f t="shared" si="10"/>
        <v>715124.16124591988</v>
      </c>
      <c r="S565" s="964">
        <v>387648.8</v>
      </c>
      <c r="T565" s="964">
        <v>387648.8</v>
      </c>
      <c r="U565" s="964">
        <v>341886.8</v>
      </c>
      <c r="V565" s="964">
        <v>341886.8</v>
      </c>
    </row>
    <row r="566" spans="1:22" x14ac:dyDescent="0.25">
      <c r="A566" s="961" t="s">
        <v>6467</v>
      </c>
      <c r="B566" s="961">
        <v>2</v>
      </c>
      <c r="C566" s="961">
        <v>2</v>
      </c>
      <c r="D566" s="961" t="s">
        <v>6436</v>
      </c>
      <c r="E566" s="961" t="s">
        <v>6437</v>
      </c>
      <c r="F566" s="962">
        <v>448</v>
      </c>
      <c r="G566" s="961" t="s">
        <v>741</v>
      </c>
      <c r="H566" s="961">
        <v>1</v>
      </c>
      <c r="I566" s="963">
        <v>33801</v>
      </c>
      <c r="J566" s="961">
        <v>1</v>
      </c>
      <c r="K566" s="961">
        <v>23</v>
      </c>
      <c r="L566" s="961">
        <v>1</v>
      </c>
      <c r="M566" s="961">
        <v>4</v>
      </c>
      <c r="N566" s="961" t="s">
        <v>6468</v>
      </c>
      <c r="O566" s="961">
        <v>13</v>
      </c>
      <c r="P566" s="964">
        <v>337152.75310000003</v>
      </c>
      <c r="Q566" s="964">
        <v>-44801.390000000014</v>
      </c>
      <c r="R566" s="964">
        <f t="shared" si="10"/>
        <v>292351.36310000002</v>
      </c>
      <c r="S566" s="964">
        <v>180264</v>
      </c>
      <c r="T566" s="964">
        <v>180264</v>
      </c>
      <c r="U566" s="964">
        <v>90088</v>
      </c>
      <c r="V566" s="964">
        <v>90088</v>
      </c>
    </row>
    <row r="567" spans="1:22" x14ac:dyDescent="0.25">
      <c r="A567" s="961" t="s">
        <v>6467</v>
      </c>
      <c r="B567" s="961">
        <v>2</v>
      </c>
      <c r="C567" s="961">
        <v>2</v>
      </c>
      <c r="D567" s="961" t="s">
        <v>6436</v>
      </c>
      <c r="E567" s="961" t="s">
        <v>6437</v>
      </c>
      <c r="F567" s="962">
        <v>448</v>
      </c>
      <c r="G567" s="961" t="s">
        <v>741</v>
      </c>
      <c r="H567" s="961">
        <v>1</v>
      </c>
      <c r="I567" s="963">
        <v>33901</v>
      </c>
      <c r="J567" s="961">
        <v>1</v>
      </c>
      <c r="K567" s="961">
        <v>23</v>
      </c>
      <c r="L567" s="961">
        <v>1</v>
      </c>
      <c r="M567" s="961">
        <v>4</v>
      </c>
      <c r="N567" s="961" t="s">
        <v>6468</v>
      </c>
      <c r="O567" s="971">
        <v>13</v>
      </c>
      <c r="P567" s="964">
        <v>1348168.0079999999</v>
      </c>
      <c r="Q567" s="964">
        <f>1922216.65-181290.84</f>
        <v>1740925.8099999998</v>
      </c>
      <c r="R567" s="964">
        <f t="shared" si="10"/>
        <v>3089093.818</v>
      </c>
      <c r="S567" s="964">
        <v>3192273.87</v>
      </c>
      <c r="T567" s="964">
        <v>3192273.87</v>
      </c>
      <c r="U567" s="964">
        <v>3007162.43</v>
      </c>
      <c r="V567" s="964">
        <v>3007162.43</v>
      </c>
    </row>
    <row r="568" spans="1:22" x14ac:dyDescent="0.25">
      <c r="A568" s="961" t="s">
        <v>6467</v>
      </c>
      <c r="B568" s="961">
        <v>2</v>
      </c>
      <c r="C568" s="961">
        <v>2</v>
      </c>
      <c r="D568" s="961" t="s">
        <v>6436</v>
      </c>
      <c r="E568" s="961" t="s">
        <v>6437</v>
      </c>
      <c r="F568" s="962">
        <v>448</v>
      </c>
      <c r="G568" s="961" t="s">
        <v>741</v>
      </c>
      <c r="H568" s="961">
        <v>1</v>
      </c>
      <c r="I568" s="963">
        <v>33902</v>
      </c>
      <c r="J568" s="961">
        <v>1</v>
      </c>
      <c r="K568" s="961">
        <v>23</v>
      </c>
      <c r="L568" s="961">
        <v>1</v>
      </c>
      <c r="M568" s="961">
        <v>4</v>
      </c>
      <c r="N568" s="961" t="s">
        <v>6468</v>
      </c>
      <c r="O568" s="971">
        <v>13</v>
      </c>
      <c r="P568" s="964"/>
      <c r="Q568" s="964">
        <v>77081740.079999998</v>
      </c>
      <c r="R568" s="964">
        <f t="shared" si="10"/>
        <v>77081740.079999998</v>
      </c>
      <c r="S568" s="964">
        <v>77081740.079999998</v>
      </c>
      <c r="T568" s="964">
        <v>77081740.079999998</v>
      </c>
      <c r="U568" s="964">
        <v>77081740.079999998</v>
      </c>
      <c r="V568" s="964">
        <v>77081740.079999998</v>
      </c>
    </row>
    <row r="569" spans="1:22" x14ac:dyDescent="0.25">
      <c r="A569" s="961" t="s">
        <v>6467</v>
      </c>
      <c r="B569" s="961">
        <v>2</v>
      </c>
      <c r="C569" s="961">
        <v>2</v>
      </c>
      <c r="D569" s="961" t="s">
        <v>6436</v>
      </c>
      <c r="E569" s="961" t="s">
        <v>6437</v>
      </c>
      <c r="F569" s="962">
        <v>448</v>
      </c>
      <c r="G569" s="961" t="s">
        <v>741</v>
      </c>
      <c r="H569" s="961">
        <v>1</v>
      </c>
      <c r="I569" s="963">
        <v>34101</v>
      </c>
      <c r="J569" s="961">
        <v>1</v>
      </c>
      <c r="K569" s="961">
        <v>23</v>
      </c>
      <c r="L569" s="961">
        <v>1</v>
      </c>
      <c r="M569" s="961">
        <v>4</v>
      </c>
      <c r="N569" s="961" t="s">
        <v>6468</v>
      </c>
      <c r="O569" s="961">
        <v>13</v>
      </c>
      <c r="P569" s="964">
        <v>861377.65509305254</v>
      </c>
      <c r="Q569" s="964">
        <v>476672.43000000005</v>
      </c>
      <c r="R569" s="964">
        <f t="shared" si="10"/>
        <v>1338050.0850930526</v>
      </c>
      <c r="S569" s="964">
        <v>1184457.26</v>
      </c>
      <c r="T569" s="964">
        <v>1184457.26</v>
      </c>
      <c r="U569" s="964">
        <v>1143213.1800000002</v>
      </c>
      <c r="V569" s="964">
        <v>1143213.1800000002</v>
      </c>
    </row>
    <row r="570" spans="1:22" x14ac:dyDescent="0.25">
      <c r="A570" s="961" t="s">
        <v>6467</v>
      </c>
      <c r="B570" s="961">
        <v>2</v>
      </c>
      <c r="C570" s="961">
        <v>2</v>
      </c>
      <c r="D570" s="961" t="s">
        <v>6436</v>
      </c>
      <c r="E570" s="961" t="s">
        <v>6437</v>
      </c>
      <c r="F570" s="962">
        <v>448</v>
      </c>
      <c r="G570" s="961" t="s">
        <v>741</v>
      </c>
      <c r="H570" s="961">
        <v>1</v>
      </c>
      <c r="I570" s="963">
        <v>34301</v>
      </c>
      <c r="J570" s="961">
        <v>1</v>
      </c>
      <c r="K570" s="961">
        <v>23</v>
      </c>
      <c r="L570" s="961">
        <v>1</v>
      </c>
      <c r="M570" s="961">
        <v>4</v>
      </c>
      <c r="N570" s="961" t="s">
        <v>6468</v>
      </c>
      <c r="O570" s="971">
        <v>13</v>
      </c>
      <c r="P570" s="964">
        <v>8109913.412464424</v>
      </c>
      <c r="Q570" s="964">
        <v>-6693682.8300000001</v>
      </c>
      <c r="R570" s="964">
        <f t="shared" si="10"/>
        <v>1416230.582464424</v>
      </c>
      <c r="S570" s="964">
        <v>741764.51000000013</v>
      </c>
      <c r="T570" s="964">
        <v>741764.51000000013</v>
      </c>
      <c r="U570" s="964">
        <v>741761.03</v>
      </c>
      <c r="V570" s="964">
        <v>741761.03</v>
      </c>
    </row>
    <row r="571" spans="1:22" x14ac:dyDescent="0.25">
      <c r="A571" s="961" t="s">
        <v>6467</v>
      </c>
      <c r="B571" s="961">
        <v>2</v>
      </c>
      <c r="C571" s="961">
        <v>2</v>
      </c>
      <c r="D571" s="961" t="s">
        <v>6436</v>
      </c>
      <c r="E571" s="961" t="s">
        <v>6437</v>
      </c>
      <c r="F571" s="962">
        <v>448</v>
      </c>
      <c r="G571" s="961" t="s">
        <v>741</v>
      </c>
      <c r="H571" s="961">
        <v>1</v>
      </c>
      <c r="I571" s="963">
        <v>34401</v>
      </c>
      <c r="J571" s="961">
        <v>1</v>
      </c>
      <c r="K571" s="961">
        <v>23</v>
      </c>
      <c r="L571" s="961">
        <v>1</v>
      </c>
      <c r="M571" s="961">
        <v>4</v>
      </c>
      <c r="N571" s="961" t="s">
        <v>6468</v>
      </c>
      <c r="O571" s="971">
        <v>13</v>
      </c>
      <c r="P571" s="964">
        <v>825515.87194137508</v>
      </c>
      <c r="Q571" s="964">
        <v>-297460.75</v>
      </c>
      <c r="R571" s="964">
        <f t="shared" si="10"/>
        <v>528055.12194137508</v>
      </c>
      <c r="S571" s="964">
        <v>528055.12194137508</v>
      </c>
      <c r="T571" s="964">
        <v>406200.17</v>
      </c>
      <c r="U571" s="964">
        <v>399681.12</v>
      </c>
      <c r="V571" s="964">
        <v>399681.12</v>
      </c>
    </row>
    <row r="572" spans="1:22" x14ac:dyDescent="0.25">
      <c r="A572" s="961" t="s">
        <v>6467</v>
      </c>
      <c r="B572" s="961">
        <v>2</v>
      </c>
      <c r="C572" s="961">
        <v>2</v>
      </c>
      <c r="D572" s="961" t="s">
        <v>6436</v>
      </c>
      <c r="E572" s="961" t="s">
        <v>6437</v>
      </c>
      <c r="F572" s="962">
        <v>448</v>
      </c>
      <c r="G572" s="961" t="s">
        <v>741</v>
      </c>
      <c r="H572" s="961">
        <v>1</v>
      </c>
      <c r="I572" s="963">
        <v>34701</v>
      </c>
      <c r="J572" s="961">
        <v>1</v>
      </c>
      <c r="K572" s="961">
        <v>23</v>
      </c>
      <c r="L572" s="961">
        <v>1</v>
      </c>
      <c r="M572" s="961">
        <v>4</v>
      </c>
      <c r="N572" s="961" t="s">
        <v>6468</v>
      </c>
      <c r="O572" s="961">
        <v>13</v>
      </c>
      <c r="P572" s="964">
        <v>89448.332479347911</v>
      </c>
      <c r="Q572" s="964">
        <v>24240.920000000006</v>
      </c>
      <c r="R572" s="964">
        <f t="shared" si="10"/>
        <v>113689.25247934792</v>
      </c>
      <c r="S572" s="964">
        <v>113689.25247934792</v>
      </c>
      <c r="T572" s="964">
        <v>61489.25</v>
      </c>
      <c r="U572" s="964">
        <v>49309.25</v>
      </c>
      <c r="V572" s="964">
        <v>49309.25</v>
      </c>
    </row>
    <row r="573" spans="1:22" x14ac:dyDescent="0.25">
      <c r="A573" s="961" t="s">
        <v>6467</v>
      </c>
      <c r="B573" s="961">
        <v>2</v>
      </c>
      <c r="C573" s="961">
        <v>2</v>
      </c>
      <c r="D573" s="961" t="s">
        <v>6436</v>
      </c>
      <c r="E573" s="961" t="s">
        <v>6437</v>
      </c>
      <c r="F573" s="962">
        <v>448</v>
      </c>
      <c r="G573" s="961" t="s">
        <v>741</v>
      </c>
      <c r="H573" s="961">
        <v>1</v>
      </c>
      <c r="I573" s="963">
        <v>35101</v>
      </c>
      <c r="J573" s="961">
        <v>1</v>
      </c>
      <c r="K573" s="961">
        <v>23</v>
      </c>
      <c r="L573" s="961">
        <v>1</v>
      </c>
      <c r="M573" s="961">
        <v>4</v>
      </c>
      <c r="N573" s="961" t="s">
        <v>6468</v>
      </c>
      <c r="O573" s="971">
        <v>13</v>
      </c>
      <c r="P573" s="964">
        <v>297125.03439800639</v>
      </c>
      <c r="Q573" s="964">
        <v>233585.4</v>
      </c>
      <c r="R573" s="964">
        <f t="shared" si="10"/>
        <v>530710.43439800641</v>
      </c>
      <c r="S573" s="964">
        <v>530710.43439800641</v>
      </c>
      <c r="T573" s="964">
        <v>417868.42000000004</v>
      </c>
      <c r="U573" s="964">
        <v>415924.42000000004</v>
      </c>
      <c r="V573" s="964">
        <v>415924.42000000004</v>
      </c>
    </row>
    <row r="574" spans="1:22" x14ac:dyDescent="0.25">
      <c r="A574" s="961" t="s">
        <v>6467</v>
      </c>
      <c r="B574" s="961">
        <v>2</v>
      </c>
      <c r="C574" s="961">
        <v>2</v>
      </c>
      <c r="D574" s="961" t="s">
        <v>6436</v>
      </c>
      <c r="E574" s="961" t="s">
        <v>6437</v>
      </c>
      <c r="F574" s="962">
        <v>448</v>
      </c>
      <c r="G574" s="961" t="s">
        <v>741</v>
      </c>
      <c r="H574" s="961">
        <v>1</v>
      </c>
      <c r="I574" s="963">
        <v>35201</v>
      </c>
      <c r="J574" s="961">
        <v>1</v>
      </c>
      <c r="K574" s="961">
        <v>23</v>
      </c>
      <c r="L574" s="961">
        <v>1</v>
      </c>
      <c r="M574" s="961">
        <v>4</v>
      </c>
      <c r="N574" s="961" t="s">
        <v>6468</v>
      </c>
      <c r="O574" s="971">
        <v>13</v>
      </c>
      <c r="P574" s="964">
        <v>79447.439958535993</v>
      </c>
      <c r="Q574" s="964">
        <v>-4122.97</v>
      </c>
      <c r="R574" s="964">
        <f t="shared" si="10"/>
        <v>75324.469958535992</v>
      </c>
      <c r="S574" s="964">
        <v>8028</v>
      </c>
      <c r="T574" s="964">
        <v>8028</v>
      </c>
      <c r="U574" s="964">
        <v>8028</v>
      </c>
      <c r="V574" s="964">
        <v>8028</v>
      </c>
    </row>
    <row r="575" spans="1:22" x14ac:dyDescent="0.25">
      <c r="A575" s="961" t="s">
        <v>6467</v>
      </c>
      <c r="B575" s="961">
        <v>2</v>
      </c>
      <c r="C575" s="961">
        <v>2</v>
      </c>
      <c r="D575" s="961" t="s">
        <v>6436</v>
      </c>
      <c r="E575" s="961" t="s">
        <v>6437</v>
      </c>
      <c r="F575" s="962">
        <v>448</v>
      </c>
      <c r="G575" s="961" t="s">
        <v>741</v>
      </c>
      <c r="H575" s="961">
        <v>1</v>
      </c>
      <c r="I575" s="963">
        <v>35302</v>
      </c>
      <c r="J575" s="961">
        <v>1</v>
      </c>
      <c r="K575" s="961">
        <v>23</v>
      </c>
      <c r="L575" s="961">
        <v>1</v>
      </c>
      <c r="M575" s="961">
        <v>4</v>
      </c>
      <c r="N575" s="961" t="s">
        <v>6468</v>
      </c>
      <c r="O575" s="971">
        <v>13</v>
      </c>
      <c r="P575" s="964">
        <v>70766.412715745246</v>
      </c>
      <c r="Q575" s="964">
        <v>700</v>
      </c>
      <c r="R575" s="964">
        <f t="shared" si="10"/>
        <v>71466.412715745246</v>
      </c>
      <c r="S575" s="964">
        <v>4838.01</v>
      </c>
      <c r="T575" s="964">
        <v>4838.01</v>
      </c>
      <c r="U575" s="964">
        <v>4838.01</v>
      </c>
      <c r="V575" s="964">
        <v>4838.01</v>
      </c>
    </row>
    <row r="576" spans="1:22" x14ac:dyDescent="0.25">
      <c r="A576" s="961" t="s">
        <v>6467</v>
      </c>
      <c r="B576" s="961">
        <v>2</v>
      </c>
      <c r="C576" s="961">
        <v>2</v>
      </c>
      <c r="D576" s="961" t="s">
        <v>6436</v>
      </c>
      <c r="E576" s="961" t="s">
        <v>6437</v>
      </c>
      <c r="F576" s="962">
        <v>448</v>
      </c>
      <c r="G576" s="961" t="s">
        <v>741</v>
      </c>
      <c r="H576" s="961">
        <v>1</v>
      </c>
      <c r="I576" s="963">
        <v>35501</v>
      </c>
      <c r="J576" s="961">
        <v>1</v>
      </c>
      <c r="K576" s="961">
        <v>23</v>
      </c>
      <c r="L576" s="961">
        <v>1</v>
      </c>
      <c r="M576" s="961">
        <v>4</v>
      </c>
      <c r="N576" s="961" t="s">
        <v>6468</v>
      </c>
      <c r="O576" s="961">
        <v>13</v>
      </c>
      <c r="P576" s="964">
        <v>1086731.2158652721</v>
      </c>
      <c r="Q576" s="964">
        <v>1572911.98</v>
      </c>
      <c r="R576" s="964">
        <f t="shared" si="10"/>
        <v>2659643.1958652721</v>
      </c>
      <c r="S576" s="964">
        <v>2659643.1958652721</v>
      </c>
      <c r="T576" s="964">
        <v>1558222.27</v>
      </c>
      <c r="U576" s="964">
        <v>1558222.27</v>
      </c>
      <c r="V576" s="964">
        <v>1429724.75</v>
      </c>
    </row>
    <row r="577" spans="1:22" x14ac:dyDescent="0.25">
      <c r="A577" s="961" t="s">
        <v>6467</v>
      </c>
      <c r="B577" s="961">
        <v>2</v>
      </c>
      <c r="C577" s="961">
        <v>2</v>
      </c>
      <c r="D577" s="961" t="s">
        <v>6436</v>
      </c>
      <c r="E577" s="961" t="s">
        <v>6437</v>
      </c>
      <c r="F577" s="962">
        <v>448</v>
      </c>
      <c r="G577" s="961" t="s">
        <v>741</v>
      </c>
      <c r="H577" s="961">
        <v>1</v>
      </c>
      <c r="I577" s="963">
        <v>35701</v>
      </c>
      <c r="J577" s="961">
        <v>1</v>
      </c>
      <c r="K577" s="961">
        <v>23</v>
      </c>
      <c r="L577" s="961">
        <v>1</v>
      </c>
      <c r="M577" s="961">
        <v>4</v>
      </c>
      <c r="N577" s="961" t="s">
        <v>6468</v>
      </c>
      <c r="O577" s="961">
        <v>13</v>
      </c>
      <c r="P577" s="964">
        <v>13730807.831439309</v>
      </c>
      <c r="Q577" s="964">
        <f>-4709873.87+256215.11</f>
        <v>-4453658.76</v>
      </c>
      <c r="R577" s="964">
        <f t="shared" si="10"/>
        <v>9277149.071439309</v>
      </c>
      <c r="S577" s="964">
        <v>9277149.071439309</v>
      </c>
      <c r="T577" s="964">
        <v>6778833.6200000001</v>
      </c>
      <c r="U577" s="964">
        <f>6778833.62-986072.36</f>
        <v>5792761.2599999998</v>
      </c>
      <c r="V577" s="964">
        <v>4687756.41</v>
      </c>
    </row>
    <row r="578" spans="1:22" x14ac:dyDescent="0.25">
      <c r="A578" s="961" t="s">
        <v>6467</v>
      </c>
      <c r="B578" s="961">
        <v>2</v>
      </c>
      <c r="C578" s="961">
        <v>2</v>
      </c>
      <c r="D578" s="961" t="s">
        <v>6436</v>
      </c>
      <c r="E578" s="961" t="s">
        <v>6437</v>
      </c>
      <c r="F578" s="962">
        <v>448</v>
      </c>
      <c r="G578" s="961" t="s">
        <v>741</v>
      </c>
      <c r="H578" s="961">
        <v>1</v>
      </c>
      <c r="I578" s="963">
        <v>35702</v>
      </c>
      <c r="J578" s="961">
        <v>1</v>
      </c>
      <c r="K578" s="961">
        <v>23</v>
      </c>
      <c r="L578" s="961">
        <v>1</v>
      </c>
      <c r="M578" s="961">
        <v>4</v>
      </c>
      <c r="N578" s="961" t="s">
        <v>6468</v>
      </c>
      <c r="O578" s="961">
        <v>13</v>
      </c>
      <c r="P578" s="964"/>
      <c r="Q578" s="964"/>
      <c r="R578" s="964">
        <f t="shared" si="10"/>
        <v>0</v>
      </c>
      <c r="S578" s="964">
        <v>0</v>
      </c>
      <c r="T578" s="964">
        <v>0</v>
      </c>
      <c r="U578" s="964">
        <v>0</v>
      </c>
      <c r="V578" s="964">
        <v>0</v>
      </c>
    </row>
    <row r="579" spans="1:22" x14ac:dyDescent="0.25">
      <c r="A579" s="961" t="s">
        <v>6467</v>
      </c>
      <c r="B579" s="961">
        <v>2</v>
      </c>
      <c r="C579" s="961">
        <v>2</v>
      </c>
      <c r="D579" s="961" t="s">
        <v>6436</v>
      </c>
      <c r="E579" s="961" t="s">
        <v>6437</v>
      </c>
      <c r="F579" s="962">
        <v>448</v>
      </c>
      <c r="G579" s="961" t="s">
        <v>741</v>
      </c>
      <c r="H579" s="961">
        <v>1</v>
      </c>
      <c r="I579" s="963">
        <v>35801</v>
      </c>
      <c r="J579" s="961">
        <v>1</v>
      </c>
      <c r="K579" s="961">
        <v>23</v>
      </c>
      <c r="L579" s="961">
        <v>1</v>
      </c>
      <c r="M579" s="961">
        <v>4</v>
      </c>
      <c r="N579" s="961" t="s">
        <v>6468</v>
      </c>
      <c r="O579" s="971">
        <v>13</v>
      </c>
      <c r="P579" s="964">
        <v>176429.77948129724</v>
      </c>
      <c r="Q579" s="964">
        <v>355873.58</v>
      </c>
      <c r="R579" s="964">
        <f t="shared" si="10"/>
        <v>532303.3594812972</v>
      </c>
      <c r="S579" s="964">
        <v>474080.94</v>
      </c>
      <c r="T579" s="964">
        <v>474080.94</v>
      </c>
      <c r="U579" s="964">
        <v>462080.94</v>
      </c>
      <c r="V579" s="964">
        <v>462080.94</v>
      </c>
    </row>
    <row r="580" spans="1:22" x14ac:dyDescent="0.25">
      <c r="A580" s="961" t="s">
        <v>6467</v>
      </c>
      <c r="B580" s="961">
        <v>2</v>
      </c>
      <c r="C580" s="961">
        <v>2</v>
      </c>
      <c r="D580" s="961" t="s">
        <v>6436</v>
      </c>
      <c r="E580" s="961" t="s">
        <v>6437</v>
      </c>
      <c r="F580" s="962">
        <v>448</v>
      </c>
      <c r="G580" s="961" t="s">
        <v>741</v>
      </c>
      <c r="H580" s="961">
        <v>1</v>
      </c>
      <c r="I580" s="963">
        <v>35901</v>
      </c>
      <c r="J580" s="961">
        <v>1</v>
      </c>
      <c r="K580" s="961">
        <v>23</v>
      </c>
      <c r="L580" s="961">
        <v>1</v>
      </c>
      <c r="M580" s="961">
        <v>4</v>
      </c>
      <c r="N580" s="961" t="s">
        <v>6468</v>
      </c>
      <c r="O580" s="961">
        <v>13</v>
      </c>
      <c r="P580" s="964">
        <v>35681.682463416742</v>
      </c>
      <c r="Q580" s="964">
        <v>-25531.68</v>
      </c>
      <c r="R580" s="964">
        <f t="shared" si="10"/>
        <v>10150.002463416742</v>
      </c>
      <c r="S580" s="964"/>
      <c r="T580" s="964"/>
      <c r="U580" s="964"/>
      <c r="V580" s="964"/>
    </row>
    <row r="581" spans="1:22" x14ac:dyDescent="0.25">
      <c r="A581" s="961" t="s">
        <v>6467</v>
      </c>
      <c r="B581" s="961">
        <v>2</v>
      </c>
      <c r="C581" s="961">
        <v>2</v>
      </c>
      <c r="D581" s="961" t="s">
        <v>6436</v>
      </c>
      <c r="E581" s="961" t="s">
        <v>6437</v>
      </c>
      <c r="F581" s="962">
        <v>448</v>
      </c>
      <c r="G581" s="961" t="s">
        <v>741</v>
      </c>
      <c r="H581" s="961">
        <v>1</v>
      </c>
      <c r="I581" s="963">
        <v>36101</v>
      </c>
      <c r="J581" s="961">
        <v>1</v>
      </c>
      <c r="K581" s="961">
        <v>23</v>
      </c>
      <c r="L581" s="961">
        <v>1</v>
      </c>
      <c r="M581" s="961">
        <v>4</v>
      </c>
      <c r="N581" s="961" t="s">
        <v>6468</v>
      </c>
      <c r="O581" s="961">
        <v>13</v>
      </c>
      <c r="P581" s="964">
        <v>1773078.6326371171</v>
      </c>
      <c r="Q581" s="964">
        <v>-1334992.1299999999</v>
      </c>
      <c r="R581" s="964">
        <f t="shared" si="10"/>
        <v>438086.50263711717</v>
      </c>
      <c r="S581" s="964">
        <v>115455</v>
      </c>
      <c r="T581" s="964">
        <v>115455</v>
      </c>
      <c r="U581" s="964">
        <v>115455</v>
      </c>
      <c r="V581" s="964">
        <v>115455</v>
      </c>
    </row>
    <row r="582" spans="1:22" x14ac:dyDescent="0.25">
      <c r="A582" s="961" t="s">
        <v>6467</v>
      </c>
      <c r="B582" s="961">
        <v>2</v>
      </c>
      <c r="C582" s="961">
        <v>2</v>
      </c>
      <c r="D582" s="961" t="s">
        <v>6436</v>
      </c>
      <c r="E582" s="961" t="s">
        <v>6437</v>
      </c>
      <c r="F582" s="962">
        <v>448</v>
      </c>
      <c r="G582" s="961" t="s">
        <v>741</v>
      </c>
      <c r="H582" s="961">
        <v>1</v>
      </c>
      <c r="I582" s="963">
        <v>36401</v>
      </c>
      <c r="J582" s="961">
        <v>1</v>
      </c>
      <c r="K582" s="961">
        <v>23</v>
      </c>
      <c r="L582" s="961">
        <v>1</v>
      </c>
      <c r="M582" s="961">
        <v>4</v>
      </c>
      <c r="N582" s="961" t="s">
        <v>6468</v>
      </c>
      <c r="O582" s="971">
        <v>13</v>
      </c>
      <c r="P582" s="964">
        <v>507.31799648922885</v>
      </c>
      <c r="Q582" s="964"/>
      <c r="R582" s="964">
        <f t="shared" si="10"/>
        <v>507.31799648922885</v>
      </c>
      <c r="S582" s="964"/>
      <c r="T582" s="964"/>
      <c r="U582" s="964"/>
      <c r="V582" s="964"/>
    </row>
    <row r="583" spans="1:22" x14ac:dyDescent="0.25">
      <c r="A583" s="961" t="s">
        <v>6467</v>
      </c>
      <c r="B583" s="961">
        <v>2</v>
      </c>
      <c r="C583" s="961">
        <v>2</v>
      </c>
      <c r="D583" s="961" t="s">
        <v>6436</v>
      </c>
      <c r="E583" s="961" t="s">
        <v>6437</v>
      </c>
      <c r="F583" s="962">
        <v>448</v>
      </c>
      <c r="G583" s="961" t="s">
        <v>741</v>
      </c>
      <c r="H583" s="961">
        <v>1</v>
      </c>
      <c r="I583" s="963">
        <v>36501</v>
      </c>
      <c r="J583" s="961">
        <v>1</v>
      </c>
      <c r="K583" s="961">
        <v>23</v>
      </c>
      <c r="L583" s="961">
        <v>1</v>
      </c>
      <c r="M583" s="961">
        <v>4</v>
      </c>
      <c r="N583" s="961" t="s">
        <v>6468</v>
      </c>
      <c r="O583" s="961">
        <v>13</v>
      </c>
      <c r="P583" s="964">
        <v>26163.24</v>
      </c>
      <c r="Q583" s="964"/>
      <c r="R583" s="964">
        <f t="shared" si="10"/>
        <v>26163.24</v>
      </c>
      <c r="S583" s="964"/>
      <c r="T583" s="964"/>
      <c r="U583" s="964"/>
      <c r="V583" s="964"/>
    </row>
    <row r="584" spans="1:22" x14ac:dyDescent="0.25">
      <c r="A584" s="961" t="s">
        <v>6467</v>
      </c>
      <c r="B584" s="961">
        <v>2</v>
      </c>
      <c r="C584" s="961">
        <v>2</v>
      </c>
      <c r="D584" s="961" t="s">
        <v>6436</v>
      </c>
      <c r="E584" s="961" t="s">
        <v>6437</v>
      </c>
      <c r="F584" s="962">
        <v>448</v>
      </c>
      <c r="G584" s="961" t="s">
        <v>741</v>
      </c>
      <c r="H584" s="961">
        <v>1</v>
      </c>
      <c r="I584" s="963">
        <v>36901</v>
      </c>
      <c r="J584" s="961">
        <v>1</v>
      </c>
      <c r="K584" s="961">
        <v>23</v>
      </c>
      <c r="L584" s="961">
        <v>1</v>
      </c>
      <c r="M584" s="961">
        <v>4</v>
      </c>
      <c r="N584" s="961" t="s">
        <v>6468</v>
      </c>
      <c r="O584" s="961">
        <v>13</v>
      </c>
      <c r="P584" s="964">
        <v>3621.5397961004564</v>
      </c>
      <c r="Q584" s="964"/>
      <c r="R584" s="964">
        <f t="shared" si="10"/>
        <v>3621.5397961004564</v>
      </c>
      <c r="S584" s="964">
        <v>2556</v>
      </c>
      <c r="T584" s="964">
        <v>2556</v>
      </c>
      <c r="U584" s="964">
        <v>2556</v>
      </c>
      <c r="V584" s="964">
        <v>2556</v>
      </c>
    </row>
    <row r="585" spans="1:22" x14ac:dyDescent="0.25">
      <c r="A585" s="961" t="s">
        <v>6467</v>
      </c>
      <c r="B585" s="961">
        <v>2</v>
      </c>
      <c r="C585" s="961">
        <v>2</v>
      </c>
      <c r="D585" s="961" t="s">
        <v>6436</v>
      </c>
      <c r="E585" s="961" t="s">
        <v>6437</v>
      </c>
      <c r="F585" s="962">
        <v>448</v>
      </c>
      <c r="G585" s="961" t="s">
        <v>741</v>
      </c>
      <c r="H585" s="961">
        <v>1</v>
      </c>
      <c r="I585" s="963">
        <v>37101</v>
      </c>
      <c r="J585" s="961">
        <v>1</v>
      </c>
      <c r="K585" s="961">
        <v>23</v>
      </c>
      <c r="L585" s="961">
        <v>1</v>
      </c>
      <c r="M585" s="961">
        <v>4</v>
      </c>
      <c r="N585" s="961" t="s">
        <v>6468</v>
      </c>
      <c r="O585" s="971">
        <v>13</v>
      </c>
      <c r="P585" s="964"/>
      <c r="Q585" s="964">
        <v>16419</v>
      </c>
      <c r="R585" s="964">
        <f t="shared" si="10"/>
        <v>16419</v>
      </c>
      <c r="S585" s="964">
        <v>16392</v>
      </c>
      <c r="T585" s="964">
        <v>16392</v>
      </c>
      <c r="U585" s="964">
        <v>16392</v>
      </c>
      <c r="V585" s="964">
        <v>16392</v>
      </c>
    </row>
    <row r="586" spans="1:22" x14ac:dyDescent="0.25">
      <c r="A586" s="961" t="s">
        <v>6467</v>
      </c>
      <c r="B586" s="961">
        <v>2</v>
      </c>
      <c r="C586" s="961">
        <v>2</v>
      </c>
      <c r="D586" s="961" t="s">
        <v>6436</v>
      </c>
      <c r="E586" s="961" t="s">
        <v>6437</v>
      </c>
      <c r="F586" s="962">
        <v>448</v>
      </c>
      <c r="G586" s="961" t="s">
        <v>741</v>
      </c>
      <c r="H586" s="961">
        <v>1</v>
      </c>
      <c r="I586" s="963">
        <v>37201</v>
      </c>
      <c r="J586" s="961">
        <v>1</v>
      </c>
      <c r="K586" s="961">
        <v>23</v>
      </c>
      <c r="L586" s="961">
        <v>1</v>
      </c>
      <c r="M586" s="961">
        <v>4</v>
      </c>
      <c r="N586" s="961" t="s">
        <v>6468</v>
      </c>
      <c r="O586" s="961">
        <v>13</v>
      </c>
      <c r="P586" s="964">
        <v>1500</v>
      </c>
      <c r="Q586" s="964"/>
      <c r="R586" s="964">
        <f t="shared" si="10"/>
        <v>1500</v>
      </c>
      <c r="S586" s="964"/>
      <c r="T586" s="964"/>
      <c r="U586" s="964"/>
      <c r="V586" s="964"/>
    </row>
    <row r="587" spans="1:22" x14ac:dyDescent="0.25">
      <c r="A587" s="961" t="s">
        <v>6467</v>
      </c>
      <c r="B587" s="961">
        <v>2</v>
      </c>
      <c r="C587" s="961">
        <v>2</v>
      </c>
      <c r="D587" s="961" t="s">
        <v>6436</v>
      </c>
      <c r="E587" s="961" t="s">
        <v>6437</v>
      </c>
      <c r="F587" s="962">
        <v>448</v>
      </c>
      <c r="G587" s="961" t="s">
        <v>741</v>
      </c>
      <c r="H587" s="961">
        <v>1</v>
      </c>
      <c r="I587" s="963">
        <v>37501</v>
      </c>
      <c r="J587" s="961">
        <v>1</v>
      </c>
      <c r="K587" s="961">
        <v>23</v>
      </c>
      <c r="L587" s="961">
        <v>1</v>
      </c>
      <c r="M587" s="961">
        <v>4</v>
      </c>
      <c r="N587" s="961" t="s">
        <v>6468</v>
      </c>
      <c r="O587" s="971">
        <v>13</v>
      </c>
      <c r="P587" s="964">
        <v>714437.63261920586</v>
      </c>
      <c r="Q587" s="964">
        <v>160143.66</v>
      </c>
      <c r="R587" s="964">
        <f t="shared" si="10"/>
        <v>874581.29261920589</v>
      </c>
      <c r="S587" s="964">
        <v>874581.29261920589</v>
      </c>
      <c r="T587" s="964">
        <v>692679</v>
      </c>
      <c r="U587" s="964">
        <v>692679</v>
      </c>
      <c r="V587" s="964">
        <v>692679</v>
      </c>
    </row>
    <row r="588" spans="1:22" x14ac:dyDescent="0.25">
      <c r="A588" s="961" t="s">
        <v>6467</v>
      </c>
      <c r="B588" s="961">
        <v>2</v>
      </c>
      <c r="C588" s="961">
        <v>2</v>
      </c>
      <c r="D588" s="961" t="s">
        <v>6436</v>
      </c>
      <c r="E588" s="961" t="s">
        <v>6437</v>
      </c>
      <c r="F588" s="962">
        <v>448</v>
      </c>
      <c r="G588" s="961" t="s">
        <v>741</v>
      </c>
      <c r="H588" s="961">
        <v>1</v>
      </c>
      <c r="I588" s="963">
        <v>37502</v>
      </c>
      <c r="J588" s="961">
        <v>1</v>
      </c>
      <c r="K588" s="961">
        <v>23</v>
      </c>
      <c r="L588" s="961">
        <v>1</v>
      </c>
      <c r="M588" s="961">
        <v>4</v>
      </c>
      <c r="N588" s="961" t="s">
        <v>6468</v>
      </c>
      <c r="O588" s="971">
        <v>13</v>
      </c>
      <c r="P588" s="964">
        <v>286897.82128622255</v>
      </c>
      <c r="Q588" s="964">
        <v>12210.74</v>
      </c>
      <c r="R588" s="964">
        <f t="shared" si="10"/>
        <v>299108.56128622254</v>
      </c>
      <c r="S588" s="964">
        <v>299108.56128622254</v>
      </c>
      <c r="T588" s="964">
        <v>187800</v>
      </c>
      <c r="U588" s="964">
        <v>187800</v>
      </c>
      <c r="V588" s="964">
        <v>187800</v>
      </c>
    </row>
    <row r="589" spans="1:22" x14ac:dyDescent="0.25">
      <c r="A589" s="961" t="s">
        <v>6467</v>
      </c>
      <c r="B589" s="961">
        <v>2</v>
      </c>
      <c r="C589" s="961">
        <v>2</v>
      </c>
      <c r="D589" s="961" t="s">
        <v>6436</v>
      </c>
      <c r="E589" s="961" t="s">
        <v>6437</v>
      </c>
      <c r="F589" s="962">
        <v>448</v>
      </c>
      <c r="G589" s="961" t="s">
        <v>741</v>
      </c>
      <c r="H589" s="961">
        <v>1</v>
      </c>
      <c r="I589" s="963">
        <v>38301</v>
      </c>
      <c r="J589" s="961">
        <v>1</v>
      </c>
      <c r="K589" s="961">
        <v>23</v>
      </c>
      <c r="L589" s="961">
        <v>1</v>
      </c>
      <c r="M589" s="961">
        <v>4</v>
      </c>
      <c r="N589" s="961" t="s">
        <v>6468</v>
      </c>
      <c r="O589" s="971">
        <v>13</v>
      </c>
      <c r="P589" s="964">
        <v>52200</v>
      </c>
      <c r="Q589" s="964">
        <v>637294.91999999993</v>
      </c>
      <c r="R589" s="964">
        <f t="shared" si="10"/>
        <v>689494.91999999993</v>
      </c>
      <c r="S589" s="964">
        <v>688908.84</v>
      </c>
      <c r="T589" s="964">
        <v>688908.84</v>
      </c>
      <c r="U589" s="964">
        <v>688908.84</v>
      </c>
      <c r="V589" s="964">
        <v>688908.84</v>
      </c>
    </row>
    <row r="590" spans="1:22" x14ac:dyDescent="0.25">
      <c r="A590" s="961" t="s">
        <v>6467</v>
      </c>
      <c r="B590" s="961">
        <v>2</v>
      </c>
      <c r="C590" s="961">
        <v>2</v>
      </c>
      <c r="D590" s="961" t="s">
        <v>6436</v>
      </c>
      <c r="E590" s="961" t="s">
        <v>6437</v>
      </c>
      <c r="F590" s="962">
        <v>448</v>
      </c>
      <c r="G590" s="961" t="s">
        <v>741</v>
      </c>
      <c r="H590" s="961">
        <v>1</v>
      </c>
      <c r="I590" s="963">
        <v>39201</v>
      </c>
      <c r="J590" s="961">
        <v>1</v>
      </c>
      <c r="K590" s="961">
        <v>23</v>
      </c>
      <c r="L590" s="961">
        <v>1</v>
      </c>
      <c r="M590" s="961">
        <v>4</v>
      </c>
      <c r="N590" s="961" t="s">
        <v>6468</v>
      </c>
      <c r="O590" s="961">
        <v>13</v>
      </c>
      <c r="P590" s="964"/>
      <c r="Q590" s="964">
        <v>17821106.950000003</v>
      </c>
      <c r="R590" s="964">
        <f t="shared" si="10"/>
        <v>17821106.950000003</v>
      </c>
      <c r="S590" s="964">
        <v>17821106.950000003</v>
      </c>
      <c r="T590" s="964">
        <v>17448302.359999999</v>
      </c>
      <c r="U590" s="964">
        <f>52536+17084464.92</f>
        <v>17137000.920000002</v>
      </c>
      <c r="V590" s="964">
        <v>52536</v>
      </c>
    </row>
    <row r="591" spans="1:22" x14ac:dyDescent="0.25">
      <c r="A591" s="961" t="s">
        <v>6467</v>
      </c>
      <c r="B591" s="961">
        <v>2</v>
      </c>
      <c r="C591" s="961">
        <v>2</v>
      </c>
      <c r="D591" s="961" t="s">
        <v>6436</v>
      </c>
      <c r="E591" s="961" t="s">
        <v>6437</v>
      </c>
      <c r="F591" s="962">
        <v>448</v>
      </c>
      <c r="G591" s="961" t="s">
        <v>741</v>
      </c>
      <c r="H591" s="961">
        <v>1</v>
      </c>
      <c r="I591" s="963">
        <v>39501</v>
      </c>
      <c r="J591" s="961">
        <v>1</v>
      </c>
      <c r="K591" s="961">
        <v>23</v>
      </c>
      <c r="L591" s="961">
        <v>1</v>
      </c>
      <c r="M591" s="961">
        <v>4</v>
      </c>
      <c r="N591" s="961" t="s">
        <v>6468</v>
      </c>
      <c r="O591" s="971">
        <v>13</v>
      </c>
      <c r="P591" s="964">
        <v>1423084.9583120574</v>
      </c>
      <c r="Q591" s="964">
        <v>-535545.62</v>
      </c>
      <c r="R591" s="964">
        <f t="shared" si="10"/>
        <v>887539.33831205743</v>
      </c>
      <c r="S591" s="964">
        <v>488120.06</v>
      </c>
      <c r="T591" s="964">
        <v>488120.06</v>
      </c>
      <c r="U591" s="964">
        <v>400014.99</v>
      </c>
      <c r="V591" s="964">
        <v>400014.99</v>
      </c>
    </row>
    <row r="592" spans="1:22" x14ac:dyDescent="0.25">
      <c r="A592" s="961" t="s">
        <v>6467</v>
      </c>
      <c r="B592" s="961">
        <v>2</v>
      </c>
      <c r="C592" s="961">
        <v>2</v>
      </c>
      <c r="D592" s="961" t="s">
        <v>6436</v>
      </c>
      <c r="E592" s="961" t="s">
        <v>6437</v>
      </c>
      <c r="F592" s="962">
        <v>448</v>
      </c>
      <c r="G592" s="961" t="s">
        <v>741</v>
      </c>
      <c r="H592" s="961">
        <v>1</v>
      </c>
      <c r="I592" s="963">
        <v>39601</v>
      </c>
      <c r="J592" s="961">
        <v>1</v>
      </c>
      <c r="K592" s="961">
        <v>23</v>
      </c>
      <c r="L592" s="961">
        <v>1</v>
      </c>
      <c r="M592" s="961">
        <v>4</v>
      </c>
      <c r="N592" s="961" t="s">
        <v>6468</v>
      </c>
      <c r="O592" s="961">
        <v>13</v>
      </c>
      <c r="P592" s="964">
        <v>9450.7823489051589</v>
      </c>
      <c r="Q592" s="964"/>
      <c r="R592" s="964">
        <f t="shared" si="10"/>
        <v>9450.7823489051589</v>
      </c>
      <c r="S592" s="964"/>
      <c r="T592" s="964"/>
      <c r="U592" s="964"/>
      <c r="V592" s="964"/>
    </row>
    <row r="593" spans="1:22" x14ac:dyDescent="0.25">
      <c r="A593" s="961" t="s">
        <v>6467</v>
      </c>
      <c r="B593" s="961">
        <v>2</v>
      </c>
      <c r="C593" s="961">
        <v>2</v>
      </c>
      <c r="D593" s="961" t="s">
        <v>6436</v>
      </c>
      <c r="E593" s="961" t="s">
        <v>6437</v>
      </c>
      <c r="F593" s="962">
        <v>448</v>
      </c>
      <c r="G593" s="961" t="s">
        <v>741</v>
      </c>
      <c r="H593" s="961">
        <v>1</v>
      </c>
      <c r="I593" s="963">
        <v>39801</v>
      </c>
      <c r="J593" s="961">
        <v>1</v>
      </c>
      <c r="K593" s="961">
        <v>23</v>
      </c>
      <c r="L593" s="961">
        <v>1</v>
      </c>
      <c r="M593" s="961">
        <v>4</v>
      </c>
      <c r="N593" s="961" t="s">
        <v>6468</v>
      </c>
      <c r="O593" s="971">
        <v>13</v>
      </c>
      <c r="P593" s="964">
        <v>2785195.7050939999</v>
      </c>
      <c r="Q593" s="964">
        <v>1834968.1600000001</v>
      </c>
      <c r="R593" s="964">
        <f t="shared" si="10"/>
        <v>4620163.8650940005</v>
      </c>
      <c r="S593" s="964">
        <v>4620163.8650940005</v>
      </c>
      <c r="T593" s="964">
        <v>4430982.12</v>
      </c>
      <c r="U593" s="964">
        <v>4430982.12</v>
      </c>
      <c r="V593" s="964">
        <v>3746774.25</v>
      </c>
    </row>
    <row r="594" spans="1:22" x14ac:dyDescent="0.25">
      <c r="A594" s="961" t="s">
        <v>6467</v>
      </c>
      <c r="B594" s="961">
        <v>2</v>
      </c>
      <c r="C594" s="961">
        <v>2</v>
      </c>
      <c r="D594" s="961" t="s">
        <v>6436</v>
      </c>
      <c r="E594" s="961" t="s">
        <v>6437</v>
      </c>
      <c r="F594" s="962">
        <v>448</v>
      </c>
      <c r="G594" s="961" t="s">
        <v>741</v>
      </c>
      <c r="H594" s="961">
        <v>1</v>
      </c>
      <c r="I594" s="963">
        <v>31101</v>
      </c>
      <c r="J594" s="961">
        <v>1</v>
      </c>
      <c r="K594" s="961">
        <v>23</v>
      </c>
      <c r="L594" s="961">
        <v>1</v>
      </c>
      <c r="M594" s="961">
        <v>4</v>
      </c>
      <c r="N594" s="961" t="s">
        <v>6438</v>
      </c>
      <c r="O594" s="971">
        <v>13</v>
      </c>
      <c r="P594" s="964"/>
      <c r="Q594" s="964">
        <f>40000000+9912480+10365953.19+9995229</f>
        <v>70273662.189999998</v>
      </c>
      <c r="R594" s="964">
        <f t="shared" si="10"/>
        <v>70273662.189999998</v>
      </c>
      <c r="S594" s="964">
        <v>70273662.189999998</v>
      </c>
      <c r="T594" s="964">
        <f>40000000+9888994+10117189+9872520</f>
        <v>69878703</v>
      </c>
      <c r="U594" s="964">
        <v>70028501</v>
      </c>
      <c r="V594" s="964">
        <f>40000000+9779112+10227430+10021959</f>
        <v>70028501</v>
      </c>
    </row>
    <row r="595" spans="1:22" x14ac:dyDescent="0.25">
      <c r="P595" s="972">
        <f>SUM(P4:P594)</f>
        <v>782667131.32567549</v>
      </c>
      <c r="Q595" s="972">
        <f t="shared" ref="Q595:V595" si="11">SUM(Q4:Q594)</f>
        <v>3347248838.5700002</v>
      </c>
      <c r="R595" s="972">
        <f t="shared" si="11"/>
        <v>4129915969.8956766</v>
      </c>
      <c r="S595" s="972">
        <f>SUM(S4:S594)</f>
        <v>3740218414.7707186</v>
      </c>
      <c r="T595" s="972">
        <f>SUM(T4:T594)</f>
        <v>2541414341.0100017</v>
      </c>
      <c r="U595" s="972">
        <f t="shared" si="11"/>
        <v>2536151002.7600007</v>
      </c>
      <c r="V595" s="972">
        <f t="shared" si="11"/>
        <v>2472329010.499999</v>
      </c>
    </row>
    <row r="596" spans="1:22" x14ac:dyDescent="0.25">
      <c r="P596" s="882"/>
      <c r="Q596" s="882"/>
      <c r="R596" s="882"/>
      <c r="S596" s="882"/>
      <c r="T596" s="882"/>
      <c r="U596" s="882"/>
      <c r="V596" s="882"/>
    </row>
    <row r="597" spans="1:22" x14ac:dyDescent="0.25">
      <c r="P597" s="867"/>
      <c r="Q597" s="867"/>
      <c r="R597" s="867"/>
      <c r="U597" s="867"/>
      <c r="V597" s="867"/>
    </row>
    <row r="598" spans="1:22" x14ac:dyDescent="0.25">
      <c r="K598" s="882"/>
      <c r="L598" s="882"/>
      <c r="M598" s="882"/>
      <c r="N598" s="882"/>
      <c r="O598" s="882"/>
      <c r="P598" s="882"/>
      <c r="Q598" s="882"/>
      <c r="R598" s="882"/>
      <c r="S598" s="882"/>
      <c r="U598" s="882"/>
      <c r="V598" s="882"/>
    </row>
    <row r="599" spans="1:22" x14ac:dyDescent="0.25">
      <c r="Q599" s="882"/>
      <c r="R599" s="882"/>
      <c r="S599" s="882"/>
      <c r="U599" s="882"/>
      <c r="V599" s="882"/>
    </row>
    <row r="600" spans="1:22" x14ac:dyDescent="0.25">
      <c r="S600" s="867"/>
      <c r="U600" s="882"/>
      <c r="V600" s="882"/>
    </row>
    <row r="601" spans="1:22" x14ac:dyDescent="0.25">
      <c r="U601" s="882"/>
      <c r="V601" s="882"/>
    </row>
    <row r="602" spans="1:22" x14ac:dyDescent="0.25">
      <c r="U602" s="882"/>
      <c r="V602" s="882"/>
    </row>
    <row r="603" spans="1:22" x14ac:dyDescent="0.25">
      <c r="U603" s="882"/>
      <c r="V603" s="882"/>
    </row>
    <row r="604" spans="1:22" x14ac:dyDescent="0.25">
      <c r="S604" s="867"/>
      <c r="T604" s="867"/>
      <c r="U604" s="882"/>
      <c r="V604" s="882"/>
    </row>
    <row r="605" spans="1:22" x14ac:dyDescent="0.25">
      <c r="S605" s="882"/>
      <c r="T605" s="882"/>
      <c r="U605" s="882"/>
      <c r="V605" s="882"/>
    </row>
    <row r="606" spans="1:22" x14ac:dyDescent="0.25">
      <c r="S606" s="882"/>
      <c r="T606" s="882"/>
      <c r="U606" s="882"/>
      <c r="V606" s="882"/>
    </row>
    <row r="607" spans="1:22" x14ac:dyDescent="0.25">
      <c r="S607" s="867"/>
      <c r="T607" s="882"/>
      <c r="U607" s="882"/>
      <c r="V607" s="882"/>
    </row>
    <row r="608" spans="1:22" x14ac:dyDescent="0.25">
      <c r="S608" s="882"/>
      <c r="T608" s="882"/>
      <c r="U608" s="882"/>
      <c r="V608" s="882"/>
    </row>
    <row r="609" spans="19:22" x14ac:dyDescent="0.25">
      <c r="S609" s="882"/>
      <c r="T609" s="882"/>
      <c r="U609" s="882"/>
      <c r="V609" s="882"/>
    </row>
    <row r="610" spans="19:22" x14ac:dyDescent="0.25">
      <c r="S610" s="882"/>
      <c r="T610" s="882"/>
    </row>
    <row r="611" spans="19:22" x14ac:dyDescent="0.25">
      <c r="T611" s="882"/>
    </row>
    <row r="612" spans="19:22" x14ac:dyDescent="0.25">
      <c r="T612" s="882"/>
    </row>
    <row r="613" spans="19:22" x14ac:dyDescent="0.25">
      <c r="T613" s="882"/>
    </row>
    <row r="614" spans="19:22" x14ac:dyDescent="0.25">
      <c r="S614" s="882"/>
      <c r="T614" s="882"/>
    </row>
    <row r="615" spans="19:22" x14ac:dyDescent="0.25">
      <c r="S615" s="882"/>
      <c r="T615" s="882"/>
    </row>
    <row r="616" spans="19:22" x14ac:dyDescent="0.25">
      <c r="S616" s="882"/>
    </row>
    <row r="617" spans="19:22" x14ac:dyDescent="0.25">
      <c r="S617" s="882"/>
    </row>
    <row r="618" spans="19:22" x14ac:dyDescent="0.25">
      <c r="S618" s="882"/>
    </row>
    <row r="619" spans="19:22" x14ac:dyDescent="0.25">
      <c r="S619" s="882"/>
    </row>
    <row r="620" spans="19:22" x14ac:dyDescent="0.25">
      <c r="S620" s="882"/>
    </row>
    <row r="621" spans="19:22" x14ac:dyDescent="0.25">
      <c r="S621" s="882"/>
    </row>
    <row r="622" spans="19:22" x14ac:dyDescent="0.25">
      <c r="S622" s="882"/>
    </row>
    <row r="623" spans="19:22" x14ac:dyDescent="0.25">
      <c r="S623" s="882"/>
    </row>
    <row r="624" spans="19:22" x14ac:dyDescent="0.25">
      <c r="S624" s="882"/>
    </row>
  </sheetData>
  <autoFilter ref="A3:V597" xr:uid="{00000000-0009-0000-0000-000000000000}"/>
  <mergeCells count="4">
    <mergeCell ref="B1:H1"/>
    <mergeCell ref="I1:J1"/>
    <mergeCell ref="K1:O1"/>
    <mergeCell ref="P1:V1"/>
  </mergeCells>
  <pageMargins left="0.23622047244094491" right="0.23622047244094491" top="0.74803149606299213" bottom="0.74803149606299213" header="0.31496062992125984" footer="0.31496062992125984"/>
  <pageSetup scale="50" orientation="landscape" r:id="rId1"/>
  <drawing r:id="rId2"/>
  <legacyDrawing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D1D5B-5367-4F3F-ACC9-6CAA6D5F4FC6}">
  <sheetPr>
    <tabColor theme="0" tint="-4.9989318521683403E-2"/>
    <pageSetUpPr fitToPage="1"/>
  </sheetPr>
  <dimension ref="A1:Q143"/>
  <sheetViews>
    <sheetView zoomScaleNormal="100" zoomScaleSheetLayoutView="70" workbookViewId="0">
      <selection activeCell="Q6" sqref="Q6"/>
    </sheetView>
  </sheetViews>
  <sheetFormatPr baseColWidth="10" defaultColWidth="11.5703125" defaultRowHeight="15" x14ac:dyDescent="0.25"/>
  <cols>
    <col min="1" max="1" width="14.42578125" style="859" customWidth="1"/>
    <col min="2" max="2" width="4.7109375" style="859" customWidth="1"/>
    <col min="3" max="3" width="3.5703125" style="859" customWidth="1"/>
    <col min="4" max="4" width="2.7109375" style="859" customWidth="1"/>
    <col min="5" max="5" width="15.7109375" style="859" customWidth="1"/>
    <col min="6" max="6" width="4.7109375" style="859" customWidth="1"/>
    <col min="7" max="7" width="3.5703125" style="1032" customWidth="1"/>
    <col min="8" max="8" width="2.7109375" style="859" customWidth="1"/>
    <col min="9" max="9" width="15.7109375" style="859" customWidth="1"/>
    <col min="10" max="10" width="4.7109375" style="859" customWidth="1"/>
    <col min="11" max="11" width="3.5703125" style="859" customWidth="1"/>
    <col min="12" max="12" width="2.7109375" style="859" customWidth="1"/>
    <col min="13" max="13" width="15.7109375" style="859" customWidth="1"/>
    <col min="14" max="15" width="12.7109375" style="859" customWidth="1"/>
    <col min="16" max="16384" width="11.5703125" style="859"/>
  </cols>
  <sheetData>
    <row r="1" spans="1:17" s="1005" customFormat="1" ht="42" customHeight="1" x14ac:dyDescent="0.25">
      <c r="A1" s="1512" t="s">
        <v>6591</v>
      </c>
      <c r="B1" s="1513"/>
      <c r="C1" s="1513"/>
      <c r="D1" s="1513"/>
      <c r="E1" s="1513"/>
      <c r="F1" s="1513"/>
      <c r="G1" s="1513"/>
      <c r="H1" s="1513"/>
      <c r="I1" s="1513"/>
      <c r="J1" s="1513"/>
      <c r="K1" s="1513"/>
      <c r="L1" s="1513"/>
      <c r="M1" s="1513"/>
      <c r="N1" s="1513"/>
      <c r="O1" s="1514"/>
    </row>
    <row r="2" spans="1:17" ht="16.5" customHeight="1" x14ac:dyDescent="0.25">
      <c r="A2" s="1515" t="s">
        <v>6592</v>
      </c>
      <c r="B2" s="1516"/>
      <c r="C2" s="1516"/>
      <c r="D2" s="1517"/>
      <c r="E2" s="1518" t="s">
        <v>6470</v>
      </c>
      <c r="F2" s="1518"/>
      <c r="G2" s="1518"/>
      <c r="H2" s="1518"/>
      <c r="I2" s="1518"/>
      <c r="J2" s="1518"/>
      <c r="K2" s="1518"/>
      <c r="L2" s="1518"/>
      <c r="M2" s="1518"/>
      <c r="N2" s="1518"/>
      <c r="O2" s="1518"/>
      <c r="P2" s="1006"/>
      <c r="Q2" s="1006"/>
    </row>
    <row r="3" spans="1:17" ht="16.5" customHeight="1" x14ac:dyDescent="0.25">
      <c r="A3" s="1515" t="s">
        <v>6593</v>
      </c>
      <c r="B3" s="1516"/>
      <c r="C3" s="1516"/>
      <c r="D3" s="1517"/>
      <c r="E3" s="1518" t="s">
        <v>6472</v>
      </c>
      <c r="F3" s="1519"/>
      <c r="G3" s="1519"/>
      <c r="H3" s="1519"/>
      <c r="I3" s="1519"/>
      <c r="J3" s="1519"/>
      <c r="K3" s="1519"/>
      <c r="L3" s="1519"/>
      <c r="M3" s="1519"/>
      <c r="N3" s="1519"/>
      <c r="O3" s="1519"/>
      <c r="P3" s="1006"/>
      <c r="Q3" s="1006"/>
    </row>
    <row r="4" spans="1:17" ht="16.5" customHeight="1" x14ac:dyDescent="0.25">
      <c r="A4" s="1515" t="s">
        <v>6594</v>
      </c>
      <c r="B4" s="1516"/>
      <c r="C4" s="1516"/>
      <c r="D4" s="1517"/>
      <c r="E4" s="1520" t="s">
        <v>6595</v>
      </c>
      <c r="F4" s="1521"/>
      <c r="G4" s="1521"/>
      <c r="H4" s="1521"/>
      <c r="I4" s="1521"/>
      <c r="J4" s="1521"/>
      <c r="K4" s="1521"/>
      <c r="L4" s="1521"/>
      <c r="M4" s="1521"/>
      <c r="N4" s="1521"/>
      <c r="O4" s="1522"/>
      <c r="P4" s="1006"/>
      <c r="Q4" s="1006"/>
    </row>
    <row r="5" spans="1:17" ht="18" x14ac:dyDescent="0.25">
      <c r="A5" s="1007"/>
      <c r="B5" s="1008"/>
      <c r="C5" s="1008"/>
      <c r="D5" s="1008"/>
      <c r="E5" s="1008"/>
      <c r="F5" s="1008"/>
      <c r="G5" s="1008"/>
      <c r="H5" s="1008"/>
      <c r="I5" s="1008"/>
      <c r="J5" s="1008"/>
      <c r="K5" s="1008"/>
      <c r="L5" s="1008"/>
      <c r="M5" s="1008"/>
      <c r="N5" s="1008"/>
      <c r="O5" s="1009"/>
      <c r="P5" s="1006"/>
      <c r="Q5" s="1006"/>
    </row>
    <row r="6" spans="1:17" ht="30.75" customHeight="1" x14ac:dyDescent="0.25">
      <c r="A6" s="1503" t="s">
        <v>6596</v>
      </c>
      <c r="B6" s="1504"/>
      <c r="C6" s="1504"/>
      <c r="D6" s="1504"/>
      <c r="E6" s="1504"/>
      <c r="F6" s="1504"/>
      <c r="G6" s="1504"/>
      <c r="H6" s="1504"/>
      <c r="I6" s="1504"/>
      <c r="J6" s="1504"/>
      <c r="K6" s="1504"/>
      <c r="L6" s="1504"/>
      <c r="M6" s="1504"/>
      <c r="N6" s="1504"/>
      <c r="O6" s="1505"/>
      <c r="P6" s="1006"/>
      <c r="Q6" s="1006"/>
    </row>
    <row r="7" spans="1:17" x14ac:dyDescent="0.25">
      <c r="A7" s="1506" t="s">
        <v>6597</v>
      </c>
      <c r="B7" s="1507"/>
      <c r="C7" s="1507"/>
      <c r="D7" s="1507"/>
      <c r="E7" s="1507"/>
      <c r="F7" s="1507"/>
      <c r="G7" s="1507"/>
      <c r="H7" s="1507"/>
      <c r="I7" s="1507"/>
      <c r="J7" s="1507"/>
      <c r="K7" s="1507"/>
      <c r="L7" s="1507"/>
      <c r="M7" s="1508"/>
      <c r="N7" s="1010" t="s">
        <v>6598</v>
      </c>
      <c r="O7" s="1011" t="s">
        <v>6599</v>
      </c>
    </row>
    <row r="8" spans="1:17" ht="15" customHeight="1" x14ac:dyDescent="0.25">
      <c r="A8" s="1509" t="s">
        <v>6600</v>
      </c>
      <c r="B8" s="1012"/>
      <c r="C8" s="1012"/>
      <c r="D8" s="1012"/>
      <c r="E8" s="1462" t="s">
        <v>6601</v>
      </c>
      <c r="F8" s="1012"/>
      <c r="G8" s="1013"/>
      <c r="H8" s="1012"/>
      <c r="I8" s="1462" t="s">
        <v>6602</v>
      </c>
      <c r="J8" s="1012"/>
      <c r="K8" s="1012"/>
      <c r="L8" s="1012"/>
      <c r="M8" s="1462" t="s">
        <v>6603</v>
      </c>
      <c r="N8" s="1481">
        <v>98.6</v>
      </c>
      <c r="O8" s="1468">
        <v>1</v>
      </c>
    </row>
    <row r="9" spans="1:17" ht="15" customHeight="1" x14ac:dyDescent="0.25">
      <c r="A9" s="1510"/>
      <c r="B9" s="1014"/>
      <c r="C9" s="1015" t="s">
        <v>6604</v>
      </c>
      <c r="D9" s="1014"/>
      <c r="E9" s="1463"/>
      <c r="F9" s="1014"/>
      <c r="G9" s="1016"/>
      <c r="H9" s="1014"/>
      <c r="I9" s="1463"/>
      <c r="J9" s="1014"/>
      <c r="K9" s="1017"/>
      <c r="L9" s="1014"/>
      <c r="M9" s="1463"/>
      <c r="N9" s="1482"/>
      <c r="O9" s="1469"/>
    </row>
    <row r="10" spans="1:17" ht="15" customHeight="1" x14ac:dyDescent="0.25">
      <c r="A10" s="1511"/>
      <c r="B10" s="1014"/>
      <c r="C10" s="1014"/>
      <c r="D10" s="1014"/>
      <c r="E10" s="1464"/>
      <c r="F10" s="1014"/>
      <c r="G10" s="1018"/>
      <c r="H10" s="1014"/>
      <c r="I10" s="1464"/>
      <c r="J10" s="1014"/>
      <c r="K10" s="1014"/>
      <c r="L10" s="1014"/>
      <c r="M10" s="1464"/>
      <c r="N10" s="1493"/>
      <c r="O10" s="1469"/>
    </row>
    <row r="11" spans="1:17" ht="208.5" customHeight="1" x14ac:dyDescent="0.25">
      <c r="A11" s="1494" t="s">
        <v>6605</v>
      </c>
      <c r="B11" s="1495"/>
      <c r="C11" s="1495"/>
      <c r="D11" s="1495"/>
      <c r="E11" s="1495"/>
      <c r="F11" s="1495"/>
      <c r="G11" s="1495"/>
      <c r="H11" s="1495"/>
      <c r="I11" s="1495"/>
      <c r="J11" s="1495"/>
      <c r="K11" s="1495"/>
      <c r="L11" s="1495"/>
      <c r="M11" s="1495"/>
      <c r="N11" s="1495"/>
      <c r="O11" s="1496"/>
    </row>
    <row r="12" spans="1:17" x14ac:dyDescent="0.25">
      <c r="A12" s="1497"/>
      <c r="B12" s="1498"/>
      <c r="C12" s="1498"/>
      <c r="D12" s="1498"/>
      <c r="E12" s="1498"/>
      <c r="F12" s="1498"/>
      <c r="G12" s="1498"/>
      <c r="H12" s="1498"/>
      <c r="I12" s="1498"/>
      <c r="J12" s="1498"/>
      <c r="K12" s="1498"/>
      <c r="L12" s="1498"/>
      <c r="M12" s="1498"/>
      <c r="N12" s="1498"/>
      <c r="O12" s="1499"/>
    </row>
    <row r="13" spans="1:17" ht="31.5" customHeight="1" x14ac:dyDescent="0.25">
      <c r="A13" s="1474" t="s">
        <v>6606</v>
      </c>
      <c r="B13" s="1474"/>
      <c r="C13" s="1474"/>
      <c r="D13" s="1474"/>
      <c r="E13" s="1474"/>
      <c r="F13" s="1474"/>
      <c r="G13" s="1474"/>
      <c r="H13" s="1474"/>
      <c r="I13" s="1474"/>
      <c r="J13" s="1474"/>
      <c r="K13" s="1474"/>
      <c r="L13" s="1474"/>
      <c r="M13" s="1474"/>
      <c r="N13" s="1474"/>
      <c r="O13" s="1474"/>
    </row>
    <row r="14" spans="1:17" ht="27.75" customHeight="1" x14ac:dyDescent="0.25">
      <c r="A14" s="1473" t="s">
        <v>6607</v>
      </c>
      <c r="B14" s="1473"/>
      <c r="C14" s="1473"/>
      <c r="D14" s="1473"/>
      <c r="E14" s="1473"/>
      <c r="F14" s="1473"/>
      <c r="G14" s="1473"/>
      <c r="H14" s="1473"/>
      <c r="I14" s="1473"/>
      <c r="J14" s="1473"/>
      <c r="K14" s="1473"/>
      <c r="L14" s="1473"/>
      <c r="M14" s="1473"/>
      <c r="N14" s="1010" t="s">
        <v>6598</v>
      </c>
      <c r="O14" s="1010" t="s">
        <v>6599</v>
      </c>
    </row>
    <row r="15" spans="1:17" ht="15" customHeight="1" x14ac:dyDescent="0.25">
      <c r="A15" s="1461" t="s">
        <v>6600</v>
      </c>
      <c r="B15" s="1020"/>
      <c r="C15" s="1012"/>
      <c r="D15" s="1012"/>
      <c r="E15" s="1483" t="s">
        <v>6601</v>
      </c>
      <c r="F15" s="1012"/>
      <c r="G15" s="1013"/>
      <c r="H15" s="1012"/>
      <c r="I15" s="1483" t="s">
        <v>6602</v>
      </c>
      <c r="J15" s="1012"/>
      <c r="K15" s="1012"/>
      <c r="L15" s="1012"/>
      <c r="M15" s="1486" t="s">
        <v>6603</v>
      </c>
      <c r="N15" s="1487">
        <v>68.63</v>
      </c>
      <c r="O15" s="1488">
        <v>1</v>
      </c>
    </row>
    <row r="16" spans="1:17" ht="15" customHeight="1" x14ac:dyDescent="0.25">
      <c r="A16" s="1461"/>
      <c r="B16" s="1021"/>
      <c r="C16" s="1015" t="s">
        <v>6604</v>
      </c>
      <c r="D16" s="1014"/>
      <c r="E16" s="1484"/>
      <c r="F16" s="1014"/>
      <c r="G16" s="1016"/>
      <c r="H16" s="1014"/>
      <c r="I16" s="1484"/>
      <c r="J16" s="1014"/>
      <c r="K16" s="1022"/>
      <c r="L16" s="1014"/>
      <c r="M16" s="1501"/>
      <c r="N16" s="1487"/>
      <c r="O16" s="1488"/>
    </row>
    <row r="17" spans="1:15" ht="15" customHeight="1" x14ac:dyDescent="0.25">
      <c r="A17" s="1461"/>
      <c r="B17" s="1023"/>
      <c r="C17" s="1024"/>
      <c r="D17" s="1024"/>
      <c r="E17" s="1500"/>
      <c r="F17" s="1024"/>
      <c r="G17" s="1025"/>
      <c r="H17" s="1024"/>
      <c r="I17" s="1500"/>
      <c r="J17" s="1024"/>
      <c r="K17" s="1024"/>
      <c r="L17" s="1024"/>
      <c r="M17" s="1502"/>
      <c r="N17" s="1487"/>
      <c r="O17" s="1488"/>
    </row>
    <row r="18" spans="1:15" ht="80.25" customHeight="1" x14ac:dyDescent="0.25">
      <c r="A18" s="1019" t="s">
        <v>6608</v>
      </c>
      <c r="B18" s="1489" t="s">
        <v>6609</v>
      </c>
      <c r="C18" s="1490"/>
      <c r="D18" s="1490"/>
      <c r="E18" s="1490"/>
      <c r="F18" s="1490"/>
      <c r="G18" s="1490"/>
      <c r="H18" s="1490"/>
      <c r="I18" s="1490"/>
      <c r="J18" s="1490"/>
      <c r="K18" s="1490"/>
      <c r="L18" s="1490"/>
      <c r="M18" s="1490"/>
      <c r="N18" s="1490"/>
      <c r="O18" s="1490"/>
    </row>
    <row r="19" spans="1:15" ht="47.25" customHeight="1" x14ac:dyDescent="0.25">
      <c r="A19" s="1019" t="s">
        <v>6610</v>
      </c>
      <c r="B19" s="1489" t="s">
        <v>6611</v>
      </c>
      <c r="C19" s="1490"/>
      <c r="D19" s="1490"/>
      <c r="E19" s="1490"/>
      <c r="F19" s="1490"/>
      <c r="G19" s="1490"/>
      <c r="H19" s="1490"/>
      <c r="I19" s="1490"/>
      <c r="J19" s="1490"/>
      <c r="K19" s="1490"/>
      <c r="L19" s="1490"/>
      <c r="M19" s="1490"/>
      <c r="N19" s="1490"/>
      <c r="O19" s="1490"/>
    </row>
    <row r="20" spans="1:15" ht="60.75" customHeight="1" x14ac:dyDescent="0.25">
      <c r="A20" s="1019" t="s">
        <v>6612</v>
      </c>
      <c r="B20" s="1489" t="s">
        <v>6613</v>
      </c>
      <c r="C20" s="1490"/>
      <c r="D20" s="1490"/>
      <c r="E20" s="1490"/>
      <c r="F20" s="1490"/>
      <c r="G20" s="1490"/>
      <c r="H20" s="1490"/>
      <c r="I20" s="1490"/>
      <c r="J20" s="1490"/>
      <c r="K20" s="1490"/>
      <c r="L20" s="1490"/>
      <c r="M20" s="1490"/>
      <c r="N20" s="1490"/>
      <c r="O20" s="1490"/>
    </row>
    <row r="21" spans="1:15" ht="27.75" customHeight="1" x14ac:dyDescent="0.25">
      <c r="A21" s="1477" t="s">
        <v>6614</v>
      </c>
      <c r="B21" s="1477"/>
      <c r="C21" s="1477"/>
      <c r="D21" s="1477"/>
      <c r="E21" s="1477"/>
      <c r="F21" s="1477"/>
      <c r="G21" s="1477"/>
      <c r="H21" s="1477"/>
      <c r="I21" s="1477"/>
      <c r="J21" s="1477"/>
      <c r="K21" s="1477"/>
      <c r="L21" s="1477"/>
      <c r="M21" s="1477"/>
      <c r="N21" s="1026" t="s">
        <v>6598</v>
      </c>
      <c r="O21" s="1026" t="s">
        <v>6599</v>
      </c>
    </row>
    <row r="22" spans="1:15" ht="15" customHeight="1" x14ac:dyDescent="0.25">
      <c r="A22" s="1491" t="s">
        <v>6600</v>
      </c>
      <c r="B22" s="1020"/>
      <c r="C22" s="1012"/>
      <c r="D22" s="1012"/>
      <c r="E22" s="1462" t="s">
        <v>6601</v>
      </c>
      <c r="F22" s="1012"/>
      <c r="G22" s="1013"/>
      <c r="H22" s="1012"/>
      <c r="I22" s="1462" t="s">
        <v>6602</v>
      </c>
      <c r="J22" s="1012"/>
      <c r="K22" s="1012"/>
      <c r="L22" s="1012"/>
      <c r="M22" s="1462" t="s">
        <v>6603</v>
      </c>
      <c r="N22" s="1481">
        <v>1.4</v>
      </c>
      <c r="O22" s="1468">
        <v>1</v>
      </c>
    </row>
    <row r="23" spans="1:15" ht="15" customHeight="1" x14ac:dyDescent="0.25">
      <c r="A23" s="1461"/>
      <c r="B23" s="1021"/>
      <c r="C23" s="1027" t="s">
        <v>6604</v>
      </c>
      <c r="D23" s="1014"/>
      <c r="E23" s="1463"/>
      <c r="F23" s="1014"/>
      <c r="G23" s="1028"/>
      <c r="H23" s="1021"/>
      <c r="I23" s="1463"/>
      <c r="J23" s="1014"/>
      <c r="K23" s="1029"/>
      <c r="L23" s="1021"/>
      <c r="M23" s="1463"/>
      <c r="N23" s="1482"/>
      <c r="O23" s="1469"/>
    </row>
    <row r="24" spans="1:15" ht="15" customHeight="1" x14ac:dyDescent="0.25">
      <c r="A24" s="1461"/>
      <c r="B24" s="1023"/>
      <c r="C24" s="1030"/>
      <c r="D24" s="1024"/>
      <c r="E24" s="1492"/>
      <c r="F24" s="1024"/>
      <c r="G24" s="1031"/>
      <c r="H24" s="1024"/>
      <c r="I24" s="1492"/>
      <c r="J24" s="1024"/>
      <c r="K24" s="1030"/>
      <c r="L24" s="1024"/>
      <c r="M24" s="1492"/>
      <c r="N24" s="1493"/>
      <c r="O24" s="1470"/>
    </row>
    <row r="25" spans="1:15" ht="71.25" customHeight="1" x14ac:dyDescent="0.25">
      <c r="A25" s="1019" t="s">
        <v>6608</v>
      </c>
      <c r="B25" s="1489" t="s">
        <v>6615</v>
      </c>
      <c r="C25" s="1490"/>
      <c r="D25" s="1490"/>
      <c r="E25" s="1490"/>
      <c r="F25" s="1490"/>
      <c r="G25" s="1490"/>
      <c r="H25" s="1490"/>
      <c r="I25" s="1490"/>
      <c r="J25" s="1490"/>
      <c r="K25" s="1490"/>
      <c r="L25" s="1490"/>
      <c r="M25" s="1490"/>
      <c r="N25" s="1490"/>
      <c r="O25" s="1490"/>
    </row>
    <row r="26" spans="1:15" ht="18.75" customHeight="1" x14ac:dyDescent="0.25">
      <c r="A26" s="1019" t="s">
        <v>6610</v>
      </c>
      <c r="B26" s="1489" t="s">
        <v>6616</v>
      </c>
      <c r="C26" s="1490"/>
      <c r="D26" s="1490"/>
      <c r="E26" s="1490"/>
      <c r="F26" s="1490"/>
      <c r="G26" s="1490"/>
      <c r="H26" s="1490"/>
      <c r="I26" s="1490"/>
      <c r="J26" s="1490"/>
      <c r="K26" s="1490"/>
      <c r="L26" s="1490"/>
      <c r="M26" s="1490"/>
      <c r="N26" s="1490"/>
      <c r="O26" s="1490"/>
    </row>
    <row r="27" spans="1:15" ht="45" customHeight="1" x14ac:dyDescent="0.25">
      <c r="A27" s="1019" t="s">
        <v>6612</v>
      </c>
      <c r="B27" s="1489" t="s">
        <v>6617</v>
      </c>
      <c r="C27" s="1490"/>
      <c r="D27" s="1490"/>
      <c r="E27" s="1490"/>
      <c r="F27" s="1490"/>
      <c r="G27" s="1490"/>
      <c r="H27" s="1490"/>
      <c r="I27" s="1490"/>
      <c r="J27" s="1490"/>
      <c r="K27" s="1490"/>
      <c r="L27" s="1490"/>
      <c r="M27" s="1490"/>
      <c r="N27" s="1490"/>
      <c r="O27" s="1490"/>
    </row>
    <row r="28" spans="1:15" x14ac:dyDescent="0.25">
      <c r="O28" s="1033"/>
    </row>
    <row r="29" spans="1:15" x14ac:dyDescent="0.25">
      <c r="A29" s="1474" t="s">
        <v>6618</v>
      </c>
      <c r="B29" s="1474"/>
      <c r="C29" s="1474"/>
      <c r="D29" s="1474"/>
      <c r="E29" s="1474"/>
      <c r="F29" s="1474"/>
      <c r="G29" s="1474"/>
      <c r="H29" s="1474"/>
      <c r="I29" s="1474"/>
      <c r="J29" s="1474"/>
      <c r="K29" s="1474"/>
      <c r="L29" s="1474"/>
      <c r="M29" s="1474"/>
      <c r="N29" s="1474"/>
      <c r="O29" s="1474"/>
    </row>
    <row r="30" spans="1:15" x14ac:dyDescent="0.25">
      <c r="A30" s="1473" t="s">
        <v>6619</v>
      </c>
      <c r="B30" s="1473"/>
      <c r="C30" s="1473"/>
      <c r="D30" s="1473"/>
      <c r="E30" s="1473"/>
      <c r="F30" s="1473"/>
      <c r="G30" s="1473"/>
      <c r="H30" s="1473"/>
      <c r="I30" s="1473"/>
      <c r="J30" s="1473"/>
      <c r="K30" s="1473"/>
      <c r="L30" s="1473"/>
      <c r="M30" s="1473"/>
      <c r="N30" s="1010" t="s">
        <v>6598</v>
      </c>
      <c r="O30" s="1010" t="s">
        <v>6599</v>
      </c>
    </row>
    <row r="31" spans="1:15" ht="15" customHeight="1" x14ac:dyDescent="0.25">
      <c r="A31" s="1461" t="s">
        <v>6600</v>
      </c>
      <c r="B31" s="1012"/>
      <c r="C31" s="1012"/>
      <c r="D31" s="1012"/>
      <c r="E31" s="1462" t="s">
        <v>6601</v>
      </c>
      <c r="F31" s="1012"/>
      <c r="G31" s="1013"/>
      <c r="H31" s="1012"/>
      <c r="I31" s="1462" t="s">
        <v>6602</v>
      </c>
      <c r="J31" s="1012"/>
      <c r="K31" s="1012"/>
      <c r="L31" s="1012"/>
      <c r="M31" s="1462" t="s">
        <v>6603</v>
      </c>
      <c r="N31" s="1465">
        <v>25</v>
      </c>
      <c r="O31" s="1468">
        <v>1</v>
      </c>
    </row>
    <row r="32" spans="1:15" ht="15" customHeight="1" x14ac:dyDescent="0.25">
      <c r="A32" s="1461"/>
      <c r="B32" s="1014"/>
      <c r="C32" s="1015" t="s">
        <v>6604</v>
      </c>
      <c r="D32" s="1021"/>
      <c r="E32" s="1463"/>
      <c r="F32" s="1014"/>
      <c r="G32" s="1034"/>
      <c r="H32" s="1021"/>
      <c r="I32" s="1463"/>
      <c r="J32" s="1014"/>
      <c r="K32" s="1029"/>
      <c r="L32" s="1021"/>
      <c r="M32" s="1463"/>
      <c r="N32" s="1466"/>
      <c r="O32" s="1469"/>
    </row>
    <row r="33" spans="1:15" ht="15" customHeight="1" x14ac:dyDescent="0.25">
      <c r="A33" s="1475"/>
      <c r="B33" s="1014"/>
      <c r="C33" s="1014"/>
      <c r="D33" s="1014"/>
      <c r="E33" s="1464"/>
      <c r="F33" s="1014"/>
      <c r="G33" s="1013"/>
      <c r="H33" s="1014"/>
      <c r="I33" s="1464"/>
      <c r="J33" s="1014"/>
      <c r="K33" s="1012"/>
      <c r="L33" s="1014"/>
      <c r="M33" s="1464"/>
      <c r="N33" s="1466"/>
      <c r="O33" s="1469"/>
    </row>
    <row r="34" spans="1:15" ht="22.5" customHeight="1" x14ac:dyDescent="0.25">
      <c r="A34" s="1019" t="s">
        <v>6608</v>
      </c>
      <c r="B34" s="1489" t="s">
        <v>6620</v>
      </c>
      <c r="C34" s="1490"/>
      <c r="D34" s="1490"/>
      <c r="E34" s="1490"/>
      <c r="F34" s="1490"/>
      <c r="G34" s="1490"/>
      <c r="H34" s="1490"/>
      <c r="I34" s="1490"/>
      <c r="J34" s="1490"/>
      <c r="K34" s="1490"/>
      <c r="L34" s="1490"/>
      <c r="M34" s="1490"/>
      <c r="N34" s="1490"/>
      <c r="O34" s="1490"/>
    </row>
    <row r="35" spans="1:15" ht="30.75" customHeight="1" x14ac:dyDescent="0.25">
      <c r="A35" s="1019" t="s">
        <v>6610</v>
      </c>
      <c r="B35" s="1489" t="s">
        <v>6621</v>
      </c>
      <c r="C35" s="1490"/>
      <c r="D35" s="1490"/>
      <c r="E35" s="1490"/>
      <c r="F35" s="1490"/>
      <c r="G35" s="1490"/>
      <c r="H35" s="1490"/>
      <c r="I35" s="1490"/>
      <c r="J35" s="1490"/>
      <c r="K35" s="1490"/>
      <c r="L35" s="1490"/>
      <c r="M35" s="1490"/>
      <c r="N35" s="1490"/>
      <c r="O35" s="1490"/>
    </row>
    <row r="36" spans="1:15" ht="43.5" customHeight="1" x14ac:dyDescent="0.25">
      <c r="A36" s="1019" t="s">
        <v>6622</v>
      </c>
      <c r="B36" s="1489" t="s">
        <v>6623</v>
      </c>
      <c r="C36" s="1490"/>
      <c r="D36" s="1490"/>
      <c r="E36" s="1490"/>
      <c r="F36" s="1490"/>
      <c r="G36" s="1490"/>
      <c r="H36" s="1490"/>
      <c r="I36" s="1490"/>
      <c r="J36" s="1490"/>
      <c r="K36" s="1490"/>
      <c r="L36" s="1490"/>
      <c r="M36" s="1490"/>
      <c r="N36" s="1490"/>
      <c r="O36" s="1490"/>
    </row>
    <row r="37" spans="1:15" x14ac:dyDescent="0.25">
      <c r="A37" s="1477" t="s">
        <v>6624</v>
      </c>
      <c r="B37" s="1477"/>
      <c r="C37" s="1477"/>
      <c r="D37" s="1477"/>
      <c r="E37" s="1477"/>
      <c r="F37" s="1477"/>
      <c r="G37" s="1477"/>
      <c r="H37" s="1477"/>
      <c r="I37" s="1477"/>
      <c r="J37" s="1477"/>
      <c r="K37" s="1477"/>
      <c r="L37" s="1477"/>
      <c r="M37" s="1477"/>
      <c r="N37" s="1026" t="s">
        <v>6598</v>
      </c>
      <c r="O37" s="1026" t="s">
        <v>6599</v>
      </c>
    </row>
    <row r="38" spans="1:15" ht="15" customHeight="1" x14ac:dyDescent="0.25">
      <c r="A38" s="1461" t="s">
        <v>6600</v>
      </c>
      <c r="B38" s="1012"/>
      <c r="C38" s="1012"/>
      <c r="D38" s="1012"/>
      <c r="E38" s="1462" t="s">
        <v>6601</v>
      </c>
      <c r="F38" s="1012"/>
      <c r="G38" s="1013"/>
      <c r="H38" s="1012"/>
      <c r="I38" s="1462" t="s">
        <v>6602</v>
      </c>
      <c r="J38" s="1012"/>
      <c r="K38" s="1012"/>
      <c r="L38" s="1012"/>
      <c r="M38" s="1462" t="s">
        <v>6603</v>
      </c>
      <c r="N38" s="1465">
        <v>30</v>
      </c>
      <c r="O38" s="1468">
        <v>2.3067000000000002</v>
      </c>
    </row>
    <row r="39" spans="1:15" ht="15" customHeight="1" x14ac:dyDescent="0.25">
      <c r="A39" s="1461"/>
      <c r="B39" s="1014"/>
      <c r="C39" s="1015" t="s">
        <v>6604</v>
      </c>
      <c r="D39" s="1021"/>
      <c r="E39" s="1463"/>
      <c r="F39" s="1014"/>
      <c r="G39" s="1034"/>
      <c r="H39" s="1021"/>
      <c r="I39" s="1463"/>
      <c r="J39" s="1014"/>
      <c r="K39" s="1029"/>
      <c r="L39" s="1021"/>
      <c r="M39" s="1463"/>
      <c r="N39" s="1466"/>
      <c r="O39" s="1469"/>
    </row>
    <row r="40" spans="1:15" ht="15" customHeight="1" x14ac:dyDescent="0.25">
      <c r="A40" s="1475"/>
      <c r="B40" s="1014"/>
      <c r="C40" s="1014"/>
      <c r="D40" s="1014"/>
      <c r="E40" s="1464"/>
      <c r="F40" s="1014"/>
      <c r="G40" s="1013"/>
      <c r="H40" s="1014"/>
      <c r="I40" s="1464"/>
      <c r="J40" s="1014"/>
      <c r="K40" s="1012"/>
      <c r="L40" s="1014"/>
      <c r="M40" s="1464"/>
      <c r="N40" s="1466"/>
      <c r="O40" s="1469"/>
    </row>
    <row r="41" spans="1:15" x14ac:dyDescent="0.25">
      <c r="A41" s="1019" t="s">
        <v>6608</v>
      </c>
      <c r="B41" s="1455" t="s">
        <v>6625</v>
      </c>
      <c r="C41" s="1456"/>
      <c r="D41" s="1456"/>
      <c r="E41" s="1456"/>
      <c r="F41" s="1456"/>
      <c r="G41" s="1456"/>
      <c r="H41" s="1456"/>
      <c r="I41" s="1456"/>
      <c r="J41" s="1456"/>
      <c r="K41" s="1456"/>
      <c r="L41" s="1456"/>
      <c r="M41" s="1456"/>
      <c r="N41" s="1456"/>
      <c r="O41" s="1456"/>
    </row>
    <row r="42" spans="1:15" ht="42" customHeight="1" x14ac:dyDescent="0.25">
      <c r="A42" s="1019" t="s">
        <v>6610</v>
      </c>
      <c r="B42" s="1489" t="s">
        <v>6626</v>
      </c>
      <c r="C42" s="1490"/>
      <c r="D42" s="1490"/>
      <c r="E42" s="1490"/>
      <c r="F42" s="1490"/>
      <c r="G42" s="1490"/>
      <c r="H42" s="1490"/>
      <c r="I42" s="1490"/>
      <c r="J42" s="1490"/>
      <c r="K42" s="1490"/>
      <c r="L42" s="1490"/>
      <c r="M42" s="1490"/>
      <c r="N42" s="1490"/>
      <c r="O42" s="1490"/>
    </row>
    <row r="43" spans="1:15" ht="53.25" customHeight="1" x14ac:dyDescent="0.25">
      <c r="A43" s="1019" t="s">
        <v>6622</v>
      </c>
      <c r="B43" s="1489" t="s">
        <v>6627</v>
      </c>
      <c r="C43" s="1490"/>
      <c r="D43" s="1490"/>
      <c r="E43" s="1490"/>
      <c r="F43" s="1490"/>
      <c r="G43" s="1490"/>
      <c r="H43" s="1490"/>
      <c r="I43" s="1490"/>
      <c r="J43" s="1490"/>
      <c r="K43" s="1490"/>
      <c r="L43" s="1490"/>
      <c r="M43" s="1490"/>
      <c r="N43" s="1490"/>
      <c r="O43" s="1490"/>
    </row>
    <row r="44" spans="1:15" x14ac:dyDescent="0.25">
      <c r="O44" s="1035"/>
    </row>
    <row r="45" spans="1:15" x14ac:dyDescent="0.25">
      <c r="A45" s="1474" t="s">
        <v>6628</v>
      </c>
      <c r="B45" s="1474"/>
      <c r="C45" s="1474"/>
      <c r="D45" s="1474"/>
      <c r="E45" s="1474"/>
      <c r="F45" s="1474"/>
      <c r="G45" s="1474"/>
      <c r="H45" s="1474"/>
      <c r="I45" s="1474"/>
      <c r="J45" s="1474"/>
      <c r="K45" s="1474"/>
      <c r="L45" s="1474"/>
      <c r="M45" s="1474"/>
      <c r="N45" s="1474"/>
      <c r="O45" s="1474"/>
    </row>
    <row r="46" spans="1:15" x14ac:dyDescent="0.25">
      <c r="A46" s="1472" t="s">
        <v>6629</v>
      </c>
      <c r="B46" s="1473"/>
      <c r="C46" s="1473"/>
      <c r="D46" s="1473"/>
      <c r="E46" s="1473"/>
      <c r="F46" s="1473"/>
      <c r="G46" s="1473"/>
      <c r="H46" s="1473"/>
      <c r="I46" s="1473"/>
      <c r="J46" s="1473"/>
      <c r="K46" s="1473"/>
      <c r="L46" s="1473"/>
      <c r="M46" s="1473"/>
      <c r="N46" s="1036" t="s">
        <v>6598</v>
      </c>
      <c r="O46" s="1010" t="s">
        <v>6599</v>
      </c>
    </row>
    <row r="47" spans="1:15" ht="15" customHeight="1" x14ac:dyDescent="0.25">
      <c r="A47" s="1461" t="s">
        <v>6600</v>
      </c>
      <c r="B47" s="1012"/>
      <c r="C47" s="1012"/>
      <c r="D47" s="1012"/>
      <c r="E47" s="1462" t="s">
        <v>6601</v>
      </c>
      <c r="F47" s="1012"/>
      <c r="G47" s="1013"/>
      <c r="H47" s="1012"/>
      <c r="I47" s="1462" t="s">
        <v>6602</v>
      </c>
      <c r="J47" s="1012"/>
      <c r="K47" s="1012"/>
      <c r="L47" s="1012"/>
      <c r="M47" s="1462" t="s">
        <v>6603</v>
      </c>
      <c r="N47" s="1465">
        <v>55</v>
      </c>
      <c r="O47" s="1468">
        <v>1.6667000000000001</v>
      </c>
    </row>
    <row r="48" spans="1:15" ht="15" customHeight="1" x14ac:dyDescent="0.25">
      <c r="A48" s="1461"/>
      <c r="B48" s="1014"/>
      <c r="C48" s="1015" t="s">
        <v>6604</v>
      </c>
      <c r="D48" s="1014"/>
      <c r="E48" s="1463"/>
      <c r="F48" s="1014"/>
      <c r="G48" s="1034"/>
      <c r="H48" s="1021"/>
      <c r="I48" s="1463"/>
      <c r="J48" s="1014"/>
      <c r="K48" s="1029"/>
      <c r="L48" s="1021"/>
      <c r="M48" s="1463"/>
      <c r="N48" s="1466"/>
      <c r="O48" s="1469"/>
    </row>
    <row r="49" spans="1:15" ht="15" customHeight="1" x14ac:dyDescent="0.25">
      <c r="A49" s="1475"/>
      <c r="B49" s="1014"/>
      <c r="C49" s="1012"/>
      <c r="D49" s="1014"/>
      <c r="E49" s="1464"/>
      <c r="F49" s="1014"/>
      <c r="G49" s="1013"/>
      <c r="H49" s="1014"/>
      <c r="I49" s="1464"/>
      <c r="J49" s="1014"/>
      <c r="K49" s="1012"/>
      <c r="L49" s="1014"/>
      <c r="M49" s="1464"/>
      <c r="N49" s="1466"/>
      <c r="O49" s="1469"/>
    </row>
    <row r="50" spans="1:15" ht="30" customHeight="1" x14ac:dyDescent="0.25">
      <c r="A50" s="1019" t="s">
        <v>6608</v>
      </c>
      <c r="B50" s="1455" t="s">
        <v>6630</v>
      </c>
      <c r="C50" s="1456"/>
      <c r="D50" s="1456"/>
      <c r="E50" s="1456"/>
      <c r="F50" s="1456"/>
      <c r="G50" s="1456"/>
      <c r="H50" s="1456"/>
      <c r="I50" s="1456"/>
      <c r="J50" s="1456"/>
      <c r="K50" s="1456"/>
      <c r="L50" s="1456"/>
      <c r="M50" s="1456"/>
      <c r="N50" s="1456"/>
      <c r="O50" s="1456"/>
    </row>
    <row r="51" spans="1:15" ht="18.75" customHeight="1" x14ac:dyDescent="0.25">
      <c r="A51" s="1019" t="s">
        <v>6610</v>
      </c>
      <c r="B51" s="1455" t="s">
        <v>6631</v>
      </c>
      <c r="C51" s="1456"/>
      <c r="D51" s="1456"/>
      <c r="E51" s="1456"/>
      <c r="F51" s="1456"/>
      <c r="G51" s="1456"/>
      <c r="H51" s="1456"/>
      <c r="I51" s="1456"/>
      <c r="J51" s="1456"/>
      <c r="K51" s="1456"/>
      <c r="L51" s="1456"/>
      <c r="M51" s="1456"/>
      <c r="N51" s="1456"/>
      <c r="O51" s="1456"/>
    </row>
    <row r="52" spans="1:15" ht="59.25" customHeight="1" x14ac:dyDescent="0.25">
      <c r="A52" s="1019" t="s">
        <v>6632</v>
      </c>
      <c r="B52" s="1455" t="s">
        <v>6633</v>
      </c>
      <c r="C52" s="1456"/>
      <c r="D52" s="1456"/>
      <c r="E52" s="1456"/>
      <c r="F52" s="1456"/>
      <c r="G52" s="1456"/>
      <c r="H52" s="1456"/>
      <c r="I52" s="1456"/>
      <c r="J52" s="1456"/>
      <c r="K52" s="1456"/>
      <c r="L52" s="1456"/>
      <c r="M52" s="1456"/>
      <c r="N52" s="1456"/>
      <c r="O52" s="1456"/>
    </row>
    <row r="53" spans="1:15" x14ac:dyDescent="0.25">
      <c r="A53" s="1471" t="s">
        <v>6634</v>
      </c>
      <c r="B53" s="1471"/>
      <c r="C53" s="1471"/>
      <c r="D53" s="1471"/>
      <c r="E53" s="1471"/>
      <c r="F53" s="1471"/>
      <c r="G53" s="1471"/>
      <c r="H53" s="1471"/>
      <c r="I53" s="1471"/>
      <c r="J53" s="1471"/>
      <c r="K53" s="1471"/>
      <c r="L53" s="1471"/>
      <c r="M53" s="1471"/>
      <c r="N53" s="1471"/>
      <c r="O53" s="1471"/>
    </row>
    <row r="54" spans="1:15" x14ac:dyDescent="0.25">
      <c r="A54" s="1472" t="s">
        <v>6635</v>
      </c>
      <c r="B54" s="1473"/>
      <c r="C54" s="1473"/>
      <c r="D54" s="1473"/>
      <c r="E54" s="1473"/>
      <c r="F54" s="1473"/>
      <c r="G54" s="1473"/>
      <c r="H54" s="1473"/>
      <c r="I54" s="1473"/>
      <c r="J54" s="1473"/>
      <c r="K54" s="1473"/>
      <c r="L54" s="1473"/>
      <c r="M54" s="1473"/>
      <c r="N54" s="1036" t="s">
        <v>6598</v>
      </c>
      <c r="O54" s="1010" t="s">
        <v>6599</v>
      </c>
    </row>
    <row r="55" spans="1:15" ht="15" customHeight="1" x14ac:dyDescent="0.25">
      <c r="A55" s="1461" t="s">
        <v>6600</v>
      </c>
      <c r="B55" s="1012"/>
      <c r="C55" s="1012"/>
      <c r="D55" s="1012"/>
      <c r="E55" s="1462" t="s">
        <v>6601</v>
      </c>
      <c r="F55" s="1012"/>
      <c r="G55" s="1013"/>
      <c r="H55" s="1012"/>
      <c r="I55" s="1462" t="s">
        <v>6602</v>
      </c>
      <c r="J55" s="1012"/>
      <c r="K55" s="1012"/>
      <c r="L55" s="1012"/>
      <c r="M55" s="1462" t="s">
        <v>6603</v>
      </c>
      <c r="N55" s="1465">
        <v>9</v>
      </c>
      <c r="O55" s="1468">
        <v>1</v>
      </c>
    </row>
    <row r="56" spans="1:15" ht="15" customHeight="1" x14ac:dyDescent="0.25">
      <c r="A56" s="1461"/>
      <c r="B56" s="1014"/>
      <c r="C56" s="1015" t="s">
        <v>6604</v>
      </c>
      <c r="D56" s="1014"/>
      <c r="E56" s="1463"/>
      <c r="F56" s="1014"/>
      <c r="G56" s="1034"/>
      <c r="H56" s="1021"/>
      <c r="I56" s="1463"/>
      <c r="J56" s="1014"/>
      <c r="K56" s="1029"/>
      <c r="L56" s="1021"/>
      <c r="M56" s="1463"/>
      <c r="N56" s="1466"/>
      <c r="O56" s="1469"/>
    </row>
    <row r="57" spans="1:15" ht="15" customHeight="1" x14ac:dyDescent="0.25">
      <c r="A57" s="1475"/>
      <c r="B57" s="1014"/>
      <c r="C57" s="1012"/>
      <c r="D57" s="1014"/>
      <c r="E57" s="1464"/>
      <c r="F57" s="1014"/>
      <c r="G57" s="1013"/>
      <c r="H57" s="1014"/>
      <c r="I57" s="1464"/>
      <c r="J57" s="1014"/>
      <c r="K57" s="1012"/>
      <c r="L57" s="1014"/>
      <c r="M57" s="1464"/>
      <c r="N57" s="1466"/>
      <c r="O57" s="1469"/>
    </row>
    <row r="58" spans="1:15" ht="45.75" customHeight="1" x14ac:dyDescent="0.25">
      <c r="A58" s="1019" t="s">
        <v>6608</v>
      </c>
      <c r="B58" s="1489" t="s">
        <v>6636</v>
      </c>
      <c r="C58" s="1490"/>
      <c r="D58" s="1490"/>
      <c r="E58" s="1490"/>
      <c r="F58" s="1490"/>
      <c r="G58" s="1490"/>
      <c r="H58" s="1490"/>
      <c r="I58" s="1490"/>
      <c r="J58" s="1490"/>
      <c r="K58" s="1490"/>
      <c r="L58" s="1490"/>
      <c r="M58" s="1490"/>
      <c r="N58" s="1490"/>
      <c r="O58" s="1490"/>
    </row>
    <row r="59" spans="1:15" ht="37.5" customHeight="1" x14ac:dyDescent="0.25">
      <c r="A59" s="1019" t="s">
        <v>6610</v>
      </c>
      <c r="B59" s="1489" t="s">
        <v>6637</v>
      </c>
      <c r="C59" s="1490"/>
      <c r="D59" s="1490"/>
      <c r="E59" s="1490"/>
      <c r="F59" s="1490"/>
      <c r="G59" s="1490"/>
      <c r="H59" s="1490"/>
      <c r="I59" s="1490"/>
      <c r="J59" s="1490"/>
      <c r="K59" s="1490"/>
      <c r="L59" s="1490"/>
      <c r="M59" s="1490"/>
      <c r="N59" s="1490"/>
      <c r="O59" s="1490"/>
    </row>
    <row r="60" spans="1:15" ht="72.75" customHeight="1" x14ac:dyDescent="0.25">
      <c r="A60" s="1019" t="s">
        <v>6632</v>
      </c>
      <c r="B60" s="1489" t="s">
        <v>6638</v>
      </c>
      <c r="C60" s="1490"/>
      <c r="D60" s="1490"/>
      <c r="E60" s="1490"/>
      <c r="F60" s="1490"/>
      <c r="G60" s="1490"/>
      <c r="H60" s="1490"/>
      <c r="I60" s="1490"/>
      <c r="J60" s="1490"/>
      <c r="K60" s="1490"/>
      <c r="L60" s="1490"/>
      <c r="M60" s="1490"/>
      <c r="N60" s="1490"/>
      <c r="O60" s="1490"/>
    </row>
    <row r="61" spans="1:15" x14ac:dyDescent="0.25">
      <c r="A61" s="1471" t="s">
        <v>6639</v>
      </c>
      <c r="B61" s="1471"/>
      <c r="C61" s="1471"/>
      <c r="D61" s="1471"/>
      <c r="E61" s="1471"/>
      <c r="F61" s="1471"/>
      <c r="G61" s="1471"/>
      <c r="H61" s="1471"/>
      <c r="I61" s="1471"/>
      <c r="J61" s="1471"/>
      <c r="K61" s="1471"/>
      <c r="L61" s="1471"/>
      <c r="M61" s="1471"/>
      <c r="N61" s="1471"/>
      <c r="O61" s="1471"/>
    </row>
    <row r="62" spans="1:15" x14ac:dyDescent="0.25">
      <c r="A62" s="1472" t="s">
        <v>6640</v>
      </c>
      <c r="B62" s="1473"/>
      <c r="C62" s="1473"/>
      <c r="D62" s="1473"/>
      <c r="E62" s="1473"/>
      <c r="F62" s="1473"/>
      <c r="G62" s="1473"/>
      <c r="H62" s="1473"/>
      <c r="I62" s="1473"/>
      <c r="J62" s="1473"/>
      <c r="K62" s="1473"/>
      <c r="L62" s="1473"/>
      <c r="M62" s="1473"/>
      <c r="N62" s="1036" t="s">
        <v>6598</v>
      </c>
      <c r="O62" s="1036" t="s">
        <v>6599</v>
      </c>
    </row>
    <row r="63" spans="1:15" ht="15" customHeight="1" x14ac:dyDescent="0.25">
      <c r="A63" s="1461" t="s">
        <v>6600</v>
      </c>
      <c r="B63" s="1020"/>
      <c r="C63" s="1012"/>
      <c r="D63" s="1012"/>
      <c r="E63" s="1483" t="s">
        <v>6601</v>
      </c>
      <c r="F63" s="1012"/>
      <c r="G63" s="1013"/>
      <c r="H63" s="1012"/>
      <c r="I63" s="1483" t="s">
        <v>6602</v>
      </c>
      <c r="J63" s="1012"/>
      <c r="K63" s="1012"/>
      <c r="L63" s="1012"/>
      <c r="M63" s="1485" t="s">
        <v>6603</v>
      </c>
      <c r="N63" s="1487">
        <v>95.82</v>
      </c>
      <c r="O63" s="1488">
        <v>1</v>
      </c>
    </row>
    <row r="64" spans="1:15" ht="15" customHeight="1" x14ac:dyDescent="0.25">
      <c r="A64" s="1461"/>
      <c r="B64" s="1021"/>
      <c r="C64" s="1015" t="s">
        <v>6604</v>
      </c>
      <c r="D64" s="1014"/>
      <c r="E64" s="1484"/>
      <c r="F64" s="1014"/>
      <c r="G64" s="1016"/>
      <c r="H64" s="1014"/>
      <c r="I64" s="1484"/>
      <c r="J64" s="1014"/>
      <c r="K64" s="1022"/>
      <c r="L64" s="1014"/>
      <c r="M64" s="1485"/>
      <c r="N64" s="1487"/>
      <c r="O64" s="1488"/>
    </row>
    <row r="65" spans="1:15" ht="15" customHeight="1" x14ac:dyDescent="0.25">
      <c r="A65" s="1475"/>
      <c r="B65" s="1021"/>
      <c r="C65" s="1014"/>
      <c r="D65" s="1014"/>
      <c r="E65" s="1484"/>
      <c r="F65" s="1014"/>
      <c r="G65" s="1018"/>
      <c r="H65" s="1014"/>
      <c r="I65" s="1484"/>
      <c r="J65" s="1014"/>
      <c r="K65" s="1014"/>
      <c r="L65" s="1014"/>
      <c r="M65" s="1486"/>
      <c r="N65" s="1481"/>
      <c r="O65" s="1468"/>
    </row>
    <row r="66" spans="1:15" ht="34.5" customHeight="1" x14ac:dyDescent="0.25">
      <c r="A66" s="1019" t="s">
        <v>6608</v>
      </c>
      <c r="B66" s="1455" t="s">
        <v>6641</v>
      </c>
      <c r="C66" s="1456"/>
      <c r="D66" s="1456"/>
      <c r="E66" s="1456"/>
      <c r="F66" s="1456"/>
      <c r="G66" s="1456"/>
      <c r="H66" s="1456"/>
      <c r="I66" s="1456"/>
      <c r="J66" s="1456"/>
      <c r="K66" s="1456"/>
      <c r="L66" s="1456"/>
      <c r="M66" s="1456"/>
      <c r="N66" s="1456"/>
      <c r="O66" s="1456"/>
    </row>
    <row r="67" spans="1:15" ht="19.5" customHeight="1" x14ac:dyDescent="0.25">
      <c r="A67" s="1019" t="s">
        <v>6610</v>
      </c>
      <c r="B67" s="1455" t="s">
        <v>6642</v>
      </c>
      <c r="C67" s="1456"/>
      <c r="D67" s="1456"/>
      <c r="E67" s="1456"/>
      <c r="F67" s="1456"/>
      <c r="G67" s="1456"/>
      <c r="H67" s="1456"/>
      <c r="I67" s="1456"/>
      <c r="J67" s="1456"/>
      <c r="K67" s="1456"/>
      <c r="L67" s="1456"/>
      <c r="M67" s="1456"/>
      <c r="N67" s="1456"/>
      <c r="O67" s="1456"/>
    </row>
    <row r="68" spans="1:15" ht="45.75" customHeight="1" x14ac:dyDescent="0.25">
      <c r="A68" s="1019" t="s">
        <v>6632</v>
      </c>
      <c r="B68" s="1455" t="s">
        <v>6643</v>
      </c>
      <c r="C68" s="1456"/>
      <c r="D68" s="1456"/>
      <c r="E68" s="1456"/>
      <c r="F68" s="1456"/>
      <c r="G68" s="1456"/>
      <c r="H68" s="1456"/>
      <c r="I68" s="1456"/>
      <c r="J68" s="1456"/>
      <c r="K68" s="1456"/>
      <c r="L68" s="1456"/>
      <c r="M68" s="1456"/>
      <c r="N68" s="1456"/>
      <c r="O68" s="1456"/>
    </row>
    <row r="69" spans="1:15" x14ac:dyDescent="0.25">
      <c r="A69" s="1471" t="s">
        <v>6644</v>
      </c>
      <c r="B69" s="1471"/>
      <c r="C69" s="1471"/>
      <c r="D69" s="1471"/>
      <c r="E69" s="1471"/>
      <c r="F69" s="1471"/>
      <c r="G69" s="1471"/>
      <c r="H69" s="1471"/>
      <c r="I69" s="1471"/>
      <c r="J69" s="1471"/>
      <c r="K69" s="1471"/>
      <c r="L69" s="1471"/>
      <c r="M69" s="1471"/>
      <c r="N69" s="1471"/>
      <c r="O69" s="1471"/>
    </row>
    <row r="70" spans="1:15" ht="27.75" customHeight="1" x14ac:dyDescent="0.25">
      <c r="A70" s="1472" t="s">
        <v>6645</v>
      </c>
      <c r="B70" s="1473"/>
      <c r="C70" s="1473"/>
      <c r="D70" s="1473"/>
      <c r="E70" s="1473"/>
      <c r="F70" s="1473"/>
      <c r="G70" s="1473"/>
      <c r="H70" s="1473"/>
      <c r="I70" s="1473"/>
      <c r="J70" s="1473"/>
      <c r="K70" s="1473"/>
      <c r="L70" s="1473"/>
      <c r="M70" s="1473"/>
      <c r="N70" s="1036" t="s">
        <v>6598</v>
      </c>
      <c r="O70" s="1010" t="s">
        <v>6599</v>
      </c>
    </row>
    <row r="71" spans="1:15" ht="15" customHeight="1" x14ac:dyDescent="0.25">
      <c r="A71" s="1461" t="s">
        <v>6600</v>
      </c>
      <c r="B71" s="1012"/>
      <c r="C71" s="1012"/>
      <c r="D71" s="1012"/>
      <c r="E71" s="1462" t="s">
        <v>6601</v>
      </c>
      <c r="F71" s="1012"/>
      <c r="G71" s="1013"/>
      <c r="H71" s="1012"/>
      <c r="I71" s="1462" t="s">
        <v>6602</v>
      </c>
      <c r="J71" s="1012"/>
      <c r="K71" s="1012"/>
      <c r="L71" s="1012"/>
      <c r="M71" s="1462" t="s">
        <v>6603</v>
      </c>
      <c r="N71" s="1481">
        <v>99.34</v>
      </c>
      <c r="O71" s="1479">
        <v>1.0157</v>
      </c>
    </row>
    <row r="72" spans="1:15" ht="15" customHeight="1" x14ac:dyDescent="0.25">
      <c r="A72" s="1461"/>
      <c r="B72" s="1014"/>
      <c r="C72" s="1015" t="s">
        <v>6604</v>
      </c>
      <c r="D72" s="1014"/>
      <c r="E72" s="1463"/>
      <c r="F72" s="1014"/>
      <c r="G72" s="1034"/>
      <c r="H72" s="1021"/>
      <c r="I72" s="1463"/>
      <c r="J72" s="1014"/>
      <c r="K72" s="1029"/>
      <c r="L72" s="1021"/>
      <c r="M72" s="1463"/>
      <c r="N72" s="1482"/>
      <c r="O72" s="1480"/>
    </row>
    <row r="73" spans="1:15" ht="15" customHeight="1" x14ac:dyDescent="0.25">
      <c r="A73" s="1475"/>
      <c r="B73" s="1014"/>
      <c r="C73" s="1012"/>
      <c r="D73" s="1014"/>
      <c r="E73" s="1464"/>
      <c r="F73" s="1014"/>
      <c r="G73" s="1013"/>
      <c r="H73" s="1014"/>
      <c r="I73" s="1464"/>
      <c r="J73" s="1014"/>
      <c r="K73" s="1012"/>
      <c r="L73" s="1014"/>
      <c r="M73" s="1464"/>
      <c r="N73" s="1482"/>
      <c r="O73" s="1480"/>
    </row>
    <row r="74" spans="1:15" ht="30.75" customHeight="1" x14ac:dyDescent="0.25">
      <c r="A74" s="1019" t="s">
        <v>6608</v>
      </c>
      <c r="B74" s="1458" t="s">
        <v>6646</v>
      </c>
      <c r="C74" s="1458"/>
      <c r="D74" s="1458"/>
      <c r="E74" s="1458"/>
      <c r="F74" s="1458"/>
      <c r="G74" s="1458"/>
      <c r="H74" s="1458"/>
      <c r="I74" s="1458"/>
      <c r="J74" s="1458"/>
      <c r="K74" s="1458"/>
      <c r="L74" s="1458"/>
      <c r="M74" s="1458"/>
      <c r="N74" s="1458"/>
      <c r="O74" s="1458"/>
    </row>
    <row r="75" spans="1:15" ht="41.25" customHeight="1" x14ac:dyDescent="0.25">
      <c r="A75" s="1019" t="s">
        <v>6610</v>
      </c>
      <c r="B75" s="1458" t="s">
        <v>6647</v>
      </c>
      <c r="C75" s="1458"/>
      <c r="D75" s="1458"/>
      <c r="E75" s="1458"/>
      <c r="F75" s="1458"/>
      <c r="G75" s="1458"/>
      <c r="H75" s="1458"/>
      <c r="I75" s="1458"/>
      <c r="J75" s="1458"/>
      <c r="K75" s="1458"/>
      <c r="L75" s="1458"/>
      <c r="M75" s="1458"/>
      <c r="N75" s="1458"/>
      <c r="O75" s="1458"/>
    </row>
    <row r="76" spans="1:15" ht="39" customHeight="1" x14ac:dyDescent="0.25">
      <c r="A76" s="1019" t="s">
        <v>6632</v>
      </c>
      <c r="B76" s="1458" t="s">
        <v>6648</v>
      </c>
      <c r="C76" s="1458"/>
      <c r="D76" s="1458"/>
      <c r="E76" s="1458"/>
      <c r="F76" s="1458"/>
      <c r="G76" s="1458"/>
      <c r="H76" s="1458"/>
      <c r="I76" s="1458"/>
      <c r="J76" s="1458"/>
      <c r="K76" s="1458"/>
      <c r="L76" s="1458"/>
      <c r="M76" s="1458"/>
      <c r="N76" s="1458"/>
      <c r="O76" s="1458"/>
    </row>
    <row r="77" spans="1:15" ht="30" customHeight="1" x14ac:dyDescent="0.25">
      <c r="A77" s="1471" t="s">
        <v>6649</v>
      </c>
      <c r="B77" s="1471"/>
      <c r="C77" s="1471"/>
      <c r="D77" s="1471"/>
      <c r="E77" s="1471"/>
      <c r="F77" s="1471"/>
      <c r="G77" s="1471"/>
      <c r="H77" s="1471"/>
      <c r="I77" s="1471"/>
      <c r="J77" s="1471"/>
      <c r="K77" s="1471"/>
      <c r="L77" s="1471"/>
      <c r="M77" s="1471"/>
      <c r="N77" s="1471"/>
      <c r="O77" s="1471"/>
    </row>
    <row r="78" spans="1:15" ht="27" customHeight="1" x14ac:dyDescent="0.25">
      <c r="A78" s="1472" t="s">
        <v>6650</v>
      </c>
      <c r="B78" s="1473"/>
      <c r="C78" s="1473"/>
      <c r="D78" s="1473"/>
      <c r="E78" s="1473"/>
      <c r="F78" s="1473"/>
      <c r="G78" s="1473"/>
      <c r="H78" s="1473"/>
      <c r="I78" s="1473"/>
      <c r="J78" s="1473"/>
      <c r="K78" s="1473"/>
      <c r="L78" s="1473"/>
      <c r="M78" s="1473"/>
      <c r="N78" s="1036" t="s">
        <v>6598</v>
      </c>
      <c r="O78" s="1010" t="s">
        <v>6599</v>
      </c>
    </row>
    <row r="79" spans="1:15" ht="15" customHeight="1" x14ac:dyDescent="0.25">
      <c r="A79" s="1461" t="s">
        <v>6600</v>
      </c>
      <c r="B79" s="1012"/>
      <c r="C79" s="1012"/>
      <c r="D79" s="1012"/>
      <c r="E79" s="1462" t="s">
        <v>6601</v>
      </c>
      <c r="F79" s="1012"/>
      <c r="G79" s="1013"/>
      <c r="H79" s="1012"/>
      <c r="I79" s="1462" t="s">
        <v>6602</v>
      </c>
      <c r="J79" s="1012"/>
      <c r="K79" s="1012"/>
      <c r="L79" s="1012"/>
      <c r="M79" s="1462" t="s">
        <v>6603</v>
      </c>
      <c r="N79" s="1465">
        <v>200</v>
      </c>
      <c r="O79" s="1468">
        <v>1</v>
      </c>
    </row>
    <row r="80" spans="1:15" ht="15" customHeight="1" x14ac:dyDescent="0.25">
      <c r="A80" s="1461"/>
      <c r="B80" s="1014"/>
      <c r="C80" s="1015" t="s">
        <v>6604</v>
      </c>
      <c r="D80" s="1014"/>
      <c r="E80" s="1463"/>
      <c r="F80" s="1014"/>
      <c r="G80" s="1034"/>
      <c r="H80" s="1021"/>
      <c r="I80" s="1463"/>
      <c r="J80" s="1014"/>
      <c r="K80" s="1029"/>
      <c r="L80" s="1021"/>
      <c r="M80" s="1463"/>
      <c r="N80" s="1466"/>
      <c r="O80" s="1469"/>
    </row>
    <row r="81" spans="1:15" ht="15" customHeight="1" x14ac:dyDescent="0.25">
      <c r="A81" s="1475"/>
      <c r="B81" s="1014"/>
      <c r="C81" s="1012"/>
      <c r="D81" s="1014"/>
      <c r="E81" s="1464"/>
      <c r="F81" s="1014"/>
      <c r="G81" s="1013"/>
      <c r="H81" s="1014"/>
      <c r="I81" s="1464"/>
      <c r="J81" s="1014"/>
      <c r="K81" s="1012"/>
      <c r="L81" s="1014"/>
      <c r="M81" s="1464"/>
      <c r="N81" s="1466"/>
      <c r="O81" s="1469"/>
    </row>
    <row r="82" spans="1:15" ht="48" customHeight="1" x14ac:dyDescent="0.25">
      <c r="A82" s="1019" t="s">
        <v>6608</v>
      </c>
      <c r="B82" s="1478" t="s">
        <v>6651</v>
      </c>
      <c r="C82" s="1478"/>
      <c r="D82" s="1478"/>
      <c r="E82" s="1478"/>
      <c r="F82" s="1478"/>
      <c r="G82" s="1478"/>
      <c r="H82" s="1478"/>
      <c r="I82" s="1478"/>
      <c r="J82" s="1478"/>
      <c r="K82" s="1478"/>
      <c r="L82" s="1478"/>
      <c r="M82" s="1478"/>
      <c r="N82" s="1478"/>
      <c r="O82" s="1478"/>
    </row>
    <row r="83" spans="1:15" ht="86.25" customHeight="1" x14ac:dyDescent="0.25">
      <c r="A83" s="1019" t="s">
        <v>6610</v>
      </c>
      <c r="B83" s="1478" t="s">
        <v>6652</v>
      </c>
      <c r="C83" s="1478"/>
      <c r="D83" s="1478"/>
      <c r="E83" s="1478"/>
      <c r="F83" s="1478"/>
      <c r="G83" s="1478"/>
      <c r="H83" s="1478"/>
      <c r="I83" s="1478"/>
      <c r="J83" s="1478"/>
      <c r="K83" s="1478"/>
      <c r="L83" s="1478"/>
      <c r="M83" s="1478"/>
      <c r="N83" s="1478"/>
      <c r="O83" s="1478"/>
    </row>
    <row r="84" spans="1:15" ht="47.25" customHeight="1" x14ac:dyDescent="0.25">
      <c r="A84" s="1019" t="s">
        <v>6632</v>
      </c>
      <c r="B84" s="1478" t="s">
        <v>6653</v>
      </c>
      <c r="C84" s="1478"/>
      <c r="D84" s="1478"/>
      <c r="E84" s="1478"/>
      <c r="F84" s="1478"/>
      <c r="G84" s="1478"/>
      <c r="H84" s="1478"/>
      <c r="I84" s="1478"/>
      <c r="J84" s="1478"/>
      <c r="K84" s="1478"/>
      <c r="L84" s="1478"/>
      <c r="M84" s="1478"/>
      <c r="N84" s="1478"/>
      <c r="O84" s="1478"/>
    </row>
    <row r="86" spans="1:15" x14ac:dyDescent="0.25">
      <c r="A86" s="1474" t="s">
        <v>6654</v>
      </c>
      <c r="B86" s="1474"/>
      <c r="C86" s="1474"/>
      <c r="D86" s="1474"/>
      <c r="E86" s="1474"/>
      <c r="F86" s="1474"/>
      <c r="G86" s="1474"/>
      <c r="H86" s="1474"/>
      <c r="I86" s="1474"/>
      <c r="J86" s="1474"/>
      <c r="K86" s="1474"/>
      <c r="L86" s="1474"/>
      <c r="M86" s="1474"/>
      <c r="N86" s="1474"/>
      <c r="O86" s="1474"/>
    </row>
    <row r="87" spans="1:15" x14ac:dyDescent="0.25">
      <c r="A87" s="1473" t="s">
        <v>6655</v>
      </c>
      <c r="B87" s="1473"/>
      <c r="C87" s="1473"/>
      <c r="D87" s="1473"/>
      <c r="E87" s="1473"/>
      <c r="F87" s="1473"/>
      <c r="G87" s="1473"/>
      <c r="H87" s="1473"/>
      <c r="I87" s="1473"/>
      <c r="J87" s="1473"/>
      <c r="K87" s="1473"/>
      <c r="L87" s="1473"/>
      <c r="M87" s="1473"/>
      <c r="N87" s="1010" t="s">
        <v>6598</v>
      </c>
      <c r="O87" s="1010" t="s">
        <v>6599</v>
      </c>
    </row>
    <row r="88" spans="1:15" ht="15" customHeight="1" x14ac:dyDescent="0.25">
      <c r="A88" s="1461" t="s">
        <v>6600</v>
      </c>
      <c r="B88" s="1012"/>
      <c r="C88" s="1012"/>
      <c r="D88" s="1012"/>
      <c r="E88" s="1462" t="s">
        <v>6601</v>
      </c>
      <c r="F88" s="1012"/>
      <c r="G88" s="1013"/>
      <c r="H88" s="1012"/>
      <c r="I88" s="1462" t="s">
        <v>6602</v>
      </c>
      <c r="J88" s="1012"/>
      <c r="K88" s="1012"/>
      <c r="L88" s="1012"/>
      <c r="M88" s="1462" t="s">
        <v>6603</v>
      </c>
      <c r="N88" s="1465">
        <v>23</v>
      </c>
      <c r="O88" s="1468">
        <v>1</v>
      </c>
    </row>
    <row r="89" spans="1:15" ht="15" customHeight="1" x14ac:dyDescent="0.25">
      <c r="A89" s="1461"/>
      <c r="B89" s="1014"/>
      <c r="C89" s="1015" t="s">
        <v>6604</v>
      </c>
      <c r="D89" s="1021"/>
      <c r="E89" s="1463"/>
      <c r="F89" s="1014"/>
      <c r="G89" s="1034"/>
      <c r="H89" s="1021"/>
      <c r="I89" s="1463"/>
      <c r="J89" s="1014"/>
      <c r="K89" s="1029"/>
      <c r="L89" s="1021"/>
      <c r="M89" s="1463"/>
      <c r="N89" s="1466"/>
      <c r="O89" s="1469"/>
    </row>
    <row r="90" spans="1:15" ht="15" customHeight="1" x14ac:dyDescent="0.25">
      <c r="A90" s="1475"/>
      <c r="B90" s="1014"/>
      <c r="C90" s="1014"/>
      <c r="D90" s="1014"/>
      <c r="E90" s="1464"/>
      <c r="F90" s="1014"/>
      <c r="G90" s="1013"/>
      <c r="H90" s="1014"/>
      <c r="I90" s="1464"/>
      <c r="J90" s="1014"/>
      <c r="K90" s="1012"/>
      <c r="L90" s="1014"/>
      <c r="M90" s="1464"/>
      <c r="N90" s="1466"/>
      <c r="O90" s="1469"/>
    </row>
    <row r="91" spans="1:15" ht="33.75" customHeight="1" x14ac:dyDescent="0.25">
      <c r="A91" s="1019" t="s">
        <v>6608</v>
      </c>
      <c r="B91" s="1476" t="s">
        <v>6656</v>
      </c>
      <c r="C91" s="1456"/>
      <c r="D91" s="1456"/>
      <c r="E91" s="1456"/>
      <c r="F91" s="1456"/>
      <c r="G91" s="1456"/>
      <c r="H91" s="1456"/>
      <c r="I91" s="1456"/>
      <c r="J91" s="1456"/>
      <c r="K91" s="1456"/>
      <c r="L91" s="1456"/>
      <c r="M91" s="1456"/>
      <c r="N91" s="1456"/>
      <c r="O91" s="1456"/>
    </row>
    <row r="92" spans="1:15" ht="18.75" customHeight="1" x14ac:dyDescent="0.25">
      <c r="A92" s="1019" t="s">
        <v>6610</v>
      </c>
      <c r="B92" s="1476" t="s">
        <v>6657</v>
      </c>
      <c r="C92" s="1456"/>
      <c r="D92" s="1456"/>
      <c r="E92" s="1456"/>
      <c r="F92" s="1456"/>
      <c r="G92" s="1456"/>
      <c r="H92" s="1456"/>
      <c r="I92" s="1456"/>
      <c r="J92" s="1456"/>
      <c r="K92" s="1456"/>
      <c r="L92" s="1456"/>
      <c r="M92" s="1456"/>
      <c r="N92" s="1456"/>
      <c r="O92" s="1456"/>
    </row>
    <row r="93" spans="1:15" ht="48" customHeight="1" x14ac:dyDescent="0.25">
      <c r="A93" s="1019" t="s">
        <v>6622</v>
      </c>
      <c r="B93" s="1476" t="s">
        <v>6658</v>
      </c>
      <c r="C93" s="1456"/>
      <c r="D93" s="1456"/>
      <c r="E93" s="1456"/>
      <c r="F93" s="1456"/>
      <c r="G93" s="1456"/>
      <c r="H93" s="1456"/>
      <c r="I93" s="1456"/>
      <c r="J93" s="1456"/>
      <c r="K93" s="1456"/>
      <c r="L93" s="1456"/>
      <c r="M93" s="1456"/>
      <c r="N93" s="1456"/>
      <c r="O93" s="1456"/>
    </row>
    <row r="94" spans="1:15" x14ac:dyDescent="0.25">
      <c r="A94" s="1477" t="s">
        <v>6659</v>
      </c>
      <c r="B94" s="1477"/>
      <c r="C94" s="1477"/>
      <c r="D94" s="1477"/>
      <c r="E94" s="1477"/>
      <c r="F94" s="1477"/>
      <c r="G94" s="1477"/>
      <c r="H94" s="1477"/>
      <c r="I94" s="1477"/>
      <c r="J94" s="1477"/>
      <c r="K94" s="1477"/>
      <c r="L94" s="1477"/>
      <c r="M94" s="1477"/>
      <c r="N94" s="1026" t="s">
        <v>6598</v>
      </c>
      <c r="O94" s="1026" t="s">
        <v>6599</v>
      </c>
    </row>
    <row r="95" spans="1:15" ht="15" customHeight="1" x14ac:dyDescent="0.25">
      <c r="A95" s="1461" t="s">
        <v>6600</v>
      </c>
      <c r="B95" s="1012"/>
      <c r="C95" s="1012"/>
      <c r="D95" s="1012"/>
      <c r="E95" s="1462" t="s">
        <v>6601</v>
      </c>
      <c r="F95" s="1012"/>
      <c r="G95" s="1013"/>
      <c r="H95" s="1012"/>
      <c r="I95" s="1462" t="s">
        <v>6602</v>
      </c>
      <c r="J95" s="1012"/>
      <c r="K95" s="1012"/>
      <c r="L95" s="1012"/>
      <c r="M95" s="1462" t="s">
        <v>6603</v>
      </c>
      <c r="N95" s="1465">
        <v>2</v>
      </c>
      <c r="O95" s="1468">
        <v>1</v>
      </c>
    </row>
    <row r="96" spans="1:15" ht="15" customHeight="1" x14ac:dyDescent="0.25">
      <c r="A96" s="1461"/>
      <c r="B96" s="1014"/>
      <c r="C96" s="1015" t="s">
        <v>6604</v>
      </c>
      <c r="D96" s="1021"/>
      <c r="E96" s="1463"/>
      <c r="F96" s="1014"/>
      <c r="G96" s="1034"/>
      <c r="H96" s="1021"/>
      <c r="I96" s="1463"/>
      <c r="J96" s="1014"/>
      <c r="K96" s="1029"/>
      <c r="L96" s="1021"/>
      <c r="M96" s="1463"/>
      <c r="N96" s="1466"/>
      <c r="O96" s="1469"/>
    </row>
    <row r="97" spans="1:15" ht="15" customHeight="1" x14ac:dyDescent="0.25">
      <c r="A97" s="1475"/>
      <c r="B97" s="1014"/>
      <c r="C97" s="1014"/>
      <c r="D97" s="1014"/>
      <c r="E97" s="1464"/>
      <c r="F97" s="1014"/>
      <c r="G97" s="1013"/>
      <c r="H97" s="1014"/>
      <c r="I97" s="1464"/>
      <c r="J97" s="1014"/>
      <c r="K97" s="1012"/>
      <c r="L97" s="1014"/>
      <c r="M97" s="1464"/>
      <c r="N97" s="1466"/>
      <c r="O97" s="1469"/>
    </row>
    <row r="98" spans="1:15" ht="33" customHeight="1" x14ac:dyDescent="0.25">
      <c r="A98" s="1019" t="s">
        <v>6608</v>
      </c>
      <c r="B98" s="1455" t="s">
        <v>6660</v>
      </c>
      <c r="C98" s="1456"/>
      <c r="D98" s="1456"/>
      <c r="E98" s="1456"/>
      <c r="F98" s="1456"/>
      <c r="G98" s="1456"/>
      <c r="H98" s="1456"/>
      <c r="I98" s="1456"/>
      <c r="J98" s="1456"/>
      <c r="K98" s="1456"/>
      <c r="L98" s="1456"/>
      <c r="M98" s="1456"/>
      <c r="N98" s="1456"/>
      <c r="O98" s="1456"/>
    </row>
    <row r="99" spans="1:15" ht="33.75" customHeight="1" x14ac:dyDescent="0.25">
      <c r="A99" s="1019" t="s">
        <v>6610</v>
      </c>
      <c r="B99" s="1455" t="s">
        <v>6661</v>
      </c>
      <c r="C99" s="1456"/>
      <c r="D99" s="1456"/>
      <c r="E99" s="1456"/>
      <c r="F99" s="1456"/>
      <c r="G99" s="1456"/>
      <c r="H99" s="1456"/>
      <c r="I99" s="1456"/>
      <c r="J99" s="1456"/>
      <c r="K99" s="1456"/>
      <c r="L99" s="1456"/>
      <c r="M99" s="1456"/>
      <c r="N99" s="1456"/>
      <c r="O99" s="1456"/>
    </row>
    <row r="100" spans="1:15" ht="47.25" customHeight="1" x14ac:dyDescent="0.25">
      <c r="A100" s="1019" t="s">
        <v>6622</v>
      </c>
      <c r="B100" s="1455" t="s">
        <v>6662</v>
      </c>
      <c r="C100" s="1456"/>
      <c r="D100" s="1456"/>
      <c r="E100" s="1456"/>
      <c r="F100" s="1456"/>
      <c r="G100" s="1456"/>
      <c r="H100" s="1456"/>
      <c r="I100" s="1456"/>
      <c r="J100" s="1456"/>
      <c r="K100" s="1456"/>
      <c r="L100" s="1456"/>
      <c r="M100" s="1456"/>
      <c r="N100" s="1456"/>
      <c r="O100" s="1456"/>
    </row>
    <row r="101" spans="1:15" x14ac:dyDescent="0.25">
      <c r="O101" s="1035"/>
    </row>
    <row r="102" spans="1:15" x14ac:dyDescent="0.25">
      <c r="A102" s="1474" t="s">
        <v>6663</v>
      </c>
      <c r="B102" s="1474"/>
      <c r="C102" s="1474"/>
      <c r="D102" s="1474"/>
      <c r="E102" s="1474"/>
      <c r="F102" s="1474"/>
      <c r="G102" s="1474"/>
      <c r="H102" s="1474"/>
      <c r="I102" s="1474"/>
      <c r="J102" s="1474"/>
      <c r="K102" s="1474"/>
      <c r="L102" s="1474"/>
      <c r="M102" s="1474"/>
      <c r="N102" s="1474"/>
      <c r="O102" s="1474"/>
    </row>
    <row r="103" spans="1:15" x14ac:dyDescent="0.25">
      <c r="A103" s="1472" t="s">
        <v>6664</v>
      </c>
      <c r="B103" s="1473"/>
      <c r="C103" s="1473"/>
      <c r="D103" s="1473"/>
      <c r="E103" s="1473"/>
      <c r="F103" s="1473"/>
      <c r="G103" s="1473"/>
      <c r="H103" s="1473"/>
      <c r="I103" s="1473"/>
      <c r="J103" s="1473"/>
      <c r="K103" s="1473"/>
      <c r="L103" s="1473"/>
      <c r="M103" s="1473"/>
      <c r="N103" s="1036" t="s">
        <v>6598</v>
      </c>
      <c r="O103" s="1010" t="s">
        <v>6599</v>
      </c>
    </row>
    <row r="104" spans="1:15" ht="15" customHeight="1" x14ac:dyDescent="0.25">
      <c r="A104" s="1461" t="s">
        <v>6600</v>
      </c>
      <c r="B104" s="1012"/>
      <c r="C104" s="1012"/>
      <c r="D104" s="1012"/>
      <c r="E104" s="1462" t="s">
        <v>6601</v>
      </c>
      <c r="F104" s="1012"/>
      <c r="G104" s="1013"/>
      <c r="H104" s="1012"/>
      <c r="I104" s="1462" t="s">
        <v>6602</v>
      </c>
      <c r="J104" s="1012"/>
      <c r="K104" s="1012"/>
      <c r="L104" s="1012"/>
      <c r="M104" s="1462" t="s">
        <v>6603</v>
      </c>
      <c r="N104" s="1465">
        <v>5</v>
      </c>
      <c r="O104" s="1468">
        <v>1</v>
      </c>
    </row>
    <row r="105" spans="1:15" ht="15" customHeight="1" x14ac:dyDescent="0.25">
      <c r="A105" s="1461"/>
      <c r="B105" s="1014"/>
      <c r="C105" s="1015" t="s">
        <v>6604</v>
      </c>
      <c r="D105" s="1014"/>
      <c r="E105" s="1463"/>
      <c r="F105" s="1014"/>
      <c r="G105" s="1034"/>
      <c r="H105" s="1021"/>
      <c r="I105" s="1463"/>
      <c r="J105" s="1014"/>
      <c r="K105" s="1029"/>
      <c r="L105" s="1021"/>
      <c r="M105" s="1463"/>
      <c r="N105" s="1466"/>
      <c r="O105" s="1469"/>
    </row>
    <row r="106" spans="1:15" ht="15" customHeight="1" x14ac:dyDescent="0.25">
      <c r="A106" s="1475"/>
      <c r="B106" s="1014"/>
      <c r="C106" s="1012"/>
      <c r="D106" s="1014"/>
      <c r="E106" s="1464"/>
      <c r="F106" s="1014"/>
      <c r="G106" s="1013"/>
      <c r="H106" s="1014"/>
      <c r="I106" s="1464"/>
      <c r="J106" s="1014"/>
      <c r="K106" s="1012"/>
      <c r="L106" s="1014"/>
      <c r="M106" s="1464"/>
      <c r="N106" s="1466"/>
      <c r="O106" s="1469"/>
    </row>
    <row r="107" spans="1:15" ht="18.75" customHeight="1" x14ac:dyDescent="0.25">
      <c r="A107" s="1019" t="s">
        <v>6608</v>
      </c>
      <c r="B107" s="1455" t="s">
        <v>6665</v>
      </c>
      <c r="C107" s="1456"/>
      <c r="D107" s="1456"/>
      <c r="E107" s="1456"/>
      <c r="F107" s="1456"/>
      <c r="G107" s="1456"/>
      <c r="H107" s="1456"/>
      <c r="I107" s="1456"/>
      <c r="J107" s="1456"/>
      <c r="K107" s="1456"/>
      <c r="L107" s="1456"/>
      <c r="M107" s="1456"/>
      <c r="N107" s="1456"/>
      <c r="O107" s="1456"/>
    </row>
    <row r="108" spans="1:15" ht="33.75" customHeight="1" x14ac:dyDescent="0.25">
      <c r="A108" s="1019" t="s">
        <v>6610</v>
      </c>
      <c r="B108" s="1455" t="s">
        <v>6666</v>
      </c>
      <c r="C108" s="1456"/>
      <c r="D108" s="1456"/>
      <c r="E108" s="1456"/>
      <c r="F108" s="1456"/>
      <c r="G108" s="1456"/>
      <c r="H108" s="1456"/>
      <c r="I108" s="1456"/>
      <c r="J108" s="1456"/>
      <c r="K108" s="1456"/>
      <c r="L108" s="1456"/>
      <c r="M108" s="1456"/>
      <c r="N108" s="1456"/>
      <c r="O108" s="1456"/>
    </row>
    <row r="109" spans="1:15" ht="50.25" customHeight="1" x14ac:dyDescent="0.25">
      <c r="A109" s="1019" t="s">
        <v>6632</v>
      </c>
      <c r="B109" s="1455" t="s">
        <v>6667</v>
      </c>
      <c r="C109" s="1456"/>
      <c r="D109" s="1456"/>
      <c r="E109" s="1456"/>
      <c r="F109" s="1456"/>
      <c r="G109" s="1456"/>
      <c r="H109" s="1456"/>
      <c r="I109" s="1456"/>
      <c r="J109" s="1456"/>
      <c r="K109" s="1456"/>
      <c r="L109" s="1456"/>
      <c r="M109" s="1456"/>
      <c r="N109" s="1456"/>
      <c r="O109" s="1456"/>
    </row>
    <row r="110" spans="1:15" ht="30.75" customHeight="1" x14ac:dyDescent="0.25">
      <c r="A110" s="1471" t="s">
        <v>6668</v>
      </c>
      <c r="B110" s="1471"/>
      <c r="C110" s="1471"/>
      <c r="D110" s="1471"/>
      <c r="E110" s="1471"/>
      <c r="F110" s="1471"/>
      <c r="G110" s="1471"/>
      <c r="H110" s="1471"/>
      <c r="I110" s="1471"/>
      <c r="J110" s="1471"/>
      <c r="K110" s="1471"/>
      <c r="L110" s="1471"/>
      <c r="M110" s="1471"/>
      <c r="N110" s="1471"/>
      <c r="O110" s="1471"/>
    </row>
    <row r="111" spans="1:15" ht="30.75" customHeight="1" x14ac:dyDescent="0.25">
      <c r="A111" s="1472" t="s">
        <v>6669</v>
      </c>
      <c r="B111" s="1473"/>
      <c r="C111" s="1473"/>
      <c r="D111" s="1473"/>
      <c r="E111" s="1473"/>
      <c r="F111" s="1473"/>
      <c r="G111" s="1473"/>
      <c r="H111" s="1473"/>
      <c r="I111" s="1473"/>
      <c r="J111" s="1473"/>
      <c r="K111" s="1473"/>
      <c r="L111" s="1473"/>
      <c r="M111" s="1473"/>
      <c r="N111" s="1036" t="s">
        <v>6598</v>
      </c>
      <c r="O111" s="1010" t="s">
        <v>6599</v>
      </c>
    </row>
    <row r="112" spans="1:15" ht="15" customHeight="1" x14ac:dyDescent="0.25">
      <c r="A112" s="1461" t="s">
        <v>6600</v>
      </c>
      <c r="B112" s="1012"/>
      <c r="C112" s="1012"/>
      <c r="D112" s="1012"/>
      <c r="E112" s="1462" t="s">
        <v>6601</v>
      </c>
      <c r="F112" s="1012"/>
      <c r="G112" s="1013"/>
      <c r="H112" s="1012"/>
      <c r="I112" s="1462" t="s">
        <v>6602</v>
      </c>
      <c r="J112" s="1012"/>
      <c r="K112" s="1012"/>
      <c r="L112" s="1012"/>
      <c r="M112" s="1462" t="s">
        <v>6603</v>
      </c>
      <c r="N112" s="1465">
        <v>2</v>
      </c>
      <c r="O112" s="1468">
        <v>1</v>
      </c>
    </row>
    <row r="113" spans="1:15" ht="15" customHeight="1" x14ac:dyDescent="0.25">
      <c r="A113" s="1461"/>
      <c r="B113" s="1014"/>
      <c r="C113" s="1015" t="s">
        <v>6604</v>
      </c>
      <c r="D113" s="1014"/>
      <c r="E113" s="1463"/>
      <c r="F113" s="1014"/>
      <c r="G113" s="1034"/>
      <c r="H113" s="1021"/>
      <c r="I113" s="1463"/>
      <c r="J113" s="1014"/>
      <c r="K113" s="1029"/>
      <c r="L113" s="1021"/>
      <c r="M113" s="1463"/>
      <c r="N113" s="1466"/>
      <c r="O113" s="1469"/>
    </row>
    <row r="114" spans="1:15" ht="15" customHeight="1" x14ac:dyDescent="0.25">
      <c r="A114" s="1475"/>
      <c r="B114" s="1014"/>
      <c r="C114" s="1012"/>
      <c r="D114" s="1014"/>
      <c r="E114" s="1464"/>
      <c r="F114" s="1014"/>
      <c r="G114" s="1013"/>
      <c r="H114" s="1014"/>
      <c r="I114" s="1464"/>
      <c r="J114" s="1014"/>
      <c r="K114" s="1012"/>
      <c r="L114" s="1014"/>
      <c r="M114" s="1464"/>
      <c r="N114" s="1466"/>
      <c r="O114" s="1469"/>
    </row>
    <row r="115" spans="1:15" ht="22.5" customHeight="1" x14ac:dyDescent="0.25">
      <c r="A115" s="1019" t="s">
        <v>6608</v>
      </c>
      <c r="B115" s="1455" t="s">
        <v>6670</v>
      </c>
      <c r="C115" s="1456"/>
      <c r="D115" s="1456"/>
      <c r="E115" s="1456"/>
      <c r="F115" s="1456"/>
      <c r="G115" s="1456"/>
      <c r="H115" s="1456"/>
      <c r="I115" s="1456"/>
      <c r="J115" s="1456"/>
      <c r="K115" s="1456"/>
      <c r="L115" s="1456"/>
      <c r="M115" s="1456"/>
      <c r="N115" s="1456"/>
      <c r="O115" s="1456"/>
    </row>
    <row r="116" spans="1:15" ht="21" customHeight="1" x14ac:dyDescent="0.25">
      <c r="A116" s="1019" t="s">
        <v>6610</v>
      </c>
      <c r="B116" s="1455" t="s">
        <v>6671</v>
      </c>
      <c r="C116" s="1456"/>
      <c r="D116" s="1456"/>
      <c r="E116" s="1456"/>
      <c r="F116" s="1456"/>
      <c r="G116" s="1456"/>
      <c r="H116" s="1456"/>
      <c r="I116" s="1456"/>
      <c r="J116" s="1456"/>
      <c r="K116" s="1456"/>
      <c r="L116" s="1456"/>
      <c r="M116" s="1456"/>
      <c r="N116" s="1456"/>
      <c r="O116" s="1456"/>
    </row>
    <row r="117" spans="1:15" ht="35.25" customHeight="1" x14ac:dyDescent="0.25">
      <c r="A117" s="1019" t="s">
        <v>6632</v>
      </c>
      <c r="B117" s="1455" t="s">
        <v>6672</v>
      </c>
      <c r="C117" s="1456"/>
      <c r="D117" s="1456"/>
      <c r="E117" s="1456"/>
      <c r="F117" s="1456"/>
      <c r="G117" s="1456"/>
      <c r="H117" s="1456"/>
      <c r="I117" s="1456"/>
      <c r="J117" s="1456"/>
      <c r="K117" s="1456"/>
      <c r="L117" s="1456"/>
      <c r="M117" s="1456"/>
      <c r="N117" s="1456"/>
      <c r="O117" s="1456"/>
    </row>
    <row r="118" spans="1:15" x14ac:dyDescent="0.25">
      <c r="A118" s="1471" t="s">
        <v>6673</v>
      </c>
      <c r="B118" s="1471"/>
      <c r="C118" s="1471"/>
      <c r="D118" s="1471"/>
      <c r="E118" s="1471"/>
      <c r="F118" s="1471"/>
      <c r="G118" s="1471"/>
      <c r="H118" s="1471"/>
      <c r="I118" s="1471"/>
      <c r="J118" s="1471"/>
      <c r="K118" s="1471"/>
      <c r="L118" s="1471"/>
      <c r="M118" s="1471"/>
      <c r="N118" s="1471"/>
      <c r="O118" s="1471"/>
    </row>
    <row r="119" spans="1:15" x14ac:dyDescent="0.25">
      <c r="A119" s="1472" t="s">
        <v>6674</v>
      </c>
      <c r="B119" s="1473"/>
      <c r="C119" s="1473"/>
      <c r="D119" s="1473"/>
      <c r="E119" s="1473"/>
      <c r="F119" s="1473"/>
      <c r="G119" s="1473"/>
      <c r="H119" s="1473"/>
      <c r="I119" s="1473"/>
      <c r="J119" s="1473"/>
      <c r="K119" s="1473"/>
      <c r="L119" s="1473"/>
      <c r="M119" s="1473"/>
      <c r="N119" s="1036" t="s">
        <v>6598</v>
      </c>
      <c r="O119" s="1010" t="s">
        <v>6599</v>
      </c>
    </row>
    <row r="120" spans="1:15" ht="15" customHeight="1" x14ac:dyDescent="0.25">
      <c r="A120" s="1461" t="s">
        <v>6600</v>
      </c>
      <c r="B120" s="1012"/>
      <c r="C120" s="1012"/>
      <c r="D120" s="1012"/>
      <c r="E120" s="1462" t="s">
        <v>6601</v>
      </c>
      <c r="F120" s="1012"/>
      <c r="G120" s="1013"/>
      <c r="H120" s="1012"/>
      <c r="I120" s="1462" t="s">
        <v>6602</v>
      </c>
      <c r="J120" s="1012"/>
      <c r="K120" s="1012"/>
      <c r="L120" s="1012"/>
      <c r="M120" s="1462" t="s">
        <v>6603</v>
      </c>
      <c r="N120" s="1465">
        <v>2</v>
      </c>
      <c r="O120" s="1468">
        <v>1</v>
      </c>
    </row>
    <row r="121" spans="1:15" ht="15" customHeight="1" x14ac:dyDescent="0.25">
      <c r="A121" s="1461"/>
      <c r="B121" s="1014"/>
      <c r="C121" s="1015" t="s">
        <v>6604</v>
      </c>
      <c r="D121" s="1014"/>
      <c r="E121" s="1463"/>
      <c r="F121" s="1014"/>
      <c r="G121" s="1034"/>
      <c r="H121" s="1021"/>
      <c r="I121" s="1463"/>
      <c r="J121" s="1014"/>
      <c r="K121" s="1029"/>
      <c r="L121" s="1021"/>
      <c r="M121" s="1463"/>
      <c r="N121" s="1466"/>
      <c r="O121" s="1469"/>
    </row>
    <row r="122" spans="1:15" ht="15" customHeight="1" x14ac:dyDescent="0.25">
      <c r="A122" s="1461"/>
      <c r="B122" s="1014"/>
      <c r="C122" s="1012"/>
      <c r="D122" s="1014"/>
      <c r="E122" s="1464"/>
      <c r="F122" s="1014"/>
      <c r="G122" s="1013"/>
      <c r="H122" s="1014"/>
      <c r="I122" s="1464"/>
      <c r="J122" s="1014"/>
      <c r="K122" s="1012"/>
      <c r="L122" s="1014"/>
      <c r="M122" s="1464"/>
      <c r="N122" s="1466"/>
      <c r="O122" s="1469"/>
    </row>
    <row r="123" spans="1:15" ht="18.75" customHeight="1" x14ac:dyDescent="0.25">
      <c r="A123" s="1019" t="s">
        <v>6608</v>
      </c>
      <c r="B123" s="1455" t="s">
        <v>6675</v>
      </c>
      <c r="C123" s="1456"/>
      <c r="D123" s="1456"/>
      <c r="E123" s="1456"/>
      <c r="F123" s="1456"/>
      <c r="G123" s="1456"/>
      <c r="H123" s="1456"/>
      <c r="I123" s="1456"/>
      <c r="J123" s="1456"/>
      <c r="K123" s="1456"/>
      <c r="L123" s="1456"/>
      <c r="M123" s="1456"/>
      <c r="N123" s="1456"/>
      <c r="O123" s="1456"/>
    </row>
    <row r="124" spans="1:15" ht="46.5" customHeight="1" x14ac:dyDescent="0.25">
      <c r="A124" s="1019" t="s">
        <v>6610</v>
      </c>
      <c r="B124" s="1455" t="s">
        <v>6676</v>
      </c>
      <c r="C124" s="1456"/>
      <c r="D124" s="1456"/>
      <c r="E124" s="1456"/>
      <c r="F124" s="1456"/>
      <c r="G124" s="1456"/>
      <c r="H124" s="1456"/>
      <c r="I124" s="1456"/>
      <c r="J124" s="1456"/>
      <c r="K124" s="1456"/>
      <c r="L124" s="1456"/>
      <c r="M124" s="1456"/>
      <c r="N124" s="1456"/>
      <c r="O124" s="1456"/>
    </row>
    <row r="125" spans="1:15" ht="42.75" customHeight="1" x14ac:dyDescent="0.25">
      <c r="A125" s="1019" t="s">
        <v>6632</v>
      </c>
      <c r="B125" s="1455" t="s">
        <v>6677</v>
      </c>
      <c r="C125" s="1456"/>
      <c r="D125" s="1456"/>
      <c r="E125" s="1456"/>
      <c r="F125" s="1456"/>
      <c r="G125" s="1456"/>
      <c r="H125" s="1456"/>
      <c r="I125" s="1456"/>
      <c r="J125" s="1456"/>
      <c r="K125" s="1456"/>
      <c r="L125" s="1456"/>
      <c r="M125" s="1456"/>
      <c r="N125" s="1456"/>
      <c r="O125" s="1456"/>
    </row>
    <row r="126" spans="1:15" x14ac:dyDescent="0.25">
      <c r="A126" s="1474" t="s">
        <v>6678</v>
      </c>
      <c r="B126" s="1471"/>
      <c r="C126" s="1471"/>
      <c r="D126" s="1471"/>
      <c r="E126" s="1471"/>
      <c r="F126" s="1471"/>
      <c r="G126" s="1471"/>
      <c r="H126" s="1471"/>
      <c r="I126" s="1471"/>
      <c r="J126" s="1471"/>
      <c r="K126" s="1471"/>
      <c r="L126" s="1471"/>
      <c r="M126" s="1471"/>
      <c r="N126" s="1471"/>
      <c r="O126" s="1471"/>
    </row>
    <row r="127" spans="1:15" ht="18" customHeight="1" x14ac:dyDescent="0.25">
      <c r="A127" s="1472" t="s">
        <v>6679</v>
      </c>
      <c r="B127" s="1473"/>
      <c r="C127" s="1473"/>
      <c r="D127" s="1473"/>
      <c r="E127" s="1473"/>
      <c r="F127" s="1473"/>
      <c r="G127" s="1473"/>
      <c r="H127" s="1473"/>
      <c r="I127" s="1473"/>
      <c r="J127" s="1473"/>
      <c r="K127" s="1473"/>
      <c r="L127" s="1473"/>
      <c r="M127" s="1473"/>
      <c r="N127" s="1036" t="s">
        <v>6598</v>
      </c>
      <c r="O127" s="1010" t="s">
        <v>6599</v>
      </c>
    </row>
    <row r="128" spans="1:15" ht="15" customHeight="1" x14ac:dyDescent="0.25">
      <c r="A128" s="1461" t="s">
        <v>6600</v>
      </c>
      <c r="B128" s="1012"/>
      <c r="C128" s="1012"/>
      <c r="D128" s="1012"/>
      <c r="E128" s="1462" t="s">
        <v>6601</v>
      </c>
      <c r="F128" s="1012"/>
      <c r="G128" s="1013"/>
      <c r="H128" s="1012"/>
      <c r="I128" s="1462" t="s">
        <v>6602</v>
      </c>
      <c r="J128" s="1012"/>
      <c r="K128" s="1012"/>
      <c r="L128" s="1012"/>
      <c r="M128" s="1462" t="s">
        <v>6603</v>
      </c>
      <c r="N128" s="1465">
        <v>1</v>
      </c>
      <c r="O128" s="1468">
        <v>1</v>
      </c>
    </row>
    <row r="129" spans="1:15" ht="15" customHeight="1" x14ac:dyDescent="0.25">
      <c r="A129" s="1461"/>
      <c r="B129" s="1014"/>
      <c r="C129" s="1015" t="s">
        <v>6604</v>
      </c>
      <c r="D129" s="1014"/>
      <c r="E129" s="1463"/>
      <c r="F129" s="1014"/>
      <c r="G129" s="1034"/>
      <c r="H129" s="1021"/>
      <c r="I129" s="1463"/>
      <c r="J129" s="1014"/>
      <c r="K129" s="1029"/>
      <c r="L129" s="1021"/>
      <c r="M129" s="1463"/>
      <c r="N129" s="1466"/>
      <c r="O129" s="1469"/>
    </row>
    <row r="130" spans="1:15" ht="15" customHeight="1" x14ac:dyDescent="0.25">
      <c r="A130" s="1475"/>
      <c r="B130" s="1014"/>
      <c r="C130" s="1012"/>
      <c r="D130" s="1014"/>
      <c r="E130" s="1464"/>
      <c r="F130" s="1014"/>
      <c r="G130" s="1013"/>
      <c r="H130" s="1014"/>
      <c r="I130" s="1464"/>
      <c r="J130" s="1014"/>
      <c r="K130" s="1012"/>
      <c r="L130" s="1014"/>
      <c r="M130" s="1464"/>
      <c r="N130" s="1466"/>
      <c r="O130" s="1469"/>
    </row>
    <row r="131" spans="1:15" ht="19.5" customHeight="1" x14ac:dyDescent="0.25">
      <c r="A131" s="1019" t="s">
        <v>6608</v>
      </c>
      <c r="B131" s="1455" t="s">
        <v>6680</v>
      </c>
      <c r="C131" s="1456"/>
      <c r="D131" s="1456"/>
      <c r="E131" s="1456"/>
      <c r="F131" s="1456"/>
      <c r="G131" s="1456"/>
      <c r="H131" s="1456"/>
      <c r="I131" s="1456"/>
      <c r="J131" s="1456"/>
      <c r="K131" s="1456"/>
      <c r="L131" s="1456"/>
      <c r="M131" s="1456"/>
      <c r="N131" s="1456"/>
      <c r="O131" s="1456"/>
    </row>
    <row r="132" spans="1:15" ht="34.5" customHeight="1" x14ac:dyDescent="0.25">
      <c r="A132" s="1019" t="s">
        <v>6610</v>
      </c>
      <c r="B132" s="1455" t="s">
        <v>6661</v>
      </c>
      <c r="C132" s="1456"/>
      <c r="D132" s="1456"/>
      <c r="E132" s="1456"/>
      <c r="F132" s="1456"/>
      <c r="G132" s="1456"/>
      <c r="H132" s="1456"/>
      <c r="I132" s="1456"/>
      <c r="J132" s="1456"/>
      <c r="K132" s="1456"/>
      <c r="L132" s="1456"/>
      <c r="M132" s="1456"/>
      <c r="N132" s="1456"/>
      <c r="O132" s="1456"/>
    </row>
    <row r="133" spans="1:15" ht="51" customHeight="1" x14ac:dyDescent="0.25">
      <c r="A133" s="1019" t="s">
        <v>6632</v>
      </c>
      <c r="B133" s="1455" t="s">
        <v>6681</v>
      </c>
      <c r="C133" s="1456"/>
      <c r="D133" s="1456"/>
      <c r="E133" s="1456"/>
      <c r="F133" s="1456"/>
      <c r="G133" s="1456"/>
      <c r="H133" s="1456"/>
      <c r="I133" s="1456"/>
      <c r="J133" s="1456"/>
      <c r="K133" s="1456"/>
      <c r="L133" s="1456"/>
      <c r="M133" s="1456"/>
      <c r="N133" s="1456"/>
      <c r="O133" s="1456"/>
    </row>
    <row r="134" spans="1:15" ht="18" customHeight="1" x14ac:dyDescent="0.25">
      <c r="A134" s="1471" t="s">
        <v>6682</v>
      </c>
      <c r="B134" s="1471"/>
      <c r="C134" s="1471"/>
      <c r="D134" s="1471"/>
      <c r="E134" s="1471"/>
      <c r="F134" s="1471"/>
      <c r="G134" s="1471"/>
      <c r="H134" s="1471"/>
      <c r="I134" s="1471"/>
      <c r="J134" s="1471"/>
      <c r="K134" s="1471"/>
      <c r="L134" s="1471"/>
      <c r="M134" s="1471"/>
      <c r="N134" s="1471"/>
      <c r="O134" s="1471"/>
    </row>
    <row r="135" spans="1:15" ht="17.25" customHeight="1" x14ac:dyDescent="0.25">
      <c r="A135" s="1472" t="s">
        <v>6683</v>
      </c>
      <c r="B135" s="1473"/>
      <c r="C135" s="1473"/>
      <c r="D135" s="1473"/>
      <c r="E135" s="1473"/>
      <c r="F135" s="1473"/>
      <c r="G135" s="1473"/>
      <c r="H135" s="1473"/>
      <c r="I135" s="1473"/>
      <c r="J135" s="1473"/>
      <c r="K135" s="1473"/>
      <c r="L135" s="1473"/>
      <c r="M135" s="1473"/>
      <c r="N135" s="1036" t="s">
        <v>6598</v>
      </c>
      <c r="O135" s="1010" t="s">
        <v>6599</v>
      </c>
    </row>
    <row r="136" spans="1:15" ht="15" customHeight="1" x14ac:dyDescent="0.25">
      <c r="A136" s="1461" t="s">
        <v>6600</v>
      </c>
      <c r="B136" s="1012"/>
      <c r="C136" s="1012"/>
      <c r="D136" s="1012"/>
      <c r="E136" s="1462" t="s">
        <v>6601</v>
      </c>
      <c r="F136" s="1012"/>
      <c r="G136" s="1013"/>
      <c r="H136" s="1012"/>
      <c r="I136" s="1462" t="s">
        <v>6602</v>
      </c>
      <c r="J136" s="1012"/>
      <c r="K136" s="1012"/>
      <c r="L136" s="1012"/>
      <c r="M136" s="1462" t="s">
        <v>6603</v>
      </c>
      <c r="N136" s="1465">
        <v>88</v>
      </c>
      <c r="O136" s="1468">
        <v>0</v>
      </c>
    </row>
    <row r="137" spans="1:15" ht="15" customHeight="1" x14ac:dyDescent="0.25">
      <c r="A137" s="1461"/>
      <c r="B137" s="1014"/>
      <c r="C137" s="1015"/>
      <c r="D137" s="1014"/>
      <c r="E137" s="1463"/>
      <c r="F137" s="1014"/>
      <c r="G137" s="1034"/>
      <c r="H137" s="1021"/>
      <c r="I137" s="1463"/>
      <c r="J137" s="1014"/>
      <c r="K137" s="1037" t="s">
        <v>6604</v>
      </c>
      <c r="L137" s="1021"/>
      <c r="M137" s="1463"/>
      <c r="N137" s="1466"/>
      <c r="O137" s="1469"/>
    </row>
    <row r="138" spans="1:15" ht="15" customHeight="1" x14ac:dyDescent="0.25">
      <c r="A138" s="1461"/>
      <c r="B138" s="1014"/>
      <c r="C138" s="1030"/>
      <c r="D138" s="1014"/>
      <c r="E138" s="1464"/>
      <c r="F138" s="1014"/>
      <c r="G138" s="1031"/>
      <c r="H138" s="1014"/>
      <c r="I138" s="1464"/>
      <c r="J138" s="1014"/>
      <c r="K138" s="1030"/>
      <c r="L138" s="1014"/>
      <c r="M138" s="1464"/>
      <c r="N138" s="1467"/>
      <c r="O138" s="1470"/>
    </row>
    <row r="139" spans="1:15" ht="30.75" customHeight="1" x14ac:dyDescent="0.25">
      <c r="A139" s="1019" t="s">
        <v>6608</v>
      </c>
      <c r="B139" s="1455" t="s">
        <v>6684</v>
      </c>
      <c r="C139" s="1456"/>
      <c r="D139" s="1456"/>
      <c r="E139" s="1456"/>
      <c r="F139" s="1456"/>
      <c r="G139" s="1456"/>
      <c r="H139" s="1456"/>
      <c r="I139" s="1456"/>
      <c r="J139" s="1456"/>
      <c r="K139" s="1456"/>
      <c r="L139" s="1456"/>
      <c r="M139" s="1456"/>
      <c r="N139" s="1456"/>
      <c r="O139" s="1456"/>
    </row>
    <row r="140" spans="1:15" x14ac:dyDescent="0.25">
      <c r="A140" s="1019" t="s">
        <v>6610</v>
      </c>
      <c r="B140" s="1457" t="s">
        <v>6671</v>
      </c>
      <c r="C140" s="1457"/>
      <c r="D140" s="1457"/>
      <c r="E140" s="1457"/>
      <c r="F140" s="1457"/>
      <c r="G140" s="1457"/>
      <c r="H140" s="1457"/>
      <c r="I140" s="1457"/>
      <c r="J140" s="1457"/>
      <c r="K140" s="1457"/>
      <c r="L140" s="1457"/>
      <c r="M140" s="1457"/>
      <c r="N140" s="1457"/>
      <c r="O140" s="1457"/>
    </row>
    <row r="141" spans="1:15" ht="36" customHeight="1" x14ac:dyDescent="0.25">
      <c r="A141" s="1019" t="s">
        <v>6632</v>
      </c>
      <c r="B141" s="1458" t="s">
        <v>6685</v>
      </c>
      <c r="C141" s="1458"/>
      <c r="D141" s="1458"/>
      <c r="E141" s="1458"/>
      <c r="F141" s="1458"/>
      <c r="G141" s="1458"/>
      <c r="H141" s="1458"/>
      <c r="I141" s="1458"/>
      <c r="J141" s="1458"/>
      <c r="K141" s="1458"/>
      <c r="L141" s="1458"/>
      <c r="M141" s="1458"/>
      <c r="N141" s="1458"/>
      <c r="O141" s="1458"/>
    </row>
    <row r="142" spans="1:15" ht="103.5" customHeight="1" x14ac:dyDescent="0.25">
      <c r="A142" s="1459" t="s">
        <v>6589</v>
      </c>
      <c r="B142" s="1459"/>
      <c r="C142" s="1459"/>
      <c r="D142" s="1459"/>
      <c r="E142" s="1459"/>
      <c r="F142" s="1459"/>
      <c r="G142" s="1459"/>
      <c r="H142" s="1459"/>
      <c r="I142" s="1459"/>
      <c r="J142" s="1459" t="s">
        <v>6590</v>
      </c>
      <c r="K142" s="1460"/>
      <c r="L142" s="1460"/>
      <c r="M142" s="1460"/>
      <c r="N142" s="1460"/>
      <c r="O142" s="1460"/>
    </row>
    <row r="143" spans="1:15" x14ac:dyDescent="0.25">
      <c r="G143" s="859"/>
    </row>
  </sheetData>
  <mergeCells count="192">
    <mergeCell ref="A6:O6"/>
    <mergeCell ref="A7:M7"/>
    <mergeCell ref="A8:A10"/>
    <mergeCell ref="E8:E10"/>
    <mergeCell ref="I8:I10"/>
    <mergeCell ref="M8:M10"/>
    <mergeCell ref="N8:N10"/>
    <mergeCell ref="O8:O10"/>
    <mergeCell ref="A1:O1"/>
    <mergeCell ref="A2:D2"/>
    <mergeCell ref="E2:O2"/>
    <mergeCell ref="A3:D3"/>
    <mergeCell ref="E3:O3"/>
    <mergeCell ref="A4:D4"/>
    <mergeCell ref="E4:O4"/>
    <mergeCell ref="A11:O11"/>
    <mergeCell ref="A12:O12"/>
    <mergeCell ref="A13:O13"/>
    <mergeCell ref="A14:M14"/>
    <mergeCell ref="A15:A17"/>
    <mergeCell ref="E15:E17"/>
    <mergeCell ref="I15:I17"/>
    <mergeCell ref="M15:M17"/>
    <mergeCell ref="N15:N17"/>
    <mergeCell ref="O15:O17"/>
    <mergeCell ref="B18:O18"/>
    <mergeCell ref="B19:O19"/>
    <mergeCell ref="B20:O20"/>
    <mergeCell ref="A21:M21"/>
    <mergeCell ref="A22:A24"/>
    <mergeCell ref="E22:E24"/>
    <mergeCell ref="I22:I24"/>
    <mergeCell ref="M22:M24"/>
    <mergeCell ref="N22:N24"/>
    <mergeCell ref="O22:O24"/>
    <mergeCell ref="B25:O25"/>
    <mergeCell ref="B26:O26"/>
    <mergeCell ref="B27:O27"/>
    <mergeCell ref="A29:O29"/>
    <mergeCell ref="A30:M30"/>
    <mergeCell ref="A31:A33"/>
    <mergeCell ref="E31:E33"/>
    <mergeCell ref="I31:I33"/>
    <mergeCell ref="M31:M33"/>
    <mergeCell ref="N31:N33"/>
    <mergeCell ref="O31:O33"/>
    <mergeCell ref="B34:O34"/>
    <mergeCell ref="B35:O35"/>
    <mergeCell ref="B36:O36"/>
    <mergeCell ref="A37:M37"/>
    <mergeCell ref="A38:A40"/>
    <mergeCell ref="E38:E40"/>
    <mergeCell ref="I38:I40"/>
    <mergeCell ref="M38:M40"/>
    <mergeCell ref="N38:N40"/>
    <mergeCell ref="A47:A49"/>
    <mergeCell ref="E47:E49"/>
    <mergeCell ref="I47:I49"/>
    <mergeCell ref="M47:M49"/>
    <mergeCell ref="N47:N49"/>
    <mergeCell ref="O47:O49"/>
    <mergeCell ref="O38:O40"/>
    <mergeCell ref="B41:O41"/>
    <mergeCell ref="B42:O42"/>
    <mergeCell ref="B43:O43"/>
    <mergeCell ref="A45:O45"/>
    <mergeCell ref="A46:M46"/>
    <mergeCell ref="B50:O50"/>
    <mergeCell ref="B51:O51"/>
    <mergeCell ref="B52:O52"/>
    <mergeCell ref="A53:O53"/>
    <mergeCell ref="A54:M54"/>
    <mergeCell ref="A55:A57"/>
    <mergeCell ref="E55:E57"/>
    <mergeCell ref="I55:I57"/>
    <mergeCell ref="M55:M57"/>
    <mergeCell ref="N55:N57"/>
    <mergeCell ref="A63:A65"/>
    <mergeCell ref="E63:E65"/>
    <mergeCell ref="I63:I65"/>
    <mergeCell ref="M63:M65"/>
    <mergeCell ref="N63:N65"/>
    <mergeCell ref="O63:O65"/>
    <mergeCell ref="O55:O57"/>
    <mergeCell ref="B58:O58"/>
    <mergeCell ref="B59:O59"/>
    <mergeCell ref="B60:O60"/>
    <mergeCell ref="A61:O61"/>
    <mergeCell ref="A62:M62"/>
    <mergeCell ref="B66:O66"/>
    <mergeCell ref="B67:O67"/>
    <mergeCell ref="B68:O68"/>
    <mergeCell ref="A69:O69"/>
    <mergeCell ref="A70:M70"/>
    <mergeCell ref="A71:A73"/>
    <mergeCell ref="E71:E73"/>
    <mergeCell ref="I71:I73"/>
    <mergeCell ref="M71:M73"/>
    <mergeCell ref="N71:N73"/>
    <mergeCell ref="A79:A81"/>
    <mergeCell ref="E79:E81"/>
    <mergeCell ref="I79:I81"/>
    <mergeCell ref="M79:M81"/>
    <mergeCell ref="N79:N81"/>
    <mergeCell ref="O79:O81"/>
    <mergeCell ref="O71:O73"/>
    <mergeCell ref="B74:O74"/>
    <mergeCell ref="B75:O75"/>
    <mergeCell ref="B76:O76"/>
    <mergeCell ref="A77:O77"/>
    <mergeCell ref="A78:M78"/>
    <mergeCell ref="B82:O82"/>
    <mergeCell ref="B83:O83"/>
    <mergeCell ref="B84:O84"/>
    <mergeCell ref="A86:O86"/>
    <mergeCell ref="A87:M87"/>
    <mergeCell ref="A88:A90"/>
    <mergeCell ref="E88:E90"/>
    <mergeCell ref="I88:I90"/>
    <mergeCell ref="M88:M90"/>
    <mergeCell ref="N88:N90"/>
    <mergeCell ref="O88:O90"/>
    <mergeCell ref="B91:O91"/>
    <mergeCell ref="B92:O92"/>
    <mergeCell ref="B93:O93"/>
    <mergeCell ref="A94:M94"/>
    <mergeCell ref="A95:A97"/>
    <mergeCell ref="E95:E97"/>
    <mergeCell ref="I95:I97"/>
    <mergeCell ref="M95:M97"/>
    <mergeCell ref="N95:N97"/>
    <mergeCell ref="A104:A106"/>
    <mergeCell ref="E104:E106"/>
    <mergeCell ref="I104:I106"/>
    <mergeCell ref="M104:M106"/>
    <mergeCell ref="N104:N106"/>
    <mergeCell ref="O104:O106"/>
    <mergeCell ref="O95:O97"/>
    <mergeCell ref="B98:O98"/>
    <mergeCell ref="B99:O99"/>
    <mergeCell ref="B100:O100"/>
    <mergeCell ref="A102:O102"/>
    <mergeCell ref="A103:M103"/>
    <mergeCell ref="B107:O107"/>
    <mergeCell ref="B108:O108"/>
    <mergeCell ref="B109:O109"/>
    <mergeCell ref="A110:O110"/>
    <mergeCell ref="A111:M111"/>
    <mergeCell ref="A112:A114"/>
    <mergeCell ref="E112:E114"/>
    <mergeCell ref="I112:I114"/>
    <mergeCell ref="M112:M114"/>
    <mergeCell ref="N112:N114"/>
    <mergeCell ref="A120:A122"/>
    <mergeCell ref="E120:E122"/>
    <mergeCell ref="I120:I122"/>
    <mergeCell ref="M120:M122"/>
    <mergeCell ref="N120:N122"/>
    <mergeCell ref="O120:O122"/>
    <mergeCell ref="O112:O114"/>
    <mergeCell ref="B115:O115"/>
    <mergeCell ref="B116:O116"/>
    <mergeCell ref="B117:O117"/>
    <mergeCell ref="A118:O118"/>
    <mergeCell ref="A119:M119"/>
    <mergeCell ref="O128:O130"/>
    <mergeCell ref="B131:O131"/>
    <mergeCell ref="B132:O132"/>
    <mergeCell ref="B133:O133"/>
    <mergeCell ref="A134:O134"/>
    <mergeCell ref="A135:M135"/>
    <mergeCell ref="B123:O123"/>
    <mergeCell ref="B124:O124"/>
    <mergeCell ref="B125:O125"/>
    <mergeCell ref="A126:O126"/>
    <mergeCell ref="A127:M127"/>
    <mergeCell ref="A128:A130"/>
    <mergeCell ref="E128:E130"/>
    <mergeCell ref="I128:I130"/>
    <mergeCell ref="M128:M130"/>
    <mergeCell ref="N128:N130"/>
    <mergeCell ref="B139:O139"/>
    <mergeCell ref="B140:O140"/>
    <mergeCell ref="B141:O141"/>
    <mergeCell ref="A142:I142"/>
    <mergeCell ref="J142:O142"/>
    <mergeCell ref="A136:A138"/>
    <mergeCell ref="E136:E138"/>
    <mergeCell ref="I136:I138"/>
    <mergeCell ref="M136:M138"/>
    <mergeCell ref="N136:N138"/>
    <mergeCell ref="O136:O138"/>
  </mergeCells>
  <printOptions horizontalCentered="1"/>
  <pageMargins left="0.23622047244094491" right="0.23622047244094491" top="1.0236220472440944" bottom="0.51181102362204722" header="0.31496062992125984" footer="0.31496062992125984"/>
  <pageSetup scale="85" fitToHeight="0" orientation="portrait" r:id="rId1"/>
  <headerFooter>
    <oddHeader>&amp;L&amp;G&amp;C&amp;"-,Negrita"&amp;26SECRETARÍA DE &amp;22HACIENDA
2023&amp;R&amp;G
&amp;20ANEXO MIR</oddHeader>
  </headerFooter>
  <legacyDrawingHF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0" tint="-4.9989318521683403E-2"/>
  </sheetPr>
  <dimension ref="A1:K78"/>
  <sheetViews>
    <sheetView topLeftCell="A40" zoomScale="140" zoomScaleNormal="140" workbookViewId="0">
      <selection activeCell="F45" sqref="F45"/>
    </sheetView>
  </sheetViews>
  <sheetFormatPr baseColWidth="10" defaultRowHeight="15" x14ac:dyDescent="0.25"/>
  <cols>
    <col min="5" max="5" width="15.140625" style="786" customWidth="1"/>
  </cols>
  <sheetData>
    <row r="1" spans="1:11" x14ac:dyDescent="0.25">
      <c r="A1" s="785" t="s">
        <v>1791</v>
      </c>
    </row>
    <row r="2" spans="1:11" ht="15.75" thickBot="1" x14ac:dyDescent="0.3">
      <c r="A2" s="1529" t="s">
        <v>1792</v>
      </c>
      <c r="B2" s="1529"/>
      <c r="C2" s="1529"/>
      <c r="D2" s="1529"/>
      <c r="E2" s="1529"/>
      <c r="F2" s="1529"/>
      <c r="G2" s="1529"/>
      <c r="H2" s="1529"/>
      <c r="I2" s="1529"/>
      <c r="J2" s="1529"/>
      <c r="K2" s="1529"/>
    </row>
    <row r="3" spans="1:11" x14ac:dyDescent="0.25">
      <c r="A3" s="1530"/>
      <c r="B3" s="1531"/>
      <c r="C3" s="1531"/>
      <c r="D3" s="1531"/>
      <c r="E3" s="1531"/>
      <c r="F3" s="1531"/>
      <c r="G3" s="1531"/>
      <c r="H3" s="1531"/>
      <c r="I3" s="1531"/>
      <c r="J3" s="1531"/>
      <c r="K3" s="1532"/>
    </row>
    <row r="4" spans="1:11" x14ac:dyDescent="0.25">
      <c r="A4" s="1533" t="str">
        <f>'[13]CPCA-I-01'!A1:G1</f>
        <v xml:space="preserve">Nombre de la Entidad </v>
      </c>
      <c r="B4" s="1534"/>
      <c r="C4" s="1534"/>
      <c r="D4" s="1534"/>
      <c r="E4" s="1534"/>
      <c r="F4" s="1534"/>
      <c r="G4" s="1534"/>
      <c r="H4" s="1534"/>
      <c r="I4" s="1534"/>
      <c r="J4" s="1534"/>
      <c r="K4" s="1535"/>
    </row>
    <row r="5" spans="1:11" x14ac:dyDescent="0.25">
      <c r="A5" s="1533" t="s">
        <v>1771</v>
      </c>
      <c r="B5" s="1534"/>
      <c r="C5" s="1534"/>
      <c r="D5" s="1534"/>
      <c r="E5" s="1534"/>
      <c r="F5" s="1534"/>
      <c r="G5" s="1534"/>
      <c r="H5" s="1534"/>
      <c r="I5" s="1534"/>
      <c r="J5" s="1534"/>
      <c r="K5" s="1535"/>
    </row>
    <row r="6" spans="1:11" x14ac:dyDescent="0.25">
      <c r="A6" s="1533" t="str">
        <f>'CPCA-I-03'!A3:D3</f>
        <v xml:space="preserve">Del  01 de Enero de 2023 al 31 de Diciembre de 2023 </v>
      </c>
      <c r="B6" s="1534"/>
      <c r="C6" s="1534"/>
      <c r="D6" s="1534"/>
      <c r="E6" s="1534"/>
      <c r="F6" s="1534"/>
      <c r="G6" s="1534"/>
      <c r="H6" s="1534"/>
      <c r="I6" s="1534"/>
      <c r="J6" s="1534"/>
      <c r="K6" s="1535"/>
    </row>
    <row r="7" spans="1:11" ht="15.75" thickBot="1" x14ac:dyDescent="0.3">
      <c r="A7" s="1536"/>
      <c r="B7" s="1537"/>
      <c r="C7" s="1537"/>
      <c r="D7" s="1537"/>
      <c r="E7" s="1537"/>
      <c r="F7" s="1537"/>
      <c r="G7" s="1537"/>
      <c r="H7" s="1537"/>
      <c r="I7" s="1537"/>
      <c r="J7" s="1537"/>
      <c r="K7" s="1538"/>
    </row>
    <row r="8" spans="1:11" ht="15.75" thickBot="1" x14ac:dyDescent="0.3">
      <c r="A8" s="1540" t="s">
        <v>1793</v>
      </c>
      <c r="B8" s="1541"/>
      <c r="C8" s="1542"/>
      <c r="D8" s="1549" t="s">
        <v>1794</v>
      </c>
      <c r="E8" s="1550"/>
      <c r="F8" s="1550"/>
      <c r="G8" s="1551"/>
      <c r="H8" s="1552" t="s">
        <v>1795</v>
      </c>
      <c r="I8" s="1551"/>
      <c r="J8" s="1553" t="s">
        <v>1796</v>
      </c>
      <c r="K8" s="1523" t="s">
        <v>1797</v>
      </c>
    </row>
    <row r="9" spans="1:11" ht="15.75" thickBot="1" x14ac:dyDescent="0.3">
      <c r="A9" s="1543"/>
      <c r="B9" s="1544"/>
      <c r="C9" s="1545"/>
      <c r="D9" s="1526" t="s">
        <v>1798</v>
      </c>
      <c r="E9" s="1527"/>
      <c r="F9" s="1528" t="s">
        <v>1799</v>
      </c>
      <c r="G9" s="1527"/>
      <c r="H9" s="787"/>
      <c r="I9" s="787"/>
      <c r="J9" s="1554"/>
      <c r="K9" s="1524"/>
    </row>
    <row r="10" spans="1:11" ht="25.5" thickBot="1" x14ac:dyDescent="0.3">
      <c r="A10" s="1546"/>
      <c r="B10" s="1547"/>
      <c r="C10" s="1548"/>
      <c r="D10" s="790"/>
      <c r="E10" s="791" t="s">
        <v>1800</v>
      </c>
      <c r="F10" s="791"/>
      <c r="G10" s="791" t="s">
        <v>1801</v>
      </c>
      <c r="H10" s="792" t="s">
        <v>1802</v>
      </c>
      <c r="I10" s="793" t="s">
        <v>1803</v>
      </c>
      <c r="J10" s="1555"/>
      <c r="K10" s="1525"/>
    </row>
    <row r="11" spans="1:11" ht="15.75" thickBot="1" x14ac:dyDescent="0.3">
      <c r="A11" s="1556" t="s">
        <v>1804</v>
      </c>
      <c r="B11" s="1557"/>
      <c r="C11" s="1557"/>
      <c r="D11" s="1557"/>
      <c r="E11" s="1557"/>
      <c r="F11" s="1557"/>
      <c r="G11" s="1557"/>
      <c r="H11" s="794"/>
      <c r="I11" s="794"/>
      <c r="J11" s="794"/>
      <c r="K11" s="795"/>
    </row>
    <row r="12" spans="1:11" ht="15.75" thickBot="1" x14ac:dyDescent="0.3">
      <c r="A12" s="1558" t="s">
        <v>1805</v>
      </c>
      <c r="B12" s="1559"/>
      <c r="C12" s="1559"/>
      <c r="D12" s="1559"/>
      <c r="E12" s="1559"/>
      <c r="F12" s="1559"/>
      <c r="G12" s="1559"/>
      <c r="H12" s="788"/>
      <c r="I12" s="788"/>
      <c r="J12" s="788"/>
      <c r="K12" s="789"/>
    </row>
    <row r="13" spans="1:11" ht="16.5" customHeight="1" thickBot="1" x14ac:dyDescent="0.3">
      <c r="A13" s="796">
        <v>1</v>
      </c>
      <c r="B13" s="1539" t="s">
        <v>1806</v>
      </c>
      <c r="C13" s="1539"/>
      <c r="D13" s="797"/>
      <c r="E13" s="798"/>
      <c r="F13" s="797"/>
      <c r="G13" s="798"/>
      <c r="H13" s="797"/>
      <c r="I13" s="797"/>
      <c r="J13" s="797"/>
      <c r="K13" s="799"/>
    </row>
    <row r="14" spans="1:11" ht="25.5" thickBot="1" x14ac:dyDescent="0.3">
      <c r="A14" s="800"/>
      <c r="B14" s="801" t="s">
        <v>1807</v>
      </c>
      <c r="C14" s="802" t="s">
        <v>1808</v>
      </c>
      <c r="D14" s="803"/>
      <c r="E14" s="804" t="s">
        <v>1809</v>
      </c>
      <c r="F14" s="805"/>
      <c r="G14" s="806"/>
      <c r="H14" s="1044">
        <v>8349758600.5200539</v>
      </c>
      <c r="I14" s="803" t="s">
        <v>1810</v>
      </c>
      <c r="J14" s="805" t="s">
        <v>1811</v>
      </c>
      <c r="K14" s="805"/>
    </row>
    <row r="15" spans="1:11" ht="17.25" thickBot="1" x14ac:dyDescent="0.3">
      <c r="A15" s="800"/>
      <c r="B15" s="801" t="s">
        <v>1812</v>
      </c>
      <c r="C15" s="802" t="s">
        <v>1813</v>
      </c>
      <c r="D15" s="808"/>
      <c r="E15" s="809" t="s">
        <v>1814</v>
      </c>
      <c r="F15" s="810"/>
      <c r="G15" s="811"/>
      <c r="H15" s="1045">
        <v>782667131.32148921</v>
      </c>
      <c r="I15" s="808" t="s">
        <v>1810</v>
      </c>
      <c r="J15" s="810" t="s">
        <v>1811</v>
      </c>
      <c r="K15" s="810"/>
    </row>
    <row r="16" spans="1:11" ht="17.25" thickBot="1" x14ac:dyDescent="0.3">
      <c r="A16" s="800"/>
      <c r="B16" s="801" t="s">
        <v>1815</v>
      </c>
      <c r="C16" s="802" t="s">
        <v>406</v>
      </c>
      <c r="D16" s="808"/>
      <c r="E16" s="809" t="s">
        <v>1816</v>
      </c>
      <c r="F16" s="810"/>
      <c r="G16" s="811"/>
      <c r="H16" s="1045">
        <v>2541414341.0099998</v>
      </c>
      <c r="I16" s="808" t="s">
        <v>1810</v>
      </c>
      <c r="J16" s="813" t="s">
        <v>1811</v>
      </c>
      <c r="K16" s="810"/>
    </row>
    <row r="17" spans="1:11" ht="24.75" customHeight="1" thickBot="1" x14ac:dyDescent="0.3">
      <c r="A17" s="796">
        <v>2</v>
      </c>
      <c r="B17" s="1539" t="s">
        <v>1817</v>
      </c>
      <c r="C17" s="1539"/>
      <c r="D17" s="814"/>
      <c r="E17" s="814"/>
      <c r="F17" s="814"/>
      <c r="G17" s="815"/>
      <c r="H17" s="814"/>
      <c r="I17" s="814"/>
      <c r="J17" s="797"/>
      <c r="K17" s="816"/>
    </row>
    <row r="18" spans="1:11" ht="25.5" thickBot="1" x14ac:dyDescent="0.3">
      <c r="A18" s="800"/>
      <c r="B18" s="801" t="s">
        <v>1807</v>
      </c>
      <c r="C18" s="802" t="s">
        <v>1808</v>
      </c>
      <c r="D18" s="803"/>
      <c r="E18" s="804" t="s">
        <v>1809</v>
      </c>
      <c r="F18" s="805"/>
      <c r="G18" s="806"/>
      <c r="H18" s="1044">
        <v>269652719.99859548</v>
      </c>
      <c r="I18" s="803" t="s">
        <v>1810</v>
      </c>
      <c r="J18" s="805" t="s">
        <v>1811</v>
      </c>
      <c r="K18" s="805"/>
    </row>
    <row r="19" spans="1:11" ht="17.25" thickBot="1" x14ac:dyDescent="0.3">
      <c r="A19" s="800"/>
      <c r="B19" s="801" t="s">
        <v>1812</v>
      </c>
      <c r="C19" s="802" t="s">
        <v>1813</v>
      </c>
      <c r="D19" s="808"/>
      <c r="E19" s="809" t="s">
        <v>1814</v>
      </c>
      <c r="F19" s="810"/>
      <c r="G19" s="811"/>
      <c r="H19" s="1045">
        <v>269652719.99859548</v>
      </c>
      <c r="I19" s="808" t="s">
        <v>1810</v>
      </c>
      <c r="J19" s="810" t="s">
        <v>1811</v>
      </c>
      <c r="K19" s="810"/>
    </row>
    <row r="20" spans="1:11" ht="17.25" thickBot="1" x14ac:dyDescent="0.3">
      <c r="A20" s="800"/>
      <c r="B20" s="801" t="s">
        <v>1815</v>
      </c>
      <c r="C20" s="802" t="s">
        <v>406</v>
      </c>
      <c r="D20" s="808"/>
      <c r="E20" s="809" t="s">
        <v>1816</v>
      </c>
      <c r="F20" s="810"/>
      <c r="G20" s="811"/>
      <c r="H20" s="1045">
        <v>318475327.69999999</v>
      </c>
      <c r="I20" s="808" t="s">
        <v>1810</v>
      </c>
      <c r="J20" s="813" t="s">
        <v>1811</v>
      </c>
      <c r="K20" s="810"/>
    </row>
    <row r="21" spans="1:11" ht="16.5" customHeight="1" thickBot="1" x14ac:dyDescent="0.3">
      <c r="A21" s="796">
        <v>3</v>
      </c>
      <c r="B21" s="1539" t="s">
        <v>1818</v>
      </c>
      <c r="C21" s="1539"/>
      <c r="D21" s="814"/>
      <c r="E21" s="814"/>
      <c r="F21" s="814"/>
      <c r="G21" s="815"/>
      <c r="H21" s="814"/>
      <c r="I21" s="814"/>
      <c r="J21" s="797"/>
      <c r="K21" s="816"/>
    </row>
    <row r="22" spans="1:11" ht="17.25" thickBot="1" x14ac:dyDescent="0.3">
      <c r="A22" s="800"/>
      <c r="B22" s="801" t="s">
        <v>1807</v>
      </c>
      <c r="C22" s="802" t="s">
        <v>1808</v>
      </c>
      <c r="D22" s="803"/>
      <c r="E22" s="804" t="s">
        <v>1819</v>
      </c>
      <c r="F22" s="805"/>
      <c r="G22" s="806"/>
      <c r="H22" s="1044"/>
      <c r="I22" s="803" t="s">
        <v>1810</v>
      </c>
      <c r="J22" s="805" t="s">
        <v>1820</v>
      </c>
      <c r="K22" s="805"/>
    </row>
    <row r="23" spans="1:11" ht="17.25" thickBot="1" x14ac:dyDescent="0.3">
      <c r="A23" s="800"/>
      <c r="B23" s="801" t="s">
        <v>1812</v>
      </c>
      <c r="C23" s="802" t="s">
        <v>1821</v>
      </c>
      <c r="D23" s="808"/>
      <c r="E23" s="809" t="s">
        <v>1822</v>
      </c>
      <c r="F23" s="810"/>
      <c r="G23" s="811"/>
      <c r="H23" s="1045"/>
      <c r="I23" s="808" t="s">
        <v>1810</v>
      </c>
      <c r="J23" s="810" t="s">
        <v>1820</v>
      </c>
      <c r="K23" s="810"/>
    </row>
    <row r="24" spans="1:11" ht="17.25" thickBot="1" x14ac:dyDescent="0.3">
      <c r="A24" s="800"/>
      <c r="B24" s="801" t="s">
        <v>1815</v>
      </c>
      <c r="C24" s="802" t="s">
        <v>406</v>
      </c>
      <c r="D24" s="808"/>
      <c r="E24" s="809" t="s">
        <v>1816</v>
      </c>
      <c r="F24" s="810"/>
      <c r="G24" s="811"/>
      <c r="H24" s="1045"/>
      <c r="I24" s="808" t="s">
        <v>1810</v>
      </c>
      <c r="J24" s="813" t="s">
        <v>1820</v>
      </c>
      <c r="K24" s="810"/>
    </row>
    <row r="25" spans="1:11" ht="16.5" customHeight="1" thickBot="1" x14ac:dyDescent="0.3">
      <c r="A25" s="796">
        <v>4</v>
      </c>
      <c r="B25" s="1539" t="s">
        <v>1823</v>
      </c>
      <c r="C25" s="1539"/>
      <c r="D25" s="814"/>
      <c r="E25" s="814"/>
      <c r="F25" s="814"/>
      <c r="G25" s="815"/>
      <c r="H25" s="814"/>
      <c r="I25" s="814"/>
      <c r="J25" s="797"/>
      <c r="K25" s="816"/>
    </row>
    <row r="26" spans="1:11" ht="33.75" thickBot="1" x14ac:dyDescent="0.3">
      <c r="A26" s="817"/>
      <c r="B26" s="818" t="s">
        <v>1807</v>
      </c>
      <c r="C26" s="819" t="s">
        <v>1824</v>
      </c>
      <c r="D26" s="797"/>
      <c r="E26" s="797"/>
      <c r="F26" s="797"/>
      <c r="G26" s="798"/>
      <c r="H26" s="797"/>
      <c r="I26" s="797"/>
      <c r="J26" s="797"/>
      <c r="K26" s="799"/>
    </row>
    <row r="27" spans="1:11" ht="15.75" thickBot="1" x14ac:dyDescent="0.3">
      <c r="A27" s="800"/>
      <c r="B27" s="801"/>
      <c r="C27" s="820" t="s">
        <v>1825</v>
      </c>
      <c r="D27" s="803"/>
      <c r="E27" s="804" t="s">
        <v>1826</v>
      </c>
      <c r="F27" s="805"/>
      <c r="G27" s="806"/>
      <c r="H27" s="807"/>
      <c r="I27" s="803" t="s">
        <v>1810</v>
      </c>
      <c r="J27" s="805" t="s">
        <v>1827</v>
      </c>
      <c r="K27" s="805"/>
    </row>
    <row r="28" spans="1:11" ht="15.75" thickBot="1" x14ac:dyDescent="0.3">
      <c r="A28" s="800"/>
      <c r="B28" s="801"/>
      <c r="C28" s="820" t="s">
        <v>1828</v>
      </c>
      <c r="D28" s="808"/>
      <c r="E28" s="809" t="s">
        <v>1829</v>
      </c>
      <c r="F28" s="810"/>
      <c r="G28" s="811"/>
      <c r="H28" s="812"/>
      <c r="I28" s="808" t="s">
        <v>1810</v>
      </c>
      <c r="J28" s="810" t="s">
        <v>1827</v>
      </c>
      <c r="K28" s="810"/>
    </row>
    <row r="29" spans="1:11" ht="83.25" thickBot="1" x14ac:dyDescent="0.3">
      <c r="A29" s="821"/>
      <c r="B29" s="801" t="s">
        <v>1812</v>
      </c>
      <c r="C29" s="802" t="s">
        <v>1830</v>
      </c>
      <c r="D29" s="822"/>
      <c r="E29" s="809" t="s">
        <v>1831</v>
      </c>
      <c r="F29" s="823"/>
      <c r="G29" s="811"/>
      <c r="H29" s="812"/>
      <c r="I29" s="808" t="s">
        <v>1810</v>
      </c>
      <c r="J29" s="810" t="s">
        <v>1827</v>
      </c>
      <c r="K29" s="810"/>
    </row>
    <row r="30" spans="1:11" ht="33.75" thickBot="1" x14ac:dyDescent="0.3">
      <c r="A30" s="821"/>
      <c r="B30" s="801" t="s">
        <v>1815</v>
      </c>
      <c r="C30" s="802" t="s">
        <v>1832</v>
      </c>
      <c r="D30" s="824"/>
      <c r="E30" s="825" t="s">
        <v>1833</v>
      </c>
      <c r="F30" s="816"/>
      <c r="G30" s="826"/>
      <c r="H30" s="827"/>
      <c r="I30" s="828" t="s">
        <v>1810</v>
      </c>
      <c r="J30" s="813" t="s">
        <v>1827</v>
      </c>
      <c r="K30" s="813"/>
    </row>
    <row r="31" spans="1:11" ht="66.75" thickBot="1" x14ac:dyDescent="0.3">
      <c r="A31" s="821"/>
      <c r="B31" s="801" t="s">
        <v>1834</v>
      </c>
      <c r="C31" s="802" t="s">
        <v>1835</v>
      </c>
      <c r="D31" s="829"/>
      <c r="E31" s="830" t="s">
        <v>1831</v>
      </c>
      <c r="F31" s="799"/>
      <c r="G31" s="831"/>
      <c r="H31" s="832"/>
      <c r="I31" s="833" t="s">
        <v>1810</v>
      </c>
      <c r="J31" s="834" t="s">
        <v>1827</v>
      </c>
      <c r="K31" s="834"/>
    </row>
    <row r="32" spans="1:11" ht="15.75" thickBot="1" x14ac:dyDescent="0.3">
      <c r="A32" s="835"/>
      <c r="E32"/>
    </row>
    <row r="33" spans="1:11" ht="16.5" customHeight="1" thickBot="1" x14ac:dyDescent="0.3">
      <c r="A33" s="836">
        <v>5</v>
      </c>
      <c r="B33" s="1539" t="s">
        <v>1836</v>
      </c>
      <c r="C33" s="1539"/>
      <c r="D33" s="814"/>
      <c r="E33" s="814"/>
      <c r="F33" s="814"/>
      <c r="G33" s="815"/>
      <c r="H33" s="814"/>
      <c r="I33" s="814"/>
      <c r="J33" s="814"/>
      <c r="K33" s="816"/>
    </row>
    <row r="34" spans="1:11" ht="25.5" thickBot="1" x14ac:dyDescent="0.3">
      <c r="A34" s="800"/>
      <c r="B34" s="801" t="s">
        <v>1837</v>
      </c>
      <c r="C34" s="802" t="s">
        <v>1838</v>
      </c>
      <c r="D34" s="803"/>
      <c r="E34" s="804" t="s">
        <v>1839</v>
      </c>
      <c r="F34" s="805"/>
      <c r="G34" s="806"/>
      <c r="H34" s="1044">
        <v>227702200.89527455</v>
      </c>
      <c r="I34" s="803" t="s">
        <v>1810</v>
      </c>
      <c r="J34" s="805" t="s">
        <v>1840</v>
      </c>
      <c r="K34" s="805"/>
    </row>
    <row r="35" spans="1:11" ht="17.25" thickBot="1" x14ac:dyDescent="0.3">
      <c r="A35" s="800"/>
      <c r="B35" s="801" t="s">
        <v>1841</v>
      </c>
      <c r="C35" s="802" t="s">
        <v>406</v>
      </c>
      <c r="D35" s="808"/>
      <c r="E35" s="809" t="s">
        <v>1839</v>
      </c>
      <c r="F35" s="810"/>
      <c r="G35" s="811"/>
      <c r="H35" s="1045">
        <v>247313580.75999996</v>
      </c>
      <c r="I35" s="808" t="s">
        <v>1810</v>
      </c>
      <c r="J35" s="813" t="s">
        <v>1842</v>
      </c>
      <c r="K35" s="810"/>
    </row>
    <row r="36" spans="1:11" ht="24.75" customHeight="1" thickBot="1" x14ac:dyDescent="0.3">
      <c r="A36" s="796">
        <v>6</v>
      </c>
      <c r="B36" s="1539" t="s">
        <v>1843</v>
      </c>
      <c r="C36" s="1539"/>
      <c r="D36" s="814"/>
      <c r="E36" s="814"/>
      <c r="F36" s="814"/>
      <c r="G36" s="815"/>
      <c r="H36" s="814"/>
      <c r="I36" s="814"/>
      <c r="J36" s="797"/>
      <c r="K36" s="816"/>
    </row>
    <row r="37" spans="1:11" ht="25.5" thickBot="1" x14ac:dyDescent="0.3">
      <c r="A37" s="800"/>
      <c r="B37" s="801" t="s">
        <v>1837</v>
      </c>
      <c r="C37" s="802" t="s">
        <v>1838</v>
      </c>
      <c r="D37" s="803"/>
      <c r="E37" s="804" t="s">
        <v>1844</v>
      </c>
      <c r="F37" s="805"/>
      <c r="G37" s="806"/>
      <c r="H37" s="1044">
        <v>74394563.379999995</v>
      </c>
      <c r="I37" s="803" t="s">
        <v>1810</v>
      </c>
      <c r="J37" s="834" t="s">
        <v>1845</v>
      </c>
      <c r="K37" s="805"/>
    </row>
    <row r="38" spans="1:11" ht="16.5" customHeight="1" thickBot="1" x14ac:dyDescent="0.3">
      <c r="A38" s="796">
        <v>7</v>
      </c>
      <c r="B38" s="1539" t="s">
        <v>1846</v>
      </c>
      <c r="C38" s="1539"/>
      <c r="D38" s="814"/>
      <c r="E38" s="814"/>
      <c r="F38" s="814"/>
      <c r="G38" s="815"/>
      <c r="H38" s="814"/>
      <c r="I38" s="814"/>
      <c r="J38" s="797"/>
      <c r="K38" s="816"/>
    </row>
    <row r="39" spans="1:11" ht="17.25" thickBot="1" x14ac:dyDescent="0.3">
      <c r="A39" s="800"/>
      <c r="B39" s="801" t="s">
        <v>1837</v>
      </c>
      <c r="C39" s="802" t="s">
        <v>1808</v>
      </c>
      <c r="D39" s="833"/>
      <c r="E39" s="830" t="s">
        <v>1847</v>
      </c>
      <c r="F39" s="834"/>
      <c r="G39" s="831"/>
      <c r="H39" s="1044">
        <v>49655375.670000002</v>
      </c>
      <c r="I39" s="833" t="s">
        <v>1810</v>
      </c>
      <c r="J39" s="805" t="s">
        <v>1848</v>
      </c>
      <c r="K39" s="805"/>
    </row>
    <row r="40" spans="1:11" ht="17.25" thickBot="1" x14ac:dyDescent="0.3">
      <c r="A40" s="800"/>
      <c r="B40" s="801" t="s">
        <v>1841</v>
      </c>
      <c r="C40" s="802" t="s">
        <v>813</v>
      </c>
      <c r="D40" s="803"/>
      <c r="E40" s="804" t="s">
        <v>1826</v>
      </c>
      <c r="F40" s="805"/>
      <c r="G40" s="806"/>
      <c r="H40" s="1045">
        <v>0</v>
      </c>
      <c r="I40" s="803" t="s">
        <v>1810</v>
      </c>
      <c r="J40" s="810" t="s">
        <v>1848</v>
      </c>
      <c r="K40" s="810"/>
    </row>
    <row r="41" spans="1:11" ht="17.25" thickBot="1" x14ac:dyDescent="0.3">
      <c r="A41" s="800"/>
      <c r="B41" s="801" t="s">
        <v>1815</v>
      </c>
      <c r="C41" s="802" t="s">
        <v>406</v>
      </c>
      <c r="D41" s="828"/>
      <c r="E41" s="825" t="s">
        <v>1829</v>
      </c>
      <c r="F41" s="813"/>
      <c r="G41" s="826"/>
      <c r="H41" s="1046">
        <v>10613877.289999999</v>
      </c>
      <c r="I41" s="813" t="s">
        <v>1810</v>
      </c>
      <c r="J41" s="813" t="s">
        <v>1848</v>
      </c>
      <c r="K41" s="813"/>
    </row>
    <row r="42" spans="1:11" ht="15.75" thickBot="1" x14ac:dyDescent="0.3">
      <c r="A42" s="1558" t="s">
        <v>1849</v>
      </c>
      <c r="B42" s="1559"/>
      <c r="C42" s="1559"/>
      <c r="D42" s="1559"/>
      <c r="E42" s="1559"/>
      <c r="F42" s="1559"/>
      <c r="G42" s="1559"/>
      <c r="H42" s="788"/>
      <c r="I42" s="788"/>
      <c r="J42" s="788"/>
      <c r="K42" s="789"/>
    </row>
    <row r="43" spans="1:11" ht="24.75" customHeight="1" thickBot="1" x14ac:dyDescent="0.3">
      <c r="A43" s="796">
        <v>1</v>
      </c>
      <c r="B43" s="1539" t="s">
        <v>1809</v>
      </c>
      <c r="C43" s="1539"/>
      <c r="D43" s="797"/>
      <c r="E43" s="798"/>
      <c r="F43" s="797"/>
      <c r="G43" s="798"/>
      <c r="H43" s="797"/>
      <c r="I43" s="797"/>
      <c r="J43" s="797"/>
      <c r="K43" s="799"/>
    </row>
    <row r="44" spans="1:11" ht="33.75" thickBot="1" x14ac:dyDescent="0.3">
      <c r="A44" s="821"/>
      <c r="B44" s="837" t="s">
        <v>1807</v>
      </c>
      <c r="C44" s="802" t="s">
        <v>1850</v>
      </c>
      <c r="D44" s="833"/>
      <c r="E44" s="838" t="s">
        <v>1809</v>
      </c>
      <c r="F44" s="834"/>
      <c r="G44" s="831"/>
      <c r="H44" s="1047">
        <v>17883398.410000004</v>
      </c>
      <c r="I44" s="840" t="s">
        <v>1810</v>
      </c>
      <c r="J44" s="805" t="s">
        <v>1851</v>
      </c>
      <c r="K44" s="805"/>
    </row>
    <row r="45" spans="1:11" ht="25.5" thickBot="1" x14ac:dyDescent="0.3">
      <c r="A45" s="821"/>
      <c r="B45" s="837" t="s">
        <v>1812</v>
      </c>
      <c r="C45" s="802" t="s">
        <v>1852</v>
      </c>
      <c r="D45" s="833"/>
      <c r="E45" s="838" t="s">
        <v>1853</v>
      </c>
      <c r="F45" s="834"/>
      <c r="G45" s="831"/>
      <c r="H45" s="1048">
        <v>17883398.410000004</v>
      </c>
      <c r="I45" s="822" t="s">
        <v>1810</v>
      </c>
      <c r="J45" s="810" t="s">
        <v>1851</v>
      </c>
      <c r="K45" s="810"/>
    </row>
    <row r="46" spans="1:11" ht="42" thickBot="1" x14ac:dyDescent="0.3">
      <c r="A46" s="821"/>
      <c r="B46" s="837" t="s">
        <v>1815</v>
      </c>
      <c r="C46" s="802" t="s">
        <v>1854</v>
      </c>
      <c r="D46" s="833"/>
      <c r="E46" s="838" t="s">
        <v>1809</v>
      </c>
      <c r="F46" s="834"/>
      <c r="G46" s="831"/>
      <c r="H46" s="841"/>
      <c r="I46" s="822"/>
      <c r="J46" s="810" t="s">
        <v>1851</v>
      </c>
      <c r="K46" s="810"/>
    </row>
    <row r="47" spans="1:11" ht="42" thickBot="1" x14ac:dyDescent="0.3">
      <c r="A47" s="821"/>
      <c r="B47" s="837" t="s">
        <v>1834</v>
      </c>
      <c r="C47" s="802" t="s">
        <v>1855</v>
      </c>
      <c r="D47" s="833"/>
      <c r="E47" s="838" t="s">
        <v>1856</v>
      </c>
      <c r="F47" s="834"/>
      <c r="G47" s="831"/>
      <c r="H47" s="841"/>
      <c r="I47" s="822"/>
      <c r="J47" s="810" t="s">
        <v>1851</v>
      </c>
      <c r="K47" s="810"/>
    </row>
    <row r="48" spans="1:11" ht="33.75" thickBot="1" x14ac:dyDescent="0.3">
      <c r="A48" s="821"/>
      <c r="B48" s="837" t="s">
        <v>1857</v>
      </c>
      <c r="C48" s="802" t="s">
        <v>1858</v>
      </c>
      <c r="D48" s="833"/>
      <c r="E48" s="838" t="s">
        <v>1859</v>
      </c>
      <c r="F48" s="834"/>
      <c r="G48" s="831"/>
      <c r="H48" s="841"/>
      <c r="I48" s="822"/>
      <c r="J48" s="813" t="s">
        <v>1851</v>
      </c>
      <c r="K48" s="810"/>
    </row>
    <row r="49" spans="1:11" ht="24.75" customHeight="1" thickBot="1" x14ac:dyDescent="0.3">
      <c r="A49" s="796">
        <v>2</v>
      </c>
      <c r="B49" s="1539" t="s">
        <v>1860</v>
      </c>
      <c r="C49" s="1539"/>
      <c r="D49" s="797"/>
      <c r="E49" s="842"/>
      <c r="F49" s="797"/>
      <c r="G49" s="798"/>
      <c r="H49" s="814"/>
      <c r="I49" s="814"/>
      <c r="J49" s="797"/>
      <c r="K49" s="816"/>
    </row>
    <row r="50" spans="1:11" ht="66.75" thickBot="1" x14ac:dyDescent="0.3">
      <c r="A50" s="821"/>
      <c r="B50" s="837" t="s">
        <v>1807</v>
      </c>
      <c r="C50" s="802" t="s">
        <v>1861</v>
      </c>
      <c r="D50" s="833"/>
      <c r="E50" s="838" t="s">
        <v>1862</v>
      </c>
      <c r="F50" s="834"/>
      <c r="G50" s="831"/>
      <c r="H50" s="839"/>
      <c r="I50" s="840"/>
      <c r="J50" s="805" t="s">
        <v>1811</v>
      </c>
      <c r="K50" s="805"/>
    </row>
    <row r="51" spans="1:11" ht="58.5" thickBot="1" x14ac:dyDescent="0.3">
      <c r="A51" s="821"/>
      <c r="B51" s="837" t="s">
        <v>1812</v>
      </c>
      <c r="C51" s="802" t="s">
        <v>1863</v>
      </c>
      <c r="D51" s="833"/>
      <c r="E51" s="838" t="s">
        <v>1862</v>
      </c>
      <c r="F51" s="834"/>
      <c r="G51" s="831"/>
      <c r="H51" s="841"/>
      <c r="I51" s="822"/>
      <c r="J51" s="810" t="s">
        <v>1811</v>
      </c>
      <c r="K51" s="810"/>
    </row>
    <row r="52" spans="1:11" ht="75" thickBot="1" x14ac:dyDescent="0.3">
      <c r="A52" s="821"/>
      <c r="B52" s="837" t="s">
        <v>1815</v>
      </c>
      <c r="C52" s="802" t="s">
        <v>1864</v>
      </c>
      <c r="D52" s="833"/>
      <c r="E52" s="838" t="s">
        <v>1862</v>
      </c>
      <c r="F52" s="834"/>
      <c r="G52" s="831"/>
      <c r="H52" s="814"/>
      <c r="I52" s="824"/>
      <c r="J52" s="813" t="s">
        <v>1811</v>
      </c>
      <c r="K52" s="813"/>
    </row>
    <row r="53" spans="1:11" ht="75" thickBot="1" x14ac:dyDescent="0.3">
      <c r="A53" s="821"/>
      <c r="B53" s="837" t="s">
        <v>1834</v>
      </c>
      <c r="C53" s="802" t="s">
        <v>1865</v>
      </c>
      <c r="D53" s="833"/>
      <c r="E53" s="838" t="s">
        <v>1866</v>
      </c>
      <c r="F53" s="834"/>
      <c r="G53" s="831"/>
      <c r="H53" s="797"/>
      <c r="I53" s="829"/>
      <c r="J53" s="834" t="s">
        <v>1811</v>
      </c>
      <c r="K53" s="834"/>
    </row>
    <row r="54" spans="1:11" ht="15.75" thickBot="1" x14ac:dyDescent="0.3">
      <c r="A54" s="835"/>
      <c r="E54"/>
    </row>
    <row r="55" spans="1:11" ht="15.75" thickBot="1" x14ac:dyDescent="0.3">
      <c r="A55" s="836">
        <v>3</v>
      </c>
      <c r="B55" s="1539" t="s">
        <v>210</v>
      </c>
      <c r="C55" s="1539"/>
      <c r="D55" s="814"/>
      <c r="E55" s="843"/>
      <c r="F55" s="814"/>
      <c r="G55" s="815"/>
      <c r="H55" s="814"/>
      <c r="I55" s="814"/>
      <c r="J55" s="814"/>
      <c r="K55" s="816"/>
    </row>
    <row r="56" spans="1:11" ht="25.5" thickBot="1" x14ac:dyDescent="0.3">
      <c r="A56" s="821"/>
      <c r="B56" s="837" t="s">
        <v>1837</v>
      </c>
      <c r="C56" s="802" t="s">
        <v>1867</v>
      </c>
      <c r="D56" s="833"/>
      <c r="E56" s="838" t="s">
        <v>1868</v>
      </c>
      <c r="F56" s="834"/>
      <c r="G56" s="831"/>
      <c r="H56" s="839"/>
      <c r="I56" s="840"/>
      <c r="J56" s="805" t="s">
        <v>1840</v>
      </c>
      <c r="K56" s="805"/>
    </row>
    <row r="57" spans="1:11" ht="58.5" thickBot="1" x14ac:dyDescent="0.3">
      <c r="A57" s="821"/>
      <c r="B57" s="837" t="s">
        <v>1841</v>
      </c>
      <c r="C57" s="802" t="s">
        <v>1869</v>
      </c>
      <c r="D57" s="833"/>
      <c r="E57" s="838" t="s">
        <v>1868</v>
      </c>
      <c r="F57" s="834"/>
      <c r="G57" s="831"/>
      <c r="H57" s="814"/>
      <c r="I57" s="824"/>
      <c r="J57" s="813" t="s">
        <v>1840</v>
      </c>
      <c r="K57" s="813"/>
    </row>
    <row r="58" spans="1:11" ht="15.75" thickBot="1" x14ac:dyDescent="0.3">
      <c r="A58" s="844"/>
      <c r="B58" s="845"/>
      <c r="C58" s="845"/>
      <c r="D58" s="845"/>
      <c r="E58" s="845"/>
      <c r="F58" s="845"/>
      <c r="G58" s="845"/>
      <c r="H58" s="845"/>
      <c r="I58" s="845"/>
      <c r="J58" s="845"/>
      <c r="K58" s="846"/>
    </row>
    <row r="59" spans="1:11" ht="15.75" thickBot="1" x14ac:dyDescent="0.3">
      <c r="A59" s="1556" t="s">
        <v>1870</v>
      </c>
      <c r="B59" s="1557"/>
      <c r="C59" s="1557"/>
      <c r="D59" s="1557"/>
      <c r="E59" s="1557"/>
      <c r="F59" s="1557"/>
      <c r="G59" s="1557"/>
      <c r="H59" s="847"/>
      <c r="I59" s="847"/>
      <c r="J59" s="847"/>
      <c r="K59" s="848"/>
    </row>
    <row r="60" spans="1:11" ht="15.75" thickBot="1" x14ac:dyDescent="0.3">
      <c r="A60" s="1558" t="s">
        <v>1805</v>
      </c>
      <c r="B60" s="1559"/>
      <c r="C60" s="1559"/>
      <c r="D60" s="1559"/>
      <c r="E60" s="1559"/>
      <c r="F60" s="1559"/>
      <c r="G60" s="1559"/>
      <c r="H60" s="788"/>
      <c r="I60" s="788"/>
      <c r="J60" s="788"/>
      <c r="K60" s="789"/>
    </row>
    <row r="61" spans="1:11" ht="16.5" customHeight="1" thickBot="1" x14ac:dyDescent="0.3">
      <c r="A61" s="796">
        <v>1</v>
      </c>
      <c r="B61" s="1539" t="s">
        <v>1871</v>
      </c>
      <c r="C61" s="1539"/>
      <c r="D61" s="797"/>
      <c r="E61" s="798"/>
      <c r="F61" s="797"/>
      <c r="G61" s="798"/>
      <c r="H61" s="797"/>
      <c r="I61" s="797"/>
      <c r="J61" s="797"/>
      <c r="K61" s="799"/>
    </row>
    <row r="62" spans="1:11" ht="33.75" thickBot="1" x14ac:dyDescent="0.3">
      <c r="A62" s="800"/>
      <c r="B62" s="801" t="s">
        <v>1807</v>
      </c>
      <c r="C62" s="802" t="s">
        <v>1872</v>
      </c>
      <c r="D62" s="803"/>
      <c r="E62" s="804" t="s">
        <v>1873</v>
      </c>
      <c r="F62" s="805"/>
      <c r="G62" s="806"/>
      <c r="H62" s="807"/>
      <c r="I62" s="803" t="s">
        <v>1810</v>
      </c>
      <c r="J62" s="805" t="s">
        <v>1874</v>
      </c>
      <c r="K62" s="805"/>
    </row>
    <row r="63" spans="1:11" ht="50.25" thickBot="1" x14ac:dyDescent="0.3">
      <c r="A63" s="800"/>
      <c r="B63" s="801" t="s">
        <v>1812</v>
      </c>
      <c r="C63" s="802" t="s">
        <v>1875</v>
      </c>
      <c r="D63" s="808"/>
      <c r="E63" s="809" t="s">
        <v>1876</v>
      </c>
      <c r="F63" s="810"/>
      <c r="G63" s="811"/>
      <c r="H63" s="812"/>
      <c r="I63" s="808" t="s">
        <v>1810</v>
      </c>
      <c r="J63" s="810" t="s">
        <v>1874</v>
      </c>
      <c r="K63" s="810"/>
    </row>
    <row r="64" spans="1:11" ht="50.25" thickBot="1" x14ac:dyDescent="0.3">
      <c r="A64" s="800"/>
      <c r="B64" s="801" t="s">
        <v>1815</v>
      </c>
      <c r="C64" s="802" t="s">
        <v>1877</v>
      </c>
      <c r="D64" s="808"/>
      <c r="E64" s="809" t="s">
        <v>1876</v>
      </c>
      <c r="F64" s="810"/>
      <c r="G64" s="811"/>
      <c r="H64" s="812"/>
      <c r="I64" s="808" t="s">
        <v>1810</v>
      </c>
      <c r="J64" s="810" t="s">
        <v>1874</v>
      </c>
      <c r="K64" s="810"/>
    </row>
    <row r="65" spans="1:11" ht="50.25" thickBot="1" x14ac:dyDescent="0.3">
      <c r="A65" s="800"/>
      <c r="B65" s="801" t="s">
        <v>1834</v>
      </c>
      <c r="C65" s="802" t="s">
        <v>1878</v>
      </c>
      <c r="D65" s="808"/>
      <c r="E65" s="809" t="s">
        <v>1876</v>
      </c>
      <c r="F65" s="810"/>
      <c r="G65" s="811"/>
      <c r="H65" s="812"/>
      <c r="I65" s="808" t="s">
        <v>1810</v>
      </c>
      <c r="J65" s="810" t="s">
        <v>1874</v>
      </c>
      <c r="K65" s="810"/>
    </row>
    <row r="66" spans="1:11" ht="58.5" thickBot="1" x14ac:dyDescent="0.3">
      <c r="A66" s="800"/>
      <c r="B66" s="801" t="s">
        <v>1857</v>
      </c>
      <c r="C66" s="802" t="s">
        <v>1879</v>
      </c>
      <c r="D66" s="828"/>
      <c r="E66" s="825"/>
      <c r="F66" s="813"/>
      <c r="G66" s="826"/>
      <c r="H66" s="827"/>
      <c r="I66" s="828" t="s">
        <v>1810</v>
      </c>
      <c r="J66" s="813" t="s">
        <v>1880</v>
      </c>
      <c r="K66" s="813"/>
    </row>
    <row r="67" spans="1:11" ht="99" thickBot="1" x14ac:dyDescent="0.3">
      <c r="A67" s="800"/>
      <c r="B67" s="801" t="s">
        <v>1881</v>
      </c>
      <c r="C67" s="802" t="s">
        <v>1882</v>
      </c>
      <c r="D67" s="833"/>
      <c r="E67" s="830"/>
      <c r="F67" s="834"/>
      <c r="G67" s="831"/>
      <c r="H67" s="832"/>
      <c r="I67" s="833"/>
      <c r="J67" s="834" t="s">
        <v>1874</v>
      </c>
      <c r="K67" s="834"/>
    </row>
    <row r="68" spans="1:11" ht="99.75" thickBot="1" x14ac:dyDescent="0.3">
      <c r="A68" s="800"/>
      <c r="B68" s="801" t="s">
        <v>1883</v>
      </c>
      <c r="C68" s="802" t="s">
        <v>1884</v>
      </c>
      <c r="D68" s="833"/>
      <c r="E68" s="830"/>
      <c r="F68" s="834"/>
      <c r="G68" s="831"/>
      <c r="H68" s="832"/>
      <c r="I68" s="833"/>
      <c r="J68" s="834" t="s">
        <v>1874</v>
      </c>
      <c r="K68" s="834"/>
    </row>
    <row r="69" spans="1:11" ht="15.75" thickBot="1" x14ac:dyDescent="0.3">
      <c r="A69" s="1558" t="s">
        <v>1849</v>
      </c>
      <c r="B69" s="1559"/>
      <c r="C69" s="1559"/>
      <c r="D69" s="1559"/>
      <c r="E69" s="1559"/>
      <c r="F69" s="1559"/>
      <c r="G69" s="1559"/>
      <c r="H69" s="788"/>
      <c r="I69" s="788"/>
      <c r="J69" s="788"/>
      <c r="K69" s="789"/>
    </row>
    <row r="70" spans="1:11" ht="33" customHeight="1" thickBot="1" x14ac:dyDescent="0.3">
      <c r="A70" s="800">
        <v>1</v>
      </c>
      <c r="B70" s="1560" t="s">
        <v>1885</v>
      </c>
      <c r="C70" s="1561"/>
      <c r="D70" s="805"/>
      <c r="E70" s="849" t="s">
        <v>1886</v>
      </c>
      <c r="F70" s="805"/>
      <c r="G70" s="806"/>
      <c r="H70" s="839"/>
      <c r="I70" s="840"/>
      <c r="J70" s="805" t="s">
        <v>1887</v>
      </c>
      <c r="K70" s="805"/>
    </row>
    <row r="71" spans="1:11" ht="33" customHeight="1" thickBot="1" x14ac:dyDescent="0.3">
      <c r="A71" s="800">
        <v>2</v>
      </c>
      <c r="B71" s="1560" t="s">
        <v>1888</v>
      </c>
      <c r="C71" s="1561"/>
      <c r="D71" s="810"/>
      <c r="E71" s="850" t="s">
        <v>1886</v>
      </c>
      <c r="F71" s="810"/>
      <c r="G71" s="811"/>
      <c r="H71" s="841"/>
      <c r="I71" s="822"/>
      <c r="J71" s="810" t="s">
        <v>1887</v>
      </c>
      <c r="K71" s="810"/>
    </row>
    <row r="72" spans="1:11" ht="24.75" customHeight="1" thickBot="1" x14ac:dyDescent="0.3">
      <c r="A72" s="800">
        <v>3</v>
      </c>
      <c r="B72" s="1560" t="s">
        <v>1889</v>
      </c>
      <c r="C72" s="1561"/>
      <c r="D72" s="813"/>
      <c r="E72" s="851" t="s">
        <v>1886</v>
      </c>
      <c r="F72" s="813"/>
      <c r="G72" s="826"/>
      <c r="H72" s="814"/>
      <c r="I72" s="824"/>
      <c r="J72" s="813" t="s">
        <v>1890</v>
      </c>
      <c r="K72" s="813"/>
    </row>
    <row r="73" spans="1:11" ht="15.75" thickBot="1" x14ac:dyDescent="0.3">
      <c r="A73" s="1556" t="s">
        <v>1891</v>
      </c>
      <c r="B73" s="1557"/>
      <c r="C73" s="1557"/>
      <c r="D73" s="1557"/>
      <c r="E73" s="1557"/>
      <c r="F73" s="1557"/>
      <c r="G73" s="1562"/>
      <c r="H73" s="852"/>
      <c r="I73" s="852"/>
      <c r="J73" s="852"/>
      <c r="K73" s="852"/>
    </row>
    <row r="74" spans="1:11" ht="15.75" thickBot="1" x14ac:dyDescent="0.3">
      <c r="A74" s="1563" t="s">
        <v>1805</v>
      </c>
      <c r="B74" s="1564"/>
      <c r="C74" s="1564"/>
      <c r="D74" s="1564"/>
      <c r="E74" s="1564"/>
      <c r="F74" s="1564"/>
      <c r="G74" s="1564"/>
      <c r="H74" s="1564"/>
      <c r="I74" s="1564"/>
      <c r="J74" s="1564"/>
      <c r="K74" s="1565"/>
    </row>
    <row r="75" spans="1:11" ht="15.75" thickBot="1" x14ac:dyDescent="0.3">
      <c r="A75" s="796">
        <v>1</v>
      </c>
      <c r="B75" s="1539" t="s">
        <v>1892</v>
      </c>
      <c r="C75" s="1539"/>
      <c r="D75" s="797"/>
      <c r="E75" s="798"/>
      <c r="F75" s="797"/>
      <c r="G75" s="798"/>
      <c r="H75" s="797"/>
      <c r="I75" s="797"/>
      <c r="J75" s="797"/>
      <c r="K75" s="799"/>
    </row>
    <row r="76" spans="1:11" ht="25.5" thickBot="1" x14ac:dyDescent="0.3">
      <c r="A76" s="800"/>
      <c r="B76" s="801" t="s">
        <v>1807</v>
      </c>
      <c r="C76" s="853" t="s">
        <v>1893</v>
      </c>
      <c r="D76" s="834"/>
      <c r="E76" s="830"/>
      <c r="F76" s="834"/>
      <c r="G76" s="831"/>
      <c r="H76" s="834"/>
      <c r="I76" s="834" t="s">
        <v>1810</v>
      </c>
      <c r="J76" s="834" t="s">
        <v>1894</v>
      </c>
      <c r="K76" s="834"/>
    </row>
    <row r="77" spans="1:11" ht="17.25" thickBot="1" x14ac:dyDescent="0.3">
      <c r="A77" s="800"/>
      <c r="B77" s="801" t="s">
        <v>1812</v>
      </c>
      <c r="C77" s="853" t="s">
        <v>1895</v>
      </c>
      <c r="D77" s="834"/>
      <c r="E77" s="830"/>
      <c r="F77" s="834"/>
      <c r="G77" s="831"/>
      <c r="H77" s="834"/>
      <c r="I77" s="834" t="s">
        <v>1810</v>
      </c>
      <c r="J77" s="834" t="s">
        <v>1894</v>
      </c>
      <c r="K77" s="834"/>
    </row>
    <row r="78" spans="1:11" x14ac:dyDescent="0.25">
      <c r="E78"/>
      <c r="K78" s="854" t="s">
        <v>1896</v>
      </c>
    </row>
  </sheetData>
  <mergeCells count="36">
    <mergeCell ref="B71:C71"/>
    <mergeCell ref="B72:C72"/>
    <mergeCell ref="A73:G73"/>
    <mergeCell ref="A74:K74"/>
    <mergeCell ref="B75:C75"/>
    <mergeCell ref="B70:C70"/>
    <mergeCell ref="B33:C33"/>
    <mergeCell ref="B36:C36"/>
    <mergeCell ref="B38:C38"/>
    <mergeCell ref="A42:G42"/>
    <mergeCell ref="B43:C43"/>
    <mergeCell ref="B49:C49"/>
    <mergeCell ref="B55:C55"/>
    <mergeCell ref="A59:G59"/>
    <mergeCell ref="A60:G60"/>
    <mergeCell ref="B61:C61"/>
    <mergeCell ref="A69:G69"/>
    <mergeCell ref="B25:C25"/>
    <mergeCell ref="A8:C10"/>
    <mergeCell ref="D8:G8"/>
    <mergeCell ref="H8:I8"/>
    <mergeCell ref="J8:J10"/>
    <mergeCell ref="A11:G11"/>
    <mergeCell ref="A12:G12"/>
    <mergeCell ref="B13:C13"/>
    <mergeCell ref="B17:C17"/>
    <mergeCell ref="B21:C21"/>
    <mergeCell ref="K8:K10"/>
    <mergeCell ref="D9:E9"/>
    <mergeCell ref="F9:G9"/>
    <mergeCell ref="A2:K2"/>
    <mergeCell ref="A3:K3"/>
    <mergeCell ref="A4:K4"/>
    <mergeCell ref="A5:K5"/>
    <mergeCell ref="A6:K6"/>
    <mergeCell ref="A7:K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43</vt:i4>
      </vt:variant>
      <vt:variant>
        <vt:lpstr>Rangos con nombre</vt:lpstr>
      </vt:variant>
      <vt:variant>
        <vt:i4>48</vt:i4>
      </vt:variant>
    </vt:vector>
  </HeadingPairs>
  <TitlesOfParts>
    <vt:vector size="91" baseType="lpstr">
      <vt:lpstr>Lista  FORMATOS </vt:lpstr>
      <vt:lpstr>CPCA-I-01</vt:lpstr>
      <vt:lpstr>CPCA-I-02</vt:lpstr>
      <vt:lpstr>CPCA-I-03</vt:lpstr>
      <vt:lpstr>CPCA-I-04</vt:lpstr>
      <vt:lpstr>CPCA-I-05</vt:lpstr>
      <vt:lpstr>CPCA-I-06</vt:lpstr>
      <vt:lpstr>CPCA-I-07</vt:lpstr>
      <vt:lpstr>CPCA-I-08</vt:lpstr>
      <vt:lpstr>CPCA-I-09</vt:lpstr>
      <vt:lpstr>CPCA-I-10</vt:lpstr>
      <vt:lpstr>CPCA-I-11</vt:lpstr>
      <vt:lpstr>CPCA-I-12 (NOTAS)</vt:lpstr>
      <vt:lpstr>CPCA-II-01</vt:lpstr>
      <vt:lpstr>CPCA-II-02</vt:lpstr>
      <vt:lpstr>CPCA-II-03</vt:lpstr>
      <vt:lpstr>CPCA-II-04</vt:lpstr>
      <vt:lpstr>CPCA-II-05</vt:lpstr>
      <vt:lpstr>CPCA-II-06</vt:lpstr>
      <vt:lpstr>CPCA-II-07</vt:lpstr>
      <vt:lpstr>CPCA-II-08</vt:lpstr>
      <vt:lpstr>CPCA-II-09</vt:lpstr>
      <vt:lpstr>CPCA-II-10</vt:lpstr>
      <vt:lpstr>CPCA-II-11</vt:lpstr>
      <vt:lpstr>CPCA-II-13</vt:lpstr>
      <vt:lpstr>CPCA-II-12</vt:lpstr>
      <vt:lpstr>CPCA-II-14</vt:lpstr>
      <vt:lpstr>CPCA-II-15</vt:lpstr>
      <vt:lpstr>CPCA-II-16</vt:lpstr>
      <vt:lpstr>CPCA-II-17</vt:lpstr>
      <vt:lpstr>CPCA-III-01</vt:lpstr>
      <vt:lpstr>CPCA-III-03</vt:lpstr>
      <vt:lpstr>ETCA-III-05</vt:lpstr>
      <vt:lpstr>CPCA-IV-06 </vt:lpstr>
      <vt:lpstr>CPCA-IV-01</vt:lpstr>
      <vt:lpstr>CPCA-IV-02</vt:lpstr>
      <vt:lpstr>CPCA-IV-03</vt:lpstr>
      <vt:lpstr>CPCA-IV-04</vt:lpstr>
      <vt:lpstr>CPCA-IV-05</vt:lpstr>
      <vt:lpstr>ANEXO A</vt:lpstr>
      <vt:lpstr>ANEXO C CPCA 2023</vt:lpstr>
      <vt:lpstr>ANEXO MIR</vt:lpstr>
      <vt:lpstr>ANEXO GUIA</vt:lpstr>
      <vt:lpstr>'CPCA-IV-06 '!_ftn1</vt:lpstr>
      <vt:lpstr>'ANEXO GUIA'!_Hlk73936802</vt:lpstr>
      <vt:lpstr>'ANEXO MIR'!Área_de_impresión</vt:lpstr>
      <vt:lpstr>'CPCA-I-01'!Área_de_impresión</vt:lpstr>
      <vt:lpstr>'CPCA-I-02'!Área_de_impresión</vt:lpstr>
      <vt:lpstr>'CPCA-I-03'!Área_de_impresión</vt:lpstr>
      <vt:lpstr>'CPCA-I-04'!Área_de_impresión</vt:lpstr>
      <vt:lpstr>'CPCA-I-06'!Área_de_impresión</vt:lpstr>
      <vt:lpstr>'CPCA-I-07'!Área_de_impresión</vt:lpstr>
      <vt:lpstr>'CPCA-I-08'!Área_de_impresión</vt:lpstr>
      <vt:lpstr>'CPCA-I-09'!Área_de_impresión</vt:lpstr>
      <vt:lpstr>'CPCA-I-11'!Área_de_impresión</vt:lpstr>
      <vt:lpstr>'CPCA-I-12 (NOTAS)'!Área_de_impresión</vt:lpstr>
      <vt:lpstr>'CPCA-II-01'!Área_de_impresión</vt:lpstr>
      <vt:lpstr>'CPCA-II-02'!Área_de_impresión</vt:lpstr>
      <vt:lpstr>'CPCA-II-05'!Área_de_impresión</vt:lpstr>
      <vt:lpstr>'CPCA-II-06'!Área_de_impresión</vt:lpstr>
      <vt:lpstr>'CPCA-II-07'!Área_de_impresión</vt:lpstr>
      <vt:lpstr>'CPCA-II-08'!Área_de_impresión</vt:lpstr>
      <vt:lpstr>'CPCA-II-09'!Área_de_impresión</vt:lpstr>
      <vt:lpstr>'CPCA-II-10'!Área_de_impresión</vt:lpstr>
      <vt:lpstr>'CPCA-II-11'!Área_de_impresión</vt:lpstr>
      <vt:lpstr>'CPCA-II-12'!Área_de_impresión</vt:lpstr>
      <vt:lpstr>'CPCA-II-13'!Área_de_impresión</vt:lpstr>
      <vt:lpstr>'CPCA-II-14'!Área_de_impresión</vt:lpstr>
      <vt:lpstr>'CPCA-II-15'!Área_de_impresión</vt:lpstr>
      <vt:lpstr>'CPCA-II-16'!Área_de_impresión</vt:lpstr>
      <vt:lpstr>'CPCA-II-17'!Área_de_impresión</vt:lpstr>
      <vt:lpstr>'CPCA-III-01'!Área_de_impresión</vt:lpstr>
      <vt:lpstr>'CPCA-III-03'!Área_de_impresión</vt:lpstr>
      <vt:lpstr>'CPCA-IV-01'!Área_de_impresión</vt:lpstr>
      <vt:lpstr>'CPCA-IV-02'!Área_de_impresión</vt:lpstr>
      <vt:lpstr>'CPCA-IV-03'!Área_de_impresión</vt:lpstr>
      <vt:lpstr>'CPCA-IV-04'!Área_de_impresión</vt:lpstr>
      <vt:lpstr>'CPCA-IV-05'!Área_de_impresión</vt:lpstr>
      <vt:lpstr>'ETCA-III-05'!Área_de_impresión</vt:lpstr>
      <vt:lpstr>'Lista  FORMATOS '!Área_de_impresión</vt:lpstr>
      <vt:lpstr>'CPCA-I-02'!Títulos_a_imprimir</vt:lpstr>
      <vt:lpstr>'CPCA-I-03'!Títulos_a_imprimir</vt:lpstr>
      <vt:lpstr>'CPCA-II-01'!Títulos_a_imprimir</vt:lpstr>
      <vt:lpstr>'CPCA-II-02'!Títulos_a_imprimir</vt:lpstr>
      <vt:lpstr>'CPCA-II-05'!Títulos_a_imprimir</vt:lpstr>
      <vt:lpstr>'CPCA-II-12'!Títulos_a_imprimir</vt:lpstr>
      <vt:lpstr>'CPCA-II-13'!Títulos_a_imprimir</vt:lpstr>
      <vt:lpstr>'CPCA-III-03'!Títulos_a_imprimir</vt:lpstr>
      <vt:lpstr>'CPCA-IV-04'!Títulos_a_imprimir</vt:lpstr>
      <vt:lpstr>'CPCA-IV-06 '!Títulos_a_imprimir</vt:lpstr>
      <vt:lpstr>'ETCA-III-05'!Títulos_a_imprimir</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Planeación</dc:creator>
  <cp:lastModifiedBy>Ismael Norzagaray</cp:lastModifiedBy>
  <cp:revision/>
  <cp:lastPrinted>2024-03-15T15:19:55Z</cp:lastPrinted>
  <dcterms:created xsi:type="dcterms:W3CDTF">2014-03-28T01:13:38Z</dcterms:created>
  <dcterms:modified xsi:type="dcterms:W3CDTF">2024-04-01T18:37:47Z</dcterms:modified>
</cp:coreProperties>
</file>