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ismael.norzagaray\Desktop\02) PRESUPUESTO 2022\Presupuesto Autorizado 2022\presupuesto Autorizado CEA 2022\"/>
    </mc:Choice>
  </mc:AlternateContent>
  <xr:revisionPtr revIDLastSave="0" documentId="13_ncr:1_{0DF5D5CB-FB9F-4517-BF10-B44C63EC5E88}" xr6:coauthVersionLast="47" xr6:coauthVersionMax="47" xr10:uidLastSave="{00000000-0000-0000-0000-000000000000}"/>
  <bookViews>
    <workbookView xWindow="-120" yWindow="-120" windowWidth="20730" windowHeight="11160" tabRatio="596" xr2:uid="{00000000-000D-0000-FFFF-FFFF00000000}"/>
  </bookViews>
  <sheets>
    <sheet name="CEA PPTO AUT-2022 " sheetId="28" r:id="rId1"/>
    <sheet name="DETALLADO 2022 AUT." sheetId="29" r:id="rId2"/>
    <sheet name="TOTAL CEA X PARTIDA" sheetId="24" state="hidden" r:id="rId3"/>
    <sheet name="DIR.GENERAL C.1000" sheetId="22" state="hidden" r:id="rId4"/>
    <sheet name="Hoja2" sheetId="30" state="hidden" r:id="rId5"/>
    <sheet name=" DIR.GENERAL C.2000 Y 3000" sheetId="21" state="hidden" r:id="rId6"/>
    <sheet name="ORG.OPERADORES(ING.PROPIOS)" sheetId="13" state="hidden" r:id="rId7"/>
    <sheet name="ESTIMACION INGRESOS PROPIOS " sheetId="23" state="hidden" r:id="rId8"/>
    <sheet name="PROY. AUTORIZADOS" sheetId="27" state="hidden" r:id="rId9"/>
    <sheet name="Hoja1" sheetId="2" state="hidden" r:id="rId10"/>
  </sheets>
  <externalReferences>
    <externalReference r:id="rId11"/>
    <externalReference r:id="rId12"/>
    <externalReference r:id="rId13"/>
  </externalReferences>
  <definedNames>
    <definedName name="A" localSheetId="1">#REF!</definedName>
    <definedName name="A" localSheetId="3">#REF!</definedName>
    <definedName name="A" localSheetId="7">#REF!</definedName>
    <definedName name="A" localSheetId="6">#REF!</definedName>
    <definedName name="A">#REF!</definedName>
    <definedName name="aaaa" localSheetId="1">#REF!</definedName>
    <definedName name="aaaa" localSheetId="3">#REF!</definedName>
    <definedName name="aaaa" localSheetId="7">#REF!</definedName>
    <definedName name="aaaa" localSheetId="6">#REF!</definedName>
    <definedName name="aaaa">#REF!</definedName>
    <definedName name="ANALITICO">#N/A</definedName>
    <definedName name="_xlnm.Print_Area" localSheetId="7">'ESTIMACION INGRESOS PROPIOS '!$A$1:$I$18</definedName>
    <definedName name="_xlnm.Print_Area" localSheetId="6">'ORG.OPERADORES(ING.PROPIOS)'!$A$1:$AI$150</definedName>
    <definedName name="B" localSheetId="1">#REF!</definedName>
    <definedName name="B" localSheetId="3">#REF!</definedName>
    <definedName name="B" localSheetId="7">#REF!</definedName>
    <definedName name="B" localSheetId="6">#REF!</definedName>
    <definedName name="B">#REF!</definedName>
    <definedName name="BasedeBancos" localSheetId="1">#REF!</definedName>
    <definedName name="BasedeBancos" localSheetId="3">#REF!</definedName>
    <definedName name="BasedeBancos" localSheetId="7">#REF!</definedName>
    <definedName name="BasedeBancos" localSheetId="6">#REF!</definedName>
    <definedName name="BasedeBancos">#REF!</definedName>
    <definedName name="_xlnm.Database" localSheetId="1">#REF!</definedName>
    <definedName name="_xlnm.Database" localSheetId="3">#REF!</definedName>
    <definedName name="_xlnm.Database" localSheetId="7">#REF!</definedName>
    <definedName name="_xlnm.Database" localSheetId="6">#REF!</definedName>
    <definedName name="_xlnm.Database">#REF!</definedName>
    <definedName name="BBB" localSheetId="1">#REF!</definedName>
    <definedName name="BBB" localSheetId="3">#REF!</definedName>
    <definedName name="BBB" localSheetId="7">#REF!</definedName>
    <definedName name="BBB" localSheetId="6">#REF!</definedName>
    <definedName name="BBB">#REF!</definedName>
    <definedName name="BBBBB" localSheetId="1">#REF!</definedName>
    <definedName name="BBBBB" localSheetId="3">#REF!</definedName>
    <definedName name="BBBBB" localSheetId="7">#REF!</definedName>
    <definedName name="BBBBB" localSheetId="6">#REF!</definedName>
    <definedName name="BBBBB">#REF!</definedName>
    <definedName name="calendarizacion" localSheetId="1">#REF!</definedName>
    <definedName name="calendarizacion" localSheetId="3">#REF!</definedName>
    <definedName name="calendarizacion" localSheetId="7">#REF!</definedName>
    <definedName name="calendarizacion" localSheetId="6">#REF!</definedName>
    <definedName name="calendarizacion">#REF!</definedName>
    <definedName name="calorg" localSheetId="1">#REF!</definedName>
    <definedName name="calorg" localSheetId="3">#REF!</definedName>
    <definedName name="calorg" localSheetId="7">#REF!</definedName>
    <definedName name="calorg" localSheetId="6">#REF!</definedName>
    <definedName name="calorg">#REF!</definedName>
    <definedName name="CASO" localSheetId="1">#REF!</definedName>
    <definedName name="CASO" localSheetId="3">#REF!</definedName>
    <definedName name="CASO" localSheetId="7">#REF!</definedName>
    <definedName name="CASO" localSheetId="6">#REF!</definedName>
    <definedName name="CASO">#REF!</definedName>
    <definedName name="COMP" localSheetId="1">#REF!</definedName>
    <definedName name="COMP" localSheetId="3">#REF!</definedName>
    <definedName name="COMP" localSheetId="7">#REF!</definedName>
    <definedName name="COMP" localSheetId="6">#REF!</definedName>
    <definedName name="COMP">#REF!</definedName>
    <definedName name="COMPARATIVO" localSheetId="1">#REF!</definedName>
    <definedName name="COMPARATIVO" localSheetId="3">#REF!</definedName>
    <definedName name="COMPARATIVO" localSheetId="7">#REF!</definedName>
    <definedName name="COMPARATIVO" localSheetId="6">#REF!</definedName>
    <definedName name="COMPARATIVO">#REF!</definedName>
    <definedName name="DEPENDENCIAS" localSheetId="3">[1]Listas!$C$3:$C$24</definedName>
    <definedName name="DEPENDENCIAS">[2]Listas!$C$3:$C$24</definedName>
    <definedName name="DUDA" localSheetId="1">#REF!</definedName>
    <definedName name="DUDA" localSheetId="3">#REF!</definedName>
    <definedName name="DUDA" localSheetId="7">#REF!</definedName>
    <definedName name="DUDA" localSheetId="6">#REF!</definedName>
    <definedName name="DUDA">#REF!</definedName>
    <definedName name="EEE" localSheetId="1">#REF!</definedName>
    <definedName name="EEE" localSheetId="3">#REF!</definedName>
    <definedName name="EEE" localSheetId="7">#REF!</definedName>
    <definedName name="EEE" localSheetId="6">#REF!</definedName>
    <definedName name="EEE">#REF!</definedName>
    <definedName name="EERRR" localSheetId="1">#REF!</definedName>
    <definedName name="EERRR" localSheetId="3">#REF!</definedName>
    <definedName name="EERRR" localSheetId="7">#REF!</definedName>
    <definedName name="EERRR" localSheetId="6">#REF!</definedName>
    <definedName name="EERRR">#REF!</definedName>
    <definedName name="EERTR" localSheetId="1">#REF!</definedName>
    <definedName name="EERTR" localSheetId="3">#REF!</definedName>
    <definedName name="EERTR" localSheetId="7">#REF!</definedName>
    <definedName name="EERTR" localSheetId="6">#REF!</definedName>
    <definedName name="EERTR">#REF!</definedName>
    <definedName name="FUENTES" localSheetId="3">[1]Listas!$B$3:$B$41</definedName>
    <definedName name="FUENTES">[2]Listas!$B$3:$B$41</definedName>
    <definedName name="Funciones_Activos_Fijos">#N/A</definedName>
    <definedName name="Funciones_Catalogo">#N/A</definedName>
    <definedName name="Funciones_Componente">#N/A</definedName>
    <definedName name="Funciones_Devolucion">#N/A</definedName>
    <definedName name="Funciones_Empresa">#N/A</definedName>
    <definedName name="Funciones_Fechas_Periodos">#N/A</definedName>
    <definedName name="Funciones_Movimientos">#N/A</definedName>
    <definedName name="Funciones_Polizas">#N/A</definedName>
    <definedName name="Funciones_Saldos">#N/A</definedName>
    <definedName name="Funciones_Tablas">#N/A</definedName>
    <definedName name="Ir_Inicio">#N/A</definedName>
    <definedName name="MMMMMMMMMM" localSheetId="1">#REF!</definedName>
    <definedName name="MMMMMMMMMM" localSheetId="3">#REF!</definedName>
    <definedName name="MMMMMMMMMM" localSheetId="7">#REF!</definedName>
    <definedName name="MMMMMMMMMM" localSheetId="6">#REF!</definedName>
    <definedName name="MMMMMMMMMM">#REF!</definedName>
    <definedName name="MUNICIPIO" localSheetId="3">[1]Listas!$E$3:$E$84</definedName>
    <definedName name="MUNICIPIO">[2]Listas!$E$3:$E$84</definedName>
    <definedName name="municipios" localSheetId="1">#REF!</definedName>
    <definedName name="municipios" localSheetId="3">#REF!</definedName>
    <definedName name="municipios" localSheetId="7">#REF!</definedName>
    <definedName name="municipios" localSheetId="6">#REF!</definedName>
    <definedName name="municipios">#REF!</definedName>
    <definedName name="NIALCASO" localSheetId="1">#REF!</definedName>
    <definedName name="NIALCASO" localSheetId="3">#REF!</definedName>
    <definedName name="NIALCASO" localSheetId="7">#REF!</definedName>
    <definedName name="NIALCASO" localSheetId="6">#REF!</definedName>
    <definedName name="NIALCASO">#REF!</definedName>
    <definedName name="NMNNM">#N/A</definedName>
    <definedName name="nombre" localSheetId="1">#REF!</definedName>
    <definedName name="nombre" localSheetId="3">#REF!</definedName>
    <definedName name="nombre" localSheetId="7">#REF!</definedName>
    <definedName name="nombre" localSheetId="6">#REF!</definedName>
    <definedName name="nombre">#REF!</definedName>
    <definedName name="NUEVAESTRUCTURACRI" localSheetId="1">#REF!</definedName>
    <definedName name="NUEVAESTRUCTURACRI" localSheetId="3">#REF!</definedName>
    <definedName name="NUEVAESTRUCTURACRI" localSheetId="7">#REF!</definedName>
    <definedName name="NUEVAESTRUCTURACRI" localSheetId="6">#REF!</definedName>
    <definedName name="NUEVAESTRUCTURACRI">#REF!</definedName>
    <definedName name="NUEVAESTRUCTURACRI2" localSheetId="1">#REF!</definedName>
    <definedName name="NUEVAESTRUCTURACRI2" localSheetId="3">#REF!</definedName>
    <definedName name="NUEVAESTRUCTURACRI2" localSheetId="7">#REF!</definedName>
    <definedName name="NUEVAESTRUCTURACRI2" localSheetId="6">#REF!</definedName>
    <definedName name="NUEVAESTRUCTURACRI2">#REF!</definedName>
    <definedName name="ooooooooooooooooo" localSheetId="1">#REF!</definedName>
    <definedName name="ooooooooooooooooo" localSheetId="3">#REF!</definedName>
    <definedName name="ooooooooooooooooo" localSheetId="7">#REF!</definedName>
    <definedName name="ooooooooooooooooo" localSheetId="6">#REF!</definedName>
    <definedName name="ooooooooooooooooo">#REF!</definedName>
    <definedName name="PPTO" localSheetId="1">#REF!</definedName>
    <definedName name="PPTO" localSheetId="3">#REF!</definedName>
    <definedName name="PPTO" localSheetId="7">#REF!</definedName>
    <definedName name="PPTO" localSheetId="6">#REF!</definedName>
    <definedName name="PPTO">#REF!</definedName>
    <definedName name="procuraduria" localSheetId="1">#REF!</definedName>
    <definedName name="procuraduria" localSheetId="3">#REF!</definedName>
    <definedName name="procuraduria" localSheetId="7">#REF!</definedName>
    <definedName name="procuraduria" localSheetId="6">#REF!</definedName>
    <definedName name="procuraduria">#REF!</definedName>
    <definedName name="proy" localSheetId="1">#REF!</definedName>
    <definedName name="proy" localSheetId="3">#REF!</definedName>
    <definedName name="proy" localSheetId="7">#REF!</definedName>
    <definedName name="proy" localSheetId="6">#REF!</definedName>
    <definedName name="proy">#REF!</definedName>
    <definedName name="RAMO" localSheetId="1">#REF!</definedName>
    <definedName name="RAMO" localSheetId="3">#REF!</definedName>
    <definedName name="RAMO" localSheetId="7">#REF!</definedName>
    <definedName name="RAMO" localSheetId="6">#REF!</definedName>
    <definedName name="RAMO">#REF!</definedName>
    <definedName name="rosamaria" localSheetId="1">#REF!</definedName>
    <definedName name="rosamaria" localSheetId="3">#REF!</definedName>
    <definedName name="rosamaria" localSheetId="7">#REF!</definedName>
    <definedName name="rosamaria" localSheetId="6">#REF!</definedName>
    <definedName name="rosamaria">#REF!</definedName>
    <definedName name="SOP" localSheetId="1">#REF!</definedName>
    <definedName name="SOP" localSheetId="3">#REF!</definedName>
    <definedName name="SOP" localSheetId="7">#REF!</definedName>
    <definedName name="SOP" localSheetId="6">#REF!</definedName>
    <definedName name="SOP">#REF!</definedName>
    <definedName name="ss" localSheetId="1">#REF!</definedName>
    <definedName name="ss" localSheetId="3">#REF!</definedName>
    <definedName name="ss" localSheetId="7">#REF!</definedName>
    <definedName name="ss" localSheetId="6">#REF!</definedName>
    <definedName name="ss">#REF!</definedName>
    <definedName name="Tema_2">#N/A</definedName>
    <definedName name="Tema_3">#N/A</definedName>
    <definedName name="Tema_4">#N/A</definedName>
    <definedName name="Tema_5">#N/A</definedName>
    <definedName name="Tema_6">#N/A</definedName>
    <definedName name="TEMA3">#N/A</definedName>
    <definedName name="TEMMA3">#N/A</definedName>
    <definedName name="W" localSheetId="1">#REF!</definedName>
    <definedName name="W" localSheetId="3">#REF!</definedName>
    <definedName name="W" localSheetId="7">#REF!</definedName>
    <definedName name="W" localSheetId="6">#REF!</definedName>
    <definedName name="W">#REF!</definedName>
    <definedName name="we" localSheetId="1">#REF!</definedName>
    <definedName name="we" localSheetId="3">#REF!</definedName>
    <definedName name="we" localSheetId="7">#REF!</definedName>
    <definedName name="we" localSheetId="6">#REF!</definedName>
    <definedName name="we">#REF!</definedName>
    <definedName name="WQQ" localSheetId="1">#REF!</definedName>
    <definedName name="WQQ" localSheetId="3">#REF!</definedName>
    <definedName name="WQQ" localSheetId="7">#REF!</definedName>
    <definedName name="WQQ" localSheetId="6">#REF!</definedName>
    <definedName name="WQQ">#REF!</definedName>
    <definedName name="www" localSheetId="1">#REF!</definedName>
    <definedName name="www" localSheetId="3">#REF!</definedName>
    <definedName name="www" localSheetId="7">#REF!</definedName>
    <definedName name="www" localSheetId="6">#REF!</definedName>
    <definedName name="www">#REF!</definedName>
    <definedName name="xxxx" localSheetId="1">#REF!</definedName>
    <definedName name="xxxx" localSheetId="3">#REF!</definedName>
    <definedName name="xxxx" localSheetId="7">#REF!</definedName>
    <definedName name="xxxx" localSheetId="6">#REF!</definedName>
    <definedName name="xxxx">#REF!</definedName>
    <definedName name="XXXXXXXXXXXXX" localSheetId="1">#REF!</definedName>
    <definedName name="XXXXXXXXXXXXX" localSheetId="3">#REF!</definedName>
    <definedName name="XXXXXXXXXXXXX" localSheetId="7">#REF!</definedName>
    <definedName name="XXXXXXXXXXXXX" localSheetId="6">#REF!</definedName>
    <definedName name="XXXXXXXXXXXXX">#REF!</definedName>
    <definedName name="ya" localSheetId="1">#REF!</definedName>
    <definedName name="ya" localSheetId="3">#REF!</definedName>
    <definedName name="ya" localSheetId="7">#REF!</definedName>
    <definedName name="ya" localSheetId="6">#REF!</definedName>
    <definedName name="ya">#REF!</definedName>
    <definedName name="YAAA" localSheetId="1">#REF!</definedName>
    <definedName name="YAAA" localSheetId="3">#REF!</definedName>
    <definedName name="YAAA" localSheetId="7">#REF!</definedName>
    <definedName name="YAAA" localSheetId="6">#REF!</definedName>
    <definedName name="YAA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3" i="21" l="1"/>
  <c r="AI16" i="21"/>
  <c r="AB53" i="21"/>
  <c r="AB16" i="21"/>
  <c r="N52" i="21"/>
  <c r="U52" i="21"/>
  <c r="AB52" i="21"/>
  <c r="AI52" i="21"/>
  <c r="AP52" i="21"/>
  <c r="AP53" i="21"/>
  <c r="AW52" i="21"/>
  <c r="BD52" i="21"/>
  <c r="BK52" i="21"/>
  <c r="BK15" i="21"/>
  <c r="BD15" i="21"/>
  <c r="AW15" i="21"/>
  <c r="AI15" i="21"/>
  <c r="AP15" i="21"/>
  <c r="AB15" i="21"/>
  <c r="U15" i="21"/>
  <c r="N15" i="21"/>
  <c r="G52" i="21"/>
  <c r="G15" i="21"/>
  <c r="BC116" i="21"/>
  <c r="AV116" i="21"/>
  <c r="AO116" i="21"/>
  <c r="AH116" i="21"/>
  <c r="AA116" i="21"/>
  <c r="T116" i="21"/>
  <c r="M116" i="21"/>
  <c r="C90" i="24"/>
  <c r="C89" i="24"/>
  <c r="C88" i="24" l="1"/>
  <c r="C87" i="24"/>
  <c r="C86" i="24"/>
  <c r="C85" i="24"/>
  <c r="C84" i="24"/>
  <c r="C83" i="24"/>
  <c r="C82" i="24"/>
  <c r="C81" i="24"/>
  <c r="C80" i="24"/>
  <c r="C79" i="24"/>
  <c r="C77" i="24"/>
  <c r="C73" i="24"/>
  <c r="C72" i="24"/>
  <c r="C68" i="24"/>
  <c r="C67" i="24"/>
  <c r="C66" i="24"/>
  <c r="C65" i="24"/>
  <c r="C64" i="24"/>
  <c r="C63" i="24"/>
  <c r="C62" i="24"/>
  <c r="C61" i="24"/>
  <c r="C60" i="24"/>
  <c r="C59" i="24"/>
  <c r="C58" i="24"/>
  <c r="C57" i="24"/>
  <c r="C56" i="24"/>
  <c r="C10" i="24"/>
  <c r="C55" i="24"/>
  <c r="C52" i="24"/>
  <c r="C51" i="24"/>
  <c r="C50" i="24"/>
  <c r="C48" i="24"/>
  <c r="C47" i="24"/>
  <c r="C46" i="24"/>
  <c r="C45" i="24"/>
  <c r="C44" i="24"/>
  <c r="C43" i="24"/>
  <c r="C42" i="24"/>
  <c r="C41" i="24"/>
  <c r="C40" i="24"/>
  <c r="C39" i="24"/>
  <c r="C38" i="24"/>
  <c r="C37" i="24"/>
  <c r="C36" i="24"/>
  <c r="C35" i="24"/>
  <c r="C34" i="24"/>
  <c r="C33" i="24"/>
  <c r="C32" i="24"/>
  <c r="C31" i="24"/>
  <c r="C30" i="24"/>
  <c r="C29" i="24"/>
  <c r="C28" i="24"/>
  <c r="C27" i="24"/>
  <c r="C26" i="24"/>
  <c r="C25" i="24"/>
  <c r="C23" i="24"/>
  <c r="C22" i="24"/>
  <c r="C21" i="24"/>
  <c r="C20" i="24"/>
  <c r="C19" i="24"/>
  <c r="C18" i="24"/>
  <c r="C17" i="24"/>
  <c r="C16" i="24"/>
  <c r="C15" i="24"/>
  <c r="C14" i="24"/>
  <c r="C13" i="24"/>
  <c r="C12" i="24"/>
  <c r="C11" i="24"/>
  <c r="C9" i="24"/>
  <c r="C8" i="24"/>
  <c r="C7" i="24"/>
  <c r="C24" i="24"/>
  <c r="C69" i="24"/>
  <c r="C70" i="24"/>
  <c r="C71" i="24"/>
  <c r="C74" i="24"/>
  <c r="C75" i="24"/>
  <c r="C76" i="24"/>
  <c r="C78"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E10" i="28"/>
  <c r="C10" i="28" s="1"/>
  <c r="E9" i="28"/>
  <c r="C9" i="28" s="1"/>
  <c r="H31" i="29"/>
  <c r="B42" i="29"/>
  <c r="C42" i="29"/>
  <c r="C45" i="29" s="1"/>
  <c r="D42" i="29"/>
  <c r="D45" i="29" s="1"/>
  <c r="E42" i="29"/>
  <c r="F42" i="29"/>
  <c r="F45" i="29" s="1"/>
  <c r="G42" i="29"/>
  <c r="G45" i="29" s="1"/>
  <c r="G24" i="29"/>
  <c r="E16" i="28" s="1"/>
  <c r="G17" i="29"/>
  <c r="H63" i="29"/>
  <c r="H61" i="29"/>
  <c r="G60" i="29"/>
  <c r="F60" i="29"/>
  <c r="E60" i="29"/>
  <c r="D60" i="29"/>
  <c r="C60" i="29"/>
  <c r="B60" i="29"/>
  <c r="H44" i="29"/>
  <c r="H43" i="29"/>
  <c r="E45" i="29"/>
  <c r="H40" i="29"/>
  <c r="H38" i="29"/>
  <c r="G30" i="29"/>
  <c r="E18" i="28" s="1"/>
  <c r="D29" i="29"/>
  <c r="G27" i="29"/>
  <c r="E17" i="28" s="1"/>
  <c r="F27" i="29"/>
  <c r="E27" i="29"/>
  <c r="D27" i="29"/>
  <c r="C27" i="29"/>
  <c r="B27" i="29"/>
  <c r="D17" i="28" s="1"/>
  <c r="F24" i="29"/>
  <c r="E24" i="29"/>
  <c r="D24" i="29"/>
  <c r="C24" i="29"/>
  <c r="B24" i="29"/>
  <c r="D16" i="28" s="1"/>
  <c r="H20" i="29"/>
  <c r="D12" i="29"/>
  <c r="G18" i="29"/>
  <c r="H18" i="29" s="1"/>
  <c r="H17" i="29"/>
  <c r="H16" i="29"/>
  <c r="H15" i="29"/>
  <c r="H13" i="29"/>
  <c r="F13" i="28"/>
  <c r="C21" i="28"/>
  <c r="F15" i="28"/>
  <c r="F8" i="28"/>
  <c r="F6" i="28" s="1"/>
  <c r="C12" i="28"/>
  <c r="H82" i="27"/>
  <c r="H78" i="27"/>
  <c r="H77" i="27"/>
  <c r="H76" i="27"/>
  <c r="H75" i="27"/>
  <c r="H74" i="27"/>
  <c r="H73" i="27"/>
  <c r="H72" i="27"/>
  <c r="H71" i="27"/>
  <c r="H70" i="27"/>
  <c r="H69" i="27"/>
  <c r="H68" i="27"/>
  <c r="H67" i="27"/>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1" i="27"/>
  <c r="H40" i="27"/>
  <c r="H39" i="27"/>
  <c r="H38" i="27"/>
  <c r="H37" i="27"/>
  <c r="H36" i="27"/>
  <c r="H35" i="27"/>
  <c r="H34" i="27"/>
  <c r="H33" i="27"/>
  <c r="H32" i="27"/>
  <c r="H31" i="27"/>
  <c r="H29" i="27"/>
  <c r="H28" i="27"/>
  <c r="H27" i="27"/>
  <c r="H26" i="27"/>
  <c r="H25" i="27"/>
  <c r="H24" i="27"/>
  <c r="H23" i="27"/>
  <c r="H22" i="27"/>
  <c r="H21" i="27"/>
  <c r="I20" i="27"/>
  <c r="J20" i="27" s="1"/>
  <c r="I19" i="27"/>
  <c r="J19" i="27" s="1"/>
  <c r="J17" i="27"/>
  <c r="I17" i="27"/>
  <c r="J15" i="27"/>
  <c r="I15" i="27"/>
  <c r="H14" i="27"/>
  <c r="H12" i="27"/>
  <c r="J11" i="27"/>
  <c r="I11" i="27"/>
  <c r="J10" i="27"/>
  <c r="I10" i="27"/>
  <c r="I84" i="27" s="1"/>
  <c r="J9" i="27"/>
  <c r="I9" i="27"/>
  <c r="H8" i="27"/>
  <c r="H7" i="27"/>
  <c r="I6" i="27"/>
  <c r="J6" i="27" s="1"/>
  <c r="H5" i="27"/>
  <c r="H4" i="27"/>
  <c r="H84" i="27" s="1"/>
  <c r="D10" i="29" l="1"/>
  <c r="E11" i="28"/>
  <c r="G32" i="29"/>
  <c r="C54" i="24"/>
  <c r="H42" i="29"/>
  <c r="D32" i="29"/>
  <c r="D22" i="29" s="1"/>
  <c r="H27" i="29"/>
  <c r="H60" i="29"/>
  <c r="D8" i="29"/>
  <c r="E12" i="29"/>
  <c r="G22" i="29"/>
  <c r="F12" i="29"/>
  <c r="H19" i="29"/>
  <c r="G12" i="29"/>
  <c r="G8" i="29" s="1"/>
  <c r="C12" i="29"/>
  <c r="B45" i="29"/>
  <c r="H45" i="29" s="1"/>
  <c r="H24" i="29"/>
  <c r="C13" i="28"/>
  <c r="J84" i="27"/>
  <c r="C11" i="28" l="1"/>
  <c r="E8" i="28"/>
  <c r="E6" i="28" s="1"/>
  <c r="C8" i="28"/>
  <c r="G47" i="29"/>
  <c r="D47" i="29"/>
  <c r="B12" i="29"/>
  <c r="H12" i="29"/>
  <c r="H30" i="29"/>
  <c r="F97" i="21"/>
  <c r="AU52" i="22" l="1"/>
  <c r="AO52" i="22"/>
  <c r="AN52" i="22"/>
  <c r="AH52" i="22"/>
  <c r="F52" i="22" s="1"/>
  <c r="AG52" i="22"/>
  <c r="Z52" i="22"/>
  <c r="E52" i="22"/>
  <c r="D52" i="22"/>
  <c r="BB51" i="22"/>
  <c r="AU51" i="22"/>
  <c r="AO51" i="22"/>
  <c r="F51" i="22" s="1"/>
  <c r="AN51" i="22"/>
  <c r="AH51" i="22"/>
  <c r="AG51" i="22"/>
  <c r="Z51" i="22"/>
  <c r="S51" i="22"/>
  <c r="D51" i="22"/>
  <c r="E51" i="22" s="1"/>
  <c r="BC50" i="22"/>
  <c r="BB50" i="22"/>
  <c r="AU50" i="22"/>
  <c r="AO50" i="22"/>
  <c r="F50" i="22" s="1"/>
  <c r="AN50" i="22"/>
  <c r="AH50" i="22"/>
  <c r="AG50" i="22"/>
  <c r="Z50" i="22"/>
  <c r="L50" i="22"/>
  <c r="D50" i="22"/>
  <c r="E50" i="22" s="1"/>
  <c r="BB49" i="22"/>
  <c r="AU49" i="22"/>
  <c r="AN49" i="22"/>
  <c r="AG49" i="22"/>
  <c r="Z49" i="22"/>
  <c r="S49" i="22"/>
  <c r="L49" i="22"/>
  <c r="F49" i="22"/>
  <c r="C49" i="24" s="1"/>
  <c r="E49" i="22"/>
  <c r="D49" i="22"/>
  <c r="BC48" i="22"/>
  <c r="BB48" i="22"/>
  <c r="AU48" i="22"/>
  <c r="AO48" i="22"/>
  <c r="AN48" i="22"/>
  <c r="AH48" i="22"/>
  <c r="F48" i="22" s="1"/>
  <c r="AG48" i="22"/>
  <c r="Z48" i="22"/>
  <c r="S48" i="22"/>
  <c r="L48" i="22"/>
  <c r="D48" i="22"/>
  <c r="E48" i="22" s="1"/>
  <c r="BB47" i="22"/>
  <c r="AU47" i="22"/>
  <c r="AO47" i="22"/>
  <c r="AN47" i="22"/>
  <c r="AH47" i="22"/>
  <c r="F47" i="22" s="1"/>
  <c r="AG47" i="22"/>
  <c r="Z47" i="22"/>
  <c r="S47" i="22"/>
  <c r="L47" i="22"/>
  <c r="D47" i="22"/>
  <c r="E47" i="22" s="1"/>
  <c r="Z46" i="22"/>
  <c r="F46" i="22"/>
  <c r="D46" i="22"/>
  <c r="E46" i="22" s="1"/>
  <c r="BB45" i="22"/>
  <c r="AU45" i="22"/>
  <c r="AO45" i="22"/>
  <c r="AN45" i="22"/>
  <c r="AH45" i="22"/>
  <c r="F45" i="22" s="1"/>
  <c r="AG45" i="22"/>
  <c r="Z45" i="22"/>
  <c r="S45" i="22"/>
  <c r="L45" i="22"/>
  <c r="D45" i="22"/>
  <c r="E45" i="22" s="1"/>
  <c r="AU44" i="22"/>
  <c r="AO44" i="22"/>
  <c r="AN44" i="22"/>
  <c r="AH44" i="22"/>
  <c r="F44" i="22" s="1"/>
  <c r="AG44" i="22"/>
  <c r="Z44" i="22"/>
  <c r="D44" i="22"/>
  <c r="E44" i="22" s="1"/>
  <c r="BB43" i="22"/>
  <c r="AU43" i="22"/>
  <c r="AO43" i="22"/>
  <c r="AN43" i="22"/>
  <c r="AH43" i="22"/>
  <c r="AG43" i="22"/>
  <c r="Z43" i="22"/>
  <c r="S43" i="22"/>
  <c r="F43" i="22"/>
  <c r="D43" i="22"/>
  <c r="E43" i="22" s="1"/>
  <c r="BC42" i="22"/>
  <c r="AO42" i="22"/>
  <c r="F42" i="22" s="1"/>
  <c r="AH42" i="22"/>
  <c r="D42" i="22"/>
  <c r="AO41" i="22"/>
  <c r="F41" i="22" s="1"/>
  <c r="AN41" i="22"/>
  <c r="E41" i="22"/>
  <c r="D41" i="22"/>
  <c r="BC40" i="22"/>
  <c r="BB40" i="22"/>
  <c r="AU40" i="22"/>
  <c r="AO40" i="22"/>
  <c r="AN40" i="22"/>
  <c r="AH40" i="22"/>
  <c r="AG40" i="22"/>
  <c r="Z40" i="22"/>
  <c r="S40" i="22"/>
  <c r="L40" i="22"/>
  <c r="F40" i="22"/>
  <c r="E40" i="22"/>
  <c r="D40" i="22"/>
  <c r="BC39" i="22"/>
  <c r="AO39" i="22"/>
  <c r="AH39" i="22"/>
  <c r="F39" i="22" s="1"/>
  <c r="D39" i="22"/>
  <c r="BC38" i="22"/>
  <c r="BB38" i="22"/>
  <c r="AU38" i="22"/>
  <c r="AO38" i="22"/>
  <c r="AN38" i="22"/>
  <c r="AH38" i="22"/>
  <c r="F38" i="22" s="1"/>
  <c r="AG38" i="22"/>
  <c r="Z38" i="22"/>
  <c r="S38" i="22"/>
  <c r="L38" i="22"/>
  <c r="D38" i="22"/>
  <c r="E38" i="22" s="1"/>
  <c r="BC37" i="22"/>
  <c r="BB37" i="22"/>
  <c r="AU37" i="22"/>
  <c r="AO37" i="22"/>
  <c r="F37" i="22" s="1"/>
  <c r="AN37" i="22"/>
  <c r="AH37" i="22"/>
  <c r="AG37" i="22"/>
  <c r="Z37" i="22"/>
  <c r="D37" i="22"/>
  <c r="E37" i="22" s="1"/>
  <c r="AU36" i="22"/>
  <c r="AN36" i="22"/>
  <c r="Z36" i="22"/>
  <c r="F36" i="22"/>
  <c r="E36" i="22"/>
  <c r="D36" i="22"/>
  <c r="BC35" i="22"/>
  <c r="BB35" i="22"/>
  <c r="AU35" i="22"/>
  <c r="AO35" i="22"/>
  <c r="AN35" i="22"/>
  <c r="AH35" i="22"/>
  <c r="AG35" i="22"/>
  <c r="Z35" i="22"/>
  <c r="S35" i="22"/>
  <c r="L35" i="22"/>
  <c r="F35" i="22"/>
  <c r="E35" i="22"/>
  <c r="D35" i="22"/>
  <c r="BC34" i="22"/>
  <c r="AO34" i="22"/>
  <c r="AH34" i="22"/>
  <c r="F34" i="22" s="1"/>
  <c r="Z34" i="22"/>
  <c r="E34" i="22"/>
  <c r="D34" i="22"/>
  <c r="F33" i="22"/>
  <c r="D33" i="22"/>
  <c r="F32" i="22"/>
  <c r="D32" i="22"/>
  <c r="BC31" i="22"/>
  <c r="BB31" i="22"/>
  <c r="AU31" i="22"/>
  <c r="AO31" i="22"/>
  <c r="F31" i="22" s="1"/>
  <c r="AN31" i="22"/>
  <c r="AH31" i="22"/>
  <c r="AG31" i="22"/>
  <c r="Z31" i="22"/>
  <c r="S31" i="22"/>
  <c r="E31" i="22"/>
  <c r="D31" i="22"/>
  <c r="BC30" i="22"/>
  <c r="BB30" i="22"/>
  <c r="AU30" i="22"/>
  <c r="AO30" i="22"/>
  <c r="F30" i="22" s="1"/>
  <c r="AN30" i="22"/>
  <c r="AH30" i="22"/>
  <c r="AG30" i="22"/>
  <c r="Z30" i="22"/>
  <c r="S30" i="22"/>
  <c r="E30" i="22"/>
  <c r="D30" i="22"/>
  <c r="Z29" i="22"/>
  <c r="F29" i="22"/>
  <c r="E29" i="22"/>
  <c r="D29" i="22"/>
  <c r="BC28" i="22"/>
  <c r="BB28" i="22"/>
  <c r="AU28" i="22"/>
  <c r="AO28" i="22"/>
  <c r="AN28" i="22"/>
  <c r="AH28" i="22"/>
  <c r="AG28" i="22"/>
  <c r="Z28" i="22"/>
  <c r="S28" i="22"/>
  <c r="L28" i="22"/>
  <c r="F28" i="22"/>
  <c r="E28" i="22"/>
  <c r="D28" i="22"/>
  <c r="Z27" i="22"/>
  <c r="F27" i="22"/>
  <c r="E27" i="22"/>
  <c r="D27" i="22"/>
  <c r="BC26" i="22"/>
  <c r="BB26" i="22"/>
  <c r="AU26" i="22"/>
  <c r="AO26" i="22"/>
  <c r="AN26" i="22"/>
  <c r="AH26" i="22"/>
  <c r="F26" i="22" s="1"/>
  <c r="AG26" i="22"/>
  <c r="Z26" i="22"/>
  <c r="S26" i="22"/>
  <c r="L26" i="22"/>
  <c r="D26" i="22"/>
  <c r="E26" i="22" s="1"/>
  <c r="BC25" i="22"/>
  <c r="BB25" i="22"/>
  <c r="AU25" i="22"/>
  <c r="AO25" i="22"/>
  <c r="AN25" i="22"/>
  <c r="AH25" i="22"/>
  <c r="F25" i="22" s="1"/>
  <c r="AG25" i="22"/>
  <c r="Z25" i="22"/>
  <c r="S25" i="22"/>
  <c r="L25" i="22"/>
  <c r="D25" i="22"/>
  <c r="E25" i="22" s="1"/>
  <c r="F24" i="22"/>
  <c r="D24" i="22"/>
  <c r="F23" i="22"/>
  <c r="D23" i="22"/>
  <c r="F22" i="22"/>
  <c r="D22" i="22"/>
  <c r="F21" i="22"/>
  <c r="D21" i="22"/>
  <c r="F20" i="22"/>
  <c r="D20" i="22"/>
  <c r="BC19" i="22"/>
  <c r="BB19" i="22"/>
  <c r="AU19" i="22"/>
  <c r="AO19" i="22"/>
  <c r="AN19" i="22"/>
  <c r="AH19" i="22"/>
  <c r="F19" i="22" s="1"/>
  <c r="AG19" i="22"/>
  <c r="Z19" i="22"/>
  <c r="S19" i="22"/>
  <c r="L19" i="22"/>
  <c r="D19" i="22"/>
  <c r="E19" i="22" s="1"/>
  <c r="BC18" i="22"/>
  <c r="BB18" i="22"/>
  <c r="AU18" i="22"/>
  <c r="AO18" i="22"/>
  <c r="AN18" i="22"/>
  <c r="AH18" i="22"/>
  <c r="F18" i="22" s="1"/>
  <c r="AG18" i="22"/>
  <c r="Z18" i="22"/>
  <c r="S18" i="22"/>
  <c r="L18" i="22"/>
  <c r="D18" i="22"/>
  <c r="E18" i="22" s="1"/>
  <c r="BC17" i="22"/>
  <c r="BB17" i="22"/>
  <c r="AU17" i="22"/>
  <c r="AO17" i="22"/>
  <c r="AO9" i="22" s="1"/>
  <c r="AN17" i="22"/>
  <c r="AG17" i="22"/>
  <c r="Z17" i="22"/>
  <c r="S17" i="22"/>
  <c r="L17" i="22"/>
  <c r="D17" i="22"/>
  <c r="E17" i="22" s="1"/>
  <c r="F16" i="22"/>
  <c r="D16" i="22"/>
  <c r="F15" i="22"/>
  <c r="D15" i="22"/>
  <c r="F14" i="22"/>
  <c r="D14" i="22"/>
  <c r="BC13" i="22"/>
  <c r="BB13" i="22"/>
  <c r="AU13" i="22"/>
  <c r="AO13" i="22"/>
  <c r="AN13" i="22"/>
  <c r="AH13" i="22"/>
  <c r="F13" i="22" s="1"/>
  <c r="AG13" i="22"/>
  <c r="Z13" i="22"/>
  <c r="S13" i="22"/>
  <c r="L13" i="22"/>
  <c r="D13" i="22"/>
  <c r="E13" i="22" s="1"/>
  <c r="F12" i="22"/>
  <c r="D12" i="22"/>
  <c r="F11" i="22"/>
  <c r="D11" i="22"/>
  <c r="BC10" i="22"/>
  <c r="BC9" i="22" s="1"/>
  <c r="BB10" i="22"/>
  <c r="AU10" i="22"/>
  <c r="AO10" i="22"/>
  <c r="AN10" i="22"/>
  <c r="AH10" i="22"/>
  <c r="F10" i="22" s="1"/>
  <c r="AG10" i="22"/>
  <c r="Z10" i="22"/>
  <c r="S10" i="22"/>
  <c r="L10" i="22"/>
  <c r="D10" i="22"/>
  <c r="D9" i="22" s="1"/>
  <c r="E9" i="22" s="1"/>
  <c r="BA9" i="22"/>
  <c r="BB9" i="22" s="1"/>
  <c r="AZ9" i="22"/>
  <c r="AV9" i="22"/>
  <c r="AT9" i="22"/>
  <c r="AU9" i="22" s="1"/>
  <c r="AS9" i="22"/>
  <c r="AM9" i="22"/>
  <c r="AN9" i="22" s="1"/>
  <c r="AL9" i="22"/>
  <c r="AF9" i="22"/>
  <c r="AE9" i="22"/>
  <c r="AA9" i="22"/>
  <c r="Y9" i="22"/>
  <c r="X9" i="22"/>
  <c r="T9" i="22"/>
  <c r="S9" i="22"/>
  <c r="R9" i="22"/>
  <c r="Q9" i="22"/>
  <c r="M9" i="22"/>
  <c r="L9" i="22"/>
  <c r="K9" i="22"/>
  <c r="J9" i="22"/>
  <c r="C9" i="22"/>
  <c r="M22" i="21"/>
  <c r="E111" i="13"/>
  <c r="F9" i="22" l="1"/>
  <c r="E10" i="22"/>
  <c r="F17" i="22"/>
  <c r="AH9" i="22"/>
  <c r="BJ45" i="21"/>
  <c r="BJ41" i="21"/>
  <c r="BJ40" i="21"/>
  <c r="BJ26" i="21"/>
  <c r="BJ25" i="21"/>
  <c r="BJ24" i="21"/>
  <c r="BJ22" i="21"/>
  <c r="BJ20" i="21"/>
  <c r="BJ19" i="21"/>
  <c r="BJ18" i="21"/>
  <c r="BJ17" i="21"/>
  <c r="BJ16" i="21"/>
  <c r="BJ47" i="21"/>
  <c r="BJ49" i="21"/>
  <c r="AA18" i="21"/>
  <c r="AA17" i="21"/>
  <c r="AA16" i="21"/>
  <c r="AA20" i="21"/>
  <c r="AA22" i="21"/>
  <c r="AA24" i="21"/>
  <c r="AA25" i="21"/>
  <c r="AA26" i="21"/>
  <c r="BC49" i="21"/>
  <c r="BC45" i="21"/>
  <c r="BC40" i="21"/>
  <c r="BC24" i="21"/>
  <c r="BC22" i="21"/>
  <c r="BC18" i="21"/>
  <c r="BC16" i="21"/>
  <c r="AV49" i="21"/>
  <c r="AV47" i="21"/>
  <c r="AV41" i="21"/>
  <c r="AV40" i="21"/>
  <c r="AV24" i="21"/>
  <c r="AV22" i="21"/>
  <c r="AV18" i="21"/>
  <c r="AV17" i="21"/>
  <c r="AV16" i="21"/>
  <c r="AO49" i="21"/>
  <c r="AO41" i="21"/>
  <c r="AO40" i="21"/>
  <c r="AO22" i="21"/>
  <c r="AO18" i="21"/>
  <c r="AO16" i="21"/>
  <c r="AH50" i="21"/>
  <c r="AH49" i="21"/>
  <c r="AH44" i="21"/>
  <c r="AH43" i="21"/>
  <c r="AH41" i="21"/>
  <c r="AH40" i="21"/>
  <c r="AH24" i="21"/>
  <c r="AH22" i="21"/>
  <c r="AH18" i="21"/>
  <c r="AH16" i="21"/>
  <c r="AA46" i="21"/>
  <c r="AA45" i="21"/>
  <c r="AA43" i="21"/>
  <c r="AA41" i="21"/>
  <c r="AA40" i="21"/>
  <c r="AA37" i="21"/>
  <c r="AA33" i="21"/>
  <c r="AA32" i="21"/>
  <c r="AA47" i="21"/>
  <c r="AA49" i="21"/>
  <c r="T49" i="21"/>
  <c r="T40" i="21"/>
  <c r="T24" i="21"/>
  <c r="T22" i="21"/>
  <c r="T18" i="21"/>
  <c r="T16" i="21"/>
  <c r="M49" i="21"/>
  <c r="M47" i="21"/>
  <c r="M46" i="21" l="1"/>
  <c r="M45" i="21"/>
  <c r="M41" i="21"/>
  <c r="M40" i="21"/>
  <c r="M32" i="21"/>
  <c r="M24" i="21"/>
  <c r="M16" i="21"/>
  <c r="M18" i="21"/>
  <c r="M20" i="21"/>
  <c r="F82" i="21" l="1"/>
  <c r="AA55" i="21" l="1"/>
  <c r="AA53" i="21"/>
  <c r="D86" i="13" l="1"/>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85"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48"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14" i="13"/>
  <c r="D13" i="13" l="1"/>
  <c r="D47" i="13"/>
  <c r="D84" i="13"/>
  <c r="D146" i="13" l="1"/>
  <c r="A13" i="23"/>
  <c r="I6" i="23"/>
  <c r="F54" i="21" l="1"/>
  <c r="F55" i="21"/>
  <c r="F56" i="21"/>
  <c r="F57" i="21"/>
  <c r="F58" i="21"/>
  <c r="F59" i="21"/>
  <c r="F60" i="21"/>
  <c r="F61" i="21"/>
  <c r="F62" i="21"/>
  <c r="F63" i="21"/>
  <c r="F64" i="21"/>
  <c r="F65" i="21"/>
  <c r="F66" i="21"/>
  <c r="F67" i="21"/>
  <c r="F68" i="21"/>
  <c r="F69" i="21"/>
  <c r="F70" i="21"/>
  <c r="F71" i="21"/>
  <c r="F72" i="21"/>
  <c r="F73" i="21"/>
  <c r="F74" i="21"/>
  <c r="F75" i="21"/>
  <c r="F76" i="21"/>
  <c r="F77" i="21"/>
  <c r="F78" i="21"/>
  <c r="F79" i="21"/>
  <c r="F80" i="21"/>
  <c r="F81" i="21"/>
  <c r="F83" i="21"/>
  <c r="F84" i="21"/>
  <c r="F85" i="21"/>
  <c r="F86" i="21"/>
  <c r="F87" i="21"/>
  <c r="F88" i="21"/>
  <c r="F89" i="21"/>
  <c r="F90" i="21"/>
  <c r="F91" i="21"/>
  <c r="F92" i="21"/>
  <c r="F93" i="21"/>
  <c r="F94" i="21"/>
  <c r="F95" i="21"/>
  <c r="F96" i="21"/>
  <c r="F98" i="21"/>
  <c r="F99" i="21"/>
  <c r="F100" i="21"/>
  <c r="F101" i="21"/>
  <c r="F102" i="21"/>
  <c r="F103" i="21"/>
  <c r="F105" i="21"/>
  <c r="F106" i="21"/>
  <c r="F107" i="21"/>
  <c r="F108" i="21"/>
  <c r="F109" i="21"/>
  <c r="F110" i="21"/>
  <c r="F111" i="21"/>
  <c r="F112" i="21"/>
  <c r="M104" i="21"/>
  <c r="F104" i="21" s="1"/>
  <c r="BI112" i="21" l="1"/>
  <c r="BI111" i="21"/>
  <c r="BI110" i="21"/>
  <c r="BI109" i="21"/>
  <c r="BI108" i="21"/>
  <c r="BI107" i="21"/>
  <c r="BI106" i="21"/>
  <c r="BI105" i="21"/>
  <c r="BI104" i="21"/>
  <c r="BI103" i="21"/>
  <c r="BI102" i="21"/>
  <c r="BI101" i="21"/>
  <c r="BI100" i="21"/>
  <c r="BI99" i="21"/>
  <c r="BI98" i="21"/>
  <c r="BI97" i="21"/>
  <c r="BI96" i="21"/>
  <c r="BI95" i="21"/>
  <c r="BI94" i="21"/>
  <c r="BI93" i="21"/>
  <c r="BI92" i="21"/>
  <c r="BI91" i="21"/>
  <c r="BI90" i="21"/>
  <c r="BI89" i="21"/>
  <c r="BI88" i="21"/>
  <c r="BI87" i="21"/>
  <c r="BI86" i="21"/>
  <c r="BI85" i="21"/>
  <c r="BI84" i="21"/>
  <c r="BI83" i="21"/>
  <c r="BI82" i="21"/>
  <c r="BI81" i="21"/>
  <c r="BI80" i="21"/>
  <c r="BI79" i="21"/>
  <c r="BI78" i="21"/>
  <c r="BI77" i="21"/>
  <c r="BI76" i="21"/>
  <c r="BI75" i="21"/>
  <c r="BI74" i="21"/>
  <c r="BI73" i="21"/>
  <c r="BI72" i="21"/>
  <c r="BI71" i="21"/>
  <c r="BI70" i="21"/>
  <c r="BI69" i="21"/>
  <c r="BI68" i="21"/>
  <c r="BI67" i="21"/>
  <c r="BI66" i="21"/>
  <c r="BI65" i="21"/>
  <c r="BI64" i="21"/>
  <c r="BI63" i="21"/>
  <c r="BI62" i="21"/>
  <c r="BI61" i="21"/>
  <c r="BI60" i="21"/>
  <c r="BI59" i="21"/>
  <c r="BI58" i="21"/>
  <c r="BI57" i="21"/>
  <c r="BI56" i="21"/>
  <c r="BI55" i="21"/>
  <c r="BI54" i="21"/>
  <c r="BI53" i="21"/>
  <c r="BI50" i="21"/>
  <c r="BI49" i="21"/>
  <c r="BI48" i="21"/>
  <c r="BI47" i="21"/>
  <c r="BI46" i="21"/>
  <c r="BI45" i="21"/>
  <c r="BI44" i="21"/>
  <c r="BI43" i="21"/>
  <c r="BI42" i="21"/>
  <c r="BI41" i="21"/>
  <c r="BI40" i="21"/>
  <c r="BI39" i="21"/>
  <c r="BI38" i="21"/>
  <c r="BI37" i="21"/>
  <c r="BI36" i="21"/>
  <c r="BI35" i="21"/>
  <c r="BI34" i="21"/>
  <c r="BI33" i="21"/>
  <c r="BI32" i="21"/>
  <c r="BI31" i="21"/>
  <c r="BI30" i="21"/>
  <c r="BI29" i="21"/>
  <c r="BI28" i="21"/>
  <c r="BI27" i="21"/>
  <c r="BI26" i="21"/>
  <c r="BI25" i="21"/>
  <c r="BI24" i="21"/>
  <c r="BI23" i="21"/>
  <c r="BI22" i="21"/>
  <c r="BI21" i="21"/>
  <c r="BI20" i="21"/>
  <c r="BI19" i="21"/>
  <c r="BI18" i="21"/>
  <c r="BI17" i="21"/>
  <c r="BI16" i="21"/>
  <c r="BB112" i="21"/>
  <c r="BB111" i="21"/>
  <c r="BB110" i="21"/>
  <c r="BB109" i="21"/>
  <c r="BB108" i="21"/>
  <c r="BB107" i="21"/>
  <c r="BB106" i="21"/>
  <c r="BB105" i="21"/>
  <c r="BB104" i="21"/>
  <c r="BB103" i="21"/>
  <c r="BB102" i="21"/>
  <c r="BB101" i="21"/>
  <c r="BB100" i="21"/>
  <c r="BB99" i="21"/>
  <c r="BB98" i="21"/>
  <c r="BB97" i="21"/>
  <c r="BB96" i="21"/>
  <c r="BB95" i="21"/>
  <c r="BB94" i="21"/>
  <c r="BB93" i="21"/>
  <c r="BB92" i="21"/>
  <c r="BB91" i="21"/>
  <c r="BB90" i="21"/>
  <c r="BB89" i="21"/>
  <c r="BB88" i="21"/>
  <c r="BB87" i="21"/>
  <c r="BB86" i="21"/>
  <c r="BB85" i="21"/>
  <c r="BB84" i="21"/>
  <c r="BB83" i="21"/>
  <c r="BB82" i="21"/>
  <c r="BB81" i="21"/>
  <c r="BB80" i="21"/>
  <c r="BB79" i="21"/>
  <c r="BB78" i="21"/>
  <c r="BB77" i="21"/>
  <c r="BB76" i="21"/>
  <c r="BB75" i="21"/>
  <c r="BB74" i="21"/>
  <c r="BB73" i="21"/>
  <c r="BB72" i="21"/>
  <c r="BB71" i="21"/>
  <c r="BB70" i="21"/>
  <c r="BB69" i="21"/>
  <c r="BB68" i="21"/>
  <c r="BB67" i="21"/>
  <c r="BB66" i="21"/>
  <c r="BB65" i="21"/>
  <c r="BB64" i="21"/>
  <c r="BB63" i="21"/>
  <c r="BB62" i="21"/>
  <c r="BB61" i="21"/>
  <c r="BB60" i="21"/>
  <c r="BB59" i="21"/>
  <c r="BB58" i="21"/>
  <c r="BB57" i="21"/>
  <c r="BB56" i="21"/>
  <c r="BB55" i="21"/>
  <c r="BB54" i="21"/>
  <c r="BB53" i="21"/>
  <c r="BB50" i="21"/>
  <c r="BB49" i="21"/>
  <c r="BB48" i="21"/>
  <c r="BB47" i="21"/>
  <c r="BB46" i="21"/>
  <c r="BB45" i="21"/>
  <c r="BB44" i="21"/>
  <c r="BB43" i="21"/>
  <c r="BB42" i="21"/>
  <c r="BB41" i="21"/>
  <c r="BB40" i="21"/>
  <c r="BB39" i="21"/>
  <c r="BB38" i="21"/>
  <c r="BB37" i="21"/>
  <c r="BB36" i="21"/>
  <c r="BB35" i="21"/>
  <c r="BB34" i="21"/>
  <c r="BB33" i="21"/>
  <c r="BB32" i="21"/>
  <c r="BB31" i="21"/>
  <c r="BB30" i="21"/>
  <c r="BB29" i="21"/>
  <c r="BB28" i="21"/>
  <c r="BB27" i="21"/>
  <c r="BB26" i="21"/>
  <c r="BB25" i="21"/>
  <c r="BB24" i="21"/>
  <c r="BB23" i="21"/>
  <c r="BB22" i="21"/>
  <c r="BB21" i="21"/>
  <c r="BB20" i="21"/>
  <c r="BB19" i="21"/>
  <c r="BB18" i="21"/>
  <c r="BB17" i="21"/>
  <c r="BB16" i="21"/>
  <c r="AU112" i="21"/>
  <c r="AU111" i="21"/>
  <c r="AU110" i="21"/>
  <c r="AU109" i="21"/>
  <c r="AU108" i="21"/>
  <c r="AU107" i="21"/>
  <c r="AU106" i="21"/>
  <c r="AU105" i="21"/>
  <c r="AU104" i="21"/>
  <c r="AU103" i="21"/>
  <c r="AU102" i="21"/>
  <c r="AU101" i="21"/>
  <c r="AU100" i="21"/>
  <c r="AU99" i="21"/>
  <c r="AU98" i="21"/>
  <c r="AU97" i="21"/>
  <c r="AU96" i="21"/>
  <c r="AU95" i="21"/>
  <c r="AU94" i="21"/>
  <c r="AU93" i="21"/>
  <c r="AU92" i="21"/>
  <c r="AU91" i="21"/>
  <c r="AU90" i="21"/>
  <c r="AU89" i="21"/>
  <c r="AU88" i="21"/>
  <c r="AU87" i="21"/>
  <c r="AU86" i="21"/>
  <c r="AU85" i="21"/>
  <c r="AU84" i="21"/>
  <c r="AU83" i="21"/>
  <c r="AU82" i="21"/>
  <c r="AU81" i="21"/>
  <c r="AU80" i="21"/>
  <c r="AU79" i="21"/>
  <c r="AU78" i="21"/>
  <c r="AU77" i="21"/>
  <c r="AU76" i="21"/>
  <c r="AU75" i="21"/>
  <c r="AU74" i="21"/>
  <c r="AU73" i="21"/>
  <c r="AU72" i="21"/>
  <c r="AU71" i="21"/>
  <c r="AU70" i="21"/>
  <c r="AU69" i="21"/>
  <c r="AU68" i="21"/>
  <c r="AU67" i="21"/>
  <c r="AU66" i="21"/>
  <c r="AU65" i="21"/>
  <c r="AU64" i="21"/>
  <c r="AU63" i="21"/>
  <c r="AU62" i="21"/>
  <c r="AU61" i="21"/>
  <c r="AU60" i="21"/>
  <c r="AU59" i="21"/>
  <c r="AU58" i="21"/>
  <c r="AU57" i="21"/>
  <c r="AU56" i="21"/>
  <c r="AU55" i="21"/>
  <c r="AU54" i="21"/>
  <c r="AU53" i="21"/>
  <c r="AU50" i="21"/>
  <c r="AU49" i="21"/>
  <c r="AU48" i="21"/>
  <c r="AU47" i="21"/>
  <c r="AU46" i="21"/>
  <c r="AU45" i="21"/>
  <c r="AU44" i="21"/>
  <c r="AU43" i="21"/>
  <c r="AU42" i="21"/>
  <c r="AU41" i="21"/>
  <c r="AU40" i="21"/>
  <c r="AU39" i="21"/>
  <c r="AU38" i="21"/>
  <c r="AU37" i="21"/>
  <c r="AU36" i="21"/>
  <c r="AU35" i="21"/>
  <c r="AU34" i="21"/>
  <c r="AU33" i="21"/>
  <c r="AU32" i="21"/>
  <c r="AU31" i="21"/>
  <c r="AU30" i="21"/>
  <c r="AU29" i="21"/>
  <c r="AU28" i="21"/>
  <c r="AU27" i="21"/>
  <c r="AU26" i="21"/>
  <c r="AU25" i="21"/>
  <c r="AU24" i="21"/>
  <c r="AU23" i="21"/>
  <c r="AU22" i="21"/>
  <c r="AU21" i="21"/>
  <c r="AU20" i="21"/>
  <c r="AU19" i="21"/>
  <c r="AU18" i="21"/>
  <c r="AU17" i="21"/>
  <c r="AU16" i="21"/>
  <c r="AN112" i="21"/>
  <c r="AN111" i="21"/>
  <c r="AN110" i="21"/>
  <c r="AN109" i="21"/>
  <c r="AN108" i="21"/>
  <c r="AN107" i="21"/>
  <c r="AN106" i="21"/>
  <c r="AN105" i="21"/>
  <c r="AN104" i="21"/>
  <c r="AN103" i="21"/>
  <c r="AN102" i="21"/>
  <c r="AN101" i="21"/>
  <c r="AN100" i="21"/>
  <c r="AN99" i="21"/>
  <c r="AN98" i="21"/>
  <c r="AN97" i="21"/>
  <c r="AN96" i="21"/>
  <c r="AN95" i="21"/>
  <c r="AN94" i="21"/>
  <c r="AN93" i="21"/>
  <c r="AN92" i="21"/>
  <c r="AN91" i="21"/>
  <c r="AN90" i="21"/>
  <c r="AN89" i="21"/>
  <c r="AN88" i="21"/>
  <c r="AN87" i="21"/>
  <c r="AN86" i="21"/>
  <c r="AN85" i="21"/>
  <c r="AN84" i="21"/>
  <c r="AN83" i="21"/>
  <c r="AN82" i="21"/>
  <c r="AN81" i="21"/>
  <c r="AN80" i="21"/>
  <c r="AN79" i="21"/>
  <c r="AN78" i="21"/>
  <c r="AN77" i="21"/>
  <c r="AN76" i="21"/>
  <c r="AN75" i="21"/>
  <c r="AN74" i="21"/>
  <c r="AN73" i="21"/>
  <c r="AN72" i="21"/>
  <c r="AN71" i="21"/>
  <c r="AN70" i="21"/>
  <c r="AN69" i="21"/>
  <c r="AN68" i="21"/>
  <c r="AN67" i="21"/>
  <c r="AN66" i="21"/>
  <c r="AN65" i="21"/>
  <c r="AN64" i="21"/>
  <c r="AN63" i="21"/>
  <c r="AN62" i="21"/>
  <c r="AN61" i="21"/>
  <c r="AN60" i="21"/>
  <c r="AN59" i="21"/>
  <c r="AN58" i="21"/>
  <c r="AN57" i="21"/>
  <c r="AN56" i="21"/>
  <c r="AN55" i="21"/>
  <c r="AN54" i="21"/>
  <c r="AN53" i="21"/>
  <c r="AN50" i="21"/>
  <c r="AN49" i="21"/>
  <c r="AN48" i="21"/>
  <c r="AN47" i="21"/>
  <c r="AN46" i="21"/>
  <c r="AN45" i="21"/>
  <c r="AN44" i="21"/>
  <c r="AN43" i="21"/>
  <c r="AN42" i="21"/>
  <c r="AN41" i="21"/>
  <c r="AN40" i="21"/>
  <c r="AN39" i="21"/>
  <c r="AN38" i="21"/>
  <c r="AN37" i="21"/>
  <c r="AN36" i="21"/>
  <c r="AN35" i="21"/>
  <c r="AN34" i="21"/>
  <c r="AN33" i="21"/>
  <c r="AN32" i="21"/>
  <c r="AN31" i="21"/>
  <c r="AN30" i="21"/>
  <c r="AN29" i="21"/>
  <c r="AN28" i="21"/>
  <c r="AN27" i="21"/>
  <c r="AN26" i="21"/>
  <c r="AN25" i="21"/>
  <c r="AN24" i="21"/>
  <c r="AN23" i="21"/>
  <c r="AN22" i="21"/>
  <c r="AN21" i="21"/>
  <c r="AN20" i="21"/>
  <c r="AN19" i="21"/>
  <c r="AN18" i="21"/>
  <c r="AN17" i="21"/>
  <c r="AN16" i="21"/>
  <c r="AG112" i="21"/>
  <c r="AG111" i="21"/>
  <c r="AG110" i="21"/>
  <c r="AG109" i="21"/>
  <c r="AG108" i="21"/>
  <c r="AG107" i="21"/>
  <c r="AG106" i="21"/>
  <c r="AG105" i="21"/>
  <c r="AG104" i="21"/>
  <c r="AG103" i="21"/>
  <c r="AG102" i="21"/>
  <c r="AG101" i="21"/>
  <c r="AG100" i="21"/>
  <c r="AG99" i="21"/>
  <c r="AG98" i="21"/>
  <c r="AG97" i="21"/>
  <c r="AG96" i="21"/>
  <c r="AG95" i="21"/>
  <c r="AG94" i="21"/>
  <c r="AG93" i="21"/>
  <c r="AG92" i="21"/>
  <c r="AG91" i="21"/>
  <c r="AG90" i="21"/>
  <c r="AG89" i="21"/>
  <c r="AG87" i="21"/>
  <c r="AG86" i="21"/>
  <c r="AG85" i="21"/>
  <c r="AG84" i="21"/>
  <c r="AG83" i="21"/>
  <c r="AG82" i="21"/>
  <c r="AG81" i="21"/>
  <c r="AG80" i="21"/>
  <c r="AG79" i="21"/>
  <c r="AG78" i="21"/>
  <c r="AG77" i="21"/>
  <c r="AG76" i="21"/>
  <c r="AG75" i="21"/>
  <c r="AG74" i="21"/>
  <c r="AG73" i="21"/>
  <c r="AG72" i="21"/>
  <c r="AG71" i="21"/>
  <c r="AG70" i="21"/>
  <c r="AG69" i="21"/>
  <c r="AG68" i="21"/>
  <c r="AG67" i="21"/>
  <c r="AG66" i="21"/>
  <c r="AG65" i="21"/>
  <c r="AG64" i="21"/>
  <c r="AG63" i="21"/>
  <c r="AG62" i="21"/>
  <c r="AG61" i="21"/>
  <c r="AG60" i="21"/>
  <c r="AG59" i="21"/>
  <c r="AG58" i="21"/>
  <c r="AG57" i="21"/>
  <c r="AG56" i="21"/>
  <c r="AG55" i="21"/>
  <c r="AG54" i="21"/>
  <c r="AG53" i="21"/>
  <c r="AG50" i="21"/>
  <c r="AG49" i="21"/>
  <c r="AG48" i="21"/>
  <c r="AG47" i="21"/>
  <c r="AG46" i="21"/>
  <c r="AG45" i="21"/>
  <c r="AG44" i="21"/>
  <c r="AG43" i="21"/>
  <c r="AG42" i="21"/>
  <c r="AG41" i="21"/>
  <c r="AG40" i="21"/>
  <c r="AG39" i="21"/>
  <c r="AG38" i="21"/>
  <c r="AG37" i="21"/>
  <c r="AG36" i="21"/>
  <c r="AG35" i="21"/>
  <c r="AG34" i="21"/>
  <c r="AG33" i="21"/>
  <c r="AG32" i="21"/>
  <c r="AG31" i="21"/>
  <c r="AG30" i="21"/>
  <c r="AG29" i="21"/>
  <c r="AG28" i="21"/>
  <c r="AG27" i="21"/>
  <c r="AG26" i="21"/>
  <c r="AG25" i="21"/>
  <c r="AG24" i="21"/>
  <c r="AG23" i="21"/>
  <c r="AG22" i="21"/>
  <c r="AG21" i="21"/>
  <c r="AG20" i="21"/>
  <c r="AG19" i="21"/>
  <c r="AG18" i="21"/>
  <c r="AG17" i="21"/>
  <c r="AG16" i="21"/>
  <c r="Z112" i="21"/>
  <c r="Z111" i="21"/>
  <c r="Z110" i="21"/>
  <c r="Z109" i="21"/>
  <c r="Z108" i="21"/>
  <c r="Z107" i="21"/>
  <c r="Z106" i="21"/>
  <c r="Z105" i="21"/>
  <c r="Z104" i="21"/>
  <c r="Z103" i="21"/>
  <c r="Z102" i="21"/>
  <c r="Z101" i="21"/>
  <c r="Z100" i="21"/>
  <c r="Z99" i="21"/>
  <c r="Z98" i="21"/>
  <c r="Z97" i="21"/>
  <c r="Z96" i="21"/>
  <c r="Z95" i="21"/>
  <c r="Z94" i="21"/>
  <c r="Z93" i="21"/>
  <c r="Z92" i="21"/>
  <c r="Z91" i="21"/>
  <c r="Z90" i="21"/>
  <c r="Z89" i="21"/>
  <c r="Z88" i="21"/>
  <c r="Z87" i="21"/>
  <c r="Z86" i="21"/>
  <c r="Z85" i="21"/>
  <c r="Z84" i="21"/>
  <c r="Z83" i="21"/>
  <c r="Z82" i="21"/>
  <c r="Z81" i="21"/>
  <c r="Z80" i="21"/>
  <c r="Z79" i="21"/>
  <c r="Z78" i="21"/>
  <c r="Z77" i="21"/>
  <c r="Z76" i="21"/>
  <c r="Z75" i="21"/>
  <c r="Z74" i="21"/>
  <c r="Z73" i="21"/>
  <c r="Z72" i="21"/>
  <c r="Z71" i="21"/>
  <c r="Z70" i="21"/>
  <c r="Z69" i="21"/>
  <c r="Z68" i="21"/>
  <c r="Z67" i="21"/>
  <c r="Z66" i="21"/>
  <c r="Z65" i="21"/>
  <c r="Z64" i="21"/>
  <c r="Z63" i="21"/>
  <c r="Z62" i="21"/>
  <c r="Z61" i="21"/>
  <c r="Z60" i="21"/>
  <c r="Z59" i="21"/>
  <c r="Z58" i="21"/>
  <c r="Z57" i="21"/>
  <c r="Z56" i="21"/>
  <c r="Z55" i="21"/>
  <c r="Z54" i="21"/>
  <c r="Z53" i="21"/>
  <c r="Z50" i="21"/>
  <c r="Z49" i="21"/>
  <c r="Z48" i="21"/>
  <c r="Z47" i="21"/>
  <c r="Z46" i="21"/>
  <c r="Z45" i="21"/>
  <c r="Z44" i="21"/>
  <c r="Z43" i="21"/>
  <c r="Z42" i="21"/>
  <c r="Z41" i="21"/>
  <c r="Z40" i="21"/>
  <c r="Z39" i="21"/>
  <c r="Z38" i="21"/>
  <c r="Z37" i="21"/>
  <c r="Z36" i="21"/>
  <c r="Z35" i="21"/>
  <c r="Z34" i="21"/>
  <c r="Z33" i="21"/>
  <c r="Z32" i="21"/>
  <c r="Z31" i="21"/>
  <c r="Z30" i="21"/>
  <c r="Z29" i="21"/>
  <c r="Z28" i="21"/>
  <c r="Z27" i="21"/>
  <c r="Z26" i="21"/>
  <c r="Z25" i="21"/>
  <c r="Z24" i="21"/>
  <c r="Z23" i="21"/>
  <c r="Z22" i="21"/>
  <c r="Z21" i="21"/>
  <c r="Z20" i="21"/>
  <c r="Z19" i="21"/>
  <c r="Z18" i="21"/>
  <c r="Z17" i="21"/>
  <c r="Z16" i="21"/>
  <c r="S50" i="21"/>
  <c r="S49" i="21"/>
  <c r="S48" i="21"/>
  <c r="S47" i="21"/>
  <c r="S46" i="21"/>
  <c r="S45" i="21"/>
  <c r="S44" i="21"/>
  <c r="S43" i="21"/>
  <c r="S42" i="21"/>
  <c r="S41" i="21"/>
  <c r="S40" i="21"/>
  <c r="S39" i="21"/>
  <c r="S38" i="21"/>
  <c r="S37" i="21"/>
  <c r="S36" i="21"/>
  <c r="S35" i="21"/>
  <c r="S34" i="21"/>
  <c r="S33" i="21"/>
  <c r="S32" i="21"/>
  <c r="S31" i="21"/>
  <c r="S30" i="21"/>
  <c r="S29" i="21"/>
  <c r="S28" i="21"/>
  <c r="S27" i="21"/>
  <c r="S26" i="21"/>
  <c r="S25" i="21"/>
  <c r="S24" i="21"/>
  <c r="S23" i="21"/>
  <c r="S22" i="21"/>
  <c r="S21" i="21"/>
  <c r="S20" i="21"/>
  <c r="S19" i="21"/>
  <c r="S18" i="21"/>
  <c r="S17" i="21"/>
  <c r="S16" i="21"/>
  <c r="S112" i="21"/>
  <c r="S111" i="21"/>
  <c r="S110" i="21"/>
  <c r="S109" i="21"/>
  <c r="S108" i="21"/>
  <c r="S107" i="21"/>
  <c r="S106" i="21"/>
  <c r="S105" i="21"/>
  <c r="S104" i="21"/>
  <c r="S103" i="21"/>
  <c r="S102" i="21"/>
  <c r="S101" i="21"/>
  <c r="S100" i="21"/>
  <c r="S99" i="21"/>
  <c r="S98" i="21"/>
  <c r="S97" i="21"/>
  <c r="S96" i="21"/>
  <c r="S95" i="21"/>
  <c r="S94" i="21"/>
  <c r="S93" i="21"/>
  <c r="S92" i="21"/>
  <c r="S91" i="21"/>
  <c r="S90" i="21"/>
  <c r="S89" i="21"/>
  <c r="S88" i="21"/>
  <c r="S87" i="21"/>
  <c r="S86" i="21"/>
  <c r="S85" i="21"/>
  <c r="S84" i="21"/>
  <c r="S83" i="21"/>
  <c r="S82" i="21"/>
  <c r="S81" i="21"/>
  <c r="S80" i="21"/>
  <c r="S79" i="21"/>
  <c r="S78" i="21"/>
  <c r="S77" i="21"/>
  <c r="S76" i="21"/>
  <c r="S75" i="21"/>
  <c r="S74" i="21"/>
  <c r="S73" i="21"/>
  <c r="S72" i="21"/>
  <c r="S71" i="21"/>
  <c r="S70" i="21"/>
  <c r="S69" i="21"/>
  <c r="S68" i="21"/>
  <c r="S67" i="21"/>
  <c r="S66" i="21"/>
  <c r="S65" i="21"/>
  <c r="S64" i="21"/>
  <c r="S63" i="21"/>
  <c r="S62" i="21"/>
  <c r="S61" i="21"/>
  <c r="S60" i="21"/>
  <c r="S59" i="21"/>
  <c r="S58" i="21"/>
  <c r="S57" i="21"/>
  <c r="S56" i="21"/>
  <c r="S55" i="21"/>
  <c r="S54" i="21"/>
  <c r="S53" i="21"/>
  <c r="L112" i="21"/>
  <c r="L111" i="21"/>
  <c r="L110" i="21"/>
  <c r="L109" i="21"/>
  <c r="E109" i="21" s="1"/>
  <c r="L108" i="21"/>
  <c r="L107" i="21"/>
  <c r="L106" i="21"/>
  <c r="L105" i="21"/>
  <c r="E105" i="21" s="1"/>
  <c r="L104" i="21"/>
  <c r="L103" i="21"/>
  <c r="L102" i="21"/>
  <c r="L101" i="21"/>
  <c r="E101" i="21" s="1"/>
  <c r="L100" i="21"/>
  <c r="L99" i="21"/>
  <c r="L98" i="21"/>
  <c r="L97" i="21"/>
  <c r="E97" i="21" s="1"/>
  <c r="L96" i="21"/>
  <c r="L95" i="21"/>
  <c r="L94" i="21"/>
  <c r="L93" i="21"/>
  <c r="E93" i="21" s="1"/>
  <c r="L92" i="21"/>
  <c r="L91" i="21"/>
  <c r="L90" i="21"/>
  <c r="L89" i="21"/>
  <c r="E89" i="21" s="1"/>
  <c r="L88" i="21"/>
  <c r="L87" i="21"/>
  <c r="L86" i="21"/>
  <c r="L85" i="21"/>
  <c r="E85" i="21" s="1"/>
  <c r="L84" i="21"/>
  <c r="L83" i="21"/>
  <c r="L82" i="21"/>
  <c r="L81" i="21"/>
  <c r="E81" i="21" s="1"/>
  <c r="L80" i="21"/>
  <c r="L79" i="21"/>
  <c r="L78" i="21"/>
  <c r="L77" i="21"/>
  <c r="E77" i="21" s="1"/>
  <c r="L76" i="21"/>
  <c r="L75" i="21"/>
  <c r="L74" i="21"/>
  <c r="L73" i="21"/>
  <c r="E73" i="21" s="1"/>
  <c r="L72" i="21"/>
  <c r="L71" i="21"/>
  <c r="L70" i="21"/>
  <c r="L69" i="21"/>
  <c r="E69" i="21" s="1"/>
  <c r="L68" i="21"/>
  <c r="L67" i="21"/>
  <c r="L66" i="21"/>
  <c r="L65" i="21"/>
  <c r="E65" i="21" s="1"/>
  <c r="L64" i="21"/>
  <c r="L63" i="21"/>
  <c r="L62" i="21"/>
  <c r="L61" i="21"/>
  <c r="E61" i="21" s="1"/>
  <c r="L60" i="21"/>
  <c r="L59" i="21"/>
  <c r="L58" i="21"/>
  <c r="L57" i="21"/>
  <c r="E57" i="21" s="1"/>
  <c r="L56" i="21"/>
  <c r="L55" i="21"/>
  <c r="L54" i="21"/>
  <c r="L53" i="21"/>
  <c r="L17" i="21"/>
  <c r="L18" i="21"/>
  <c r="L19" i="21"/>
  <c r="L20" i="21"/>
  <c r="E20" i="21" s="1"/>
  <c r="L21" i="21"/>
  <c r="L22" i="21"/>
  <c r="L23" i="21"/>
  <c r="L24" i="21"/>
  <c r="L25" i="21"/>
  <c r="L26" i="21"/>
  <c r="L27" i="21"/>
  <c r="L28" i="21"/>
  <c r="E28" i="21" s="1"/>
  <c r="L29" i="21"/>
  <c r="L30" i="21"/>
  <c r="L31" i="21"/>
  <c r="L32" i="21"/>
  <c r="E32" i="21" s="1"/>
  <c r="L33" i="21"/>
  <c r="L34" i="21"/>
  <c r="L35" i="21"/>
  <c r="L36" i="21"/>
  <c r="E36" i="21" s="1"/>
  <c r="L37" i="21"/>
  <c r="L38" i="21"/>
  <c r="L39" i="21"/>
  <c r="L40" i="21"/>
  <c r="E40" i="21" s="1"/>
  <c r="L41" i="21"/>
  <c r="L42" i="21"/>
  <c r="L43" i="21"/>
  <c r="L44" i="21"/>
  <c r="E44" i="21" s="1"/>
  <c r="L45" i="21"/>
  <c r="L46" i="21"/>
  <c r="L47" i="21"/>
  <c r="L48" i="21"/>
  <c r="E48" i="21" s="1"/>
  <c r="L49" i="21"/>
  <c r="L50" i="21"/>
  <c r="L16" i="21"/>
  <c r="E16" i="21" l="1"/>
  <c r="E47" i="21"/>
  <c r="E43" i="21"/>
  <c r="E39" i="21"/>
  <c r="E35" i="21"/>
  <c r="E31" i="21"/>
  <c r="E27" i="21"/>
  <c r="E23" i="21"/>
  <c r="E19" i="21"/>
  <c r="E54" i="21"/>
  <c r="E58" i="21"/>
  <c r="E62" i="21"/>
  <c r="E66" i="21"/>
  <c r="E70" i="21"/>
  <c r="E74" i="21"/>
  <c r="E78" i="21"/>
  <c r="E82" i="21"/>
  <c r="E86" i="21"/>
  <c r="E90" i="21"/>
  <c r="E94" i="21"/>
  <c r="E98" i="21"/>
  <c r="E102" i="21"/>
  <c r="E106" i="21"/>
  <c r="E110" i="21"/>
  <c r="E46" i="21"/>
  <c r="E38" i="21"/>
  <c r="E30" i="21"/>
  <c r="E18" i="21"/>
  <c r="E55" i="21"/>
  <c r="E59" i="21"/>
  <c r="E63" i="21"/>
  <c r="E67" i="21"/>
  <c r="E75" i="21"/>
  <c r="E83" i="21"/>
  <c r="E103" i="21"/>
  <c r="E50" i="21"/>
  <c r="E42" i="21"/>
  <c r="E34" i="21"/>
  <c r="E26" i="21"/>
  <c r="E22" i="21"/>
  <c r="E71" i="21"/>
  <c r="E79" i="21"/>
  <c r="E87" i="21"/>
  <c r="E91" i="21"/>
  <c r="E95" i="21"/>
  <c r="E99" i="21"/>
  <c r="E107" i="21"/>
  <c r="E111" i="21"/>
  <c r="E49" i="21"/>
  <c r="E45" i="21"/>
  <c r="E41" i="21"/>
  <c r="E37" i="21"/>
  <c r="E33" i="21"/>
  <c r="E29" i="21"/>
  <c r="E25" i="21"/>
  <c r="E21" i="21"/>
  <c r="E17" i="21"/>
  <c r="E56" i="21"/>
  <c r="E60" i="21"/>
  <c r="E64" i="21"/>
  <c r="E68" i="21"/>
  <c r="E72" i="21"/>
  <c r="E76" i="21"/>
  <c r="E80" i="21"/>
  <c r="E84" i="21"/>
  <c r="E88" i="21"/>
  <c r="E92" i="21"/>
  <c r="E96" i="21"/>
  <c r="E100" i="21"/>
  <c r="E104" i="21"/>
  <c r="E108" i="21"/>
  <c r="E112" i="21"/>
  <c r="BB52" i="21"/>
  <c r="BI15" i="21"/>
  <c r="Z52" i="21"/>
  <c r="AG15" i="21"/>
  <c r="Z15" i="21"/>
  <c r="AU52" i="21"/>
  <c r="BB15" i="21"/>
  <c r="BB114" i="21" s="1"/>
  <c r="L15" i="21"/>
  <c r="E24" i="21"/>
  <c r="L52" i="21"/>
  <c r="L114" i="21" s="1"/>
  <c r="E53" i="21"/>
  <c r="S52" i="21"/>
  <c r="S15" i="21"/>
  <c r="AN52" i="21"/>
  <c r="AU15" i="21"/>
  <c r="AG52" i="21"/>
  <c r="AG114" i="21" s="1"/>
  <c r="AN15" i="21"/>
  <c r="BI52" i="21"/>
  <c r="BI114" i="21" s="1"/>
  <c r="E52" i="21" l="1"/>
  <c r="E15" i="21"/>
  <c r="Z114" i="21"/>
  <c r="S114" i="21"/>
  <c r="E114" i="21"/>
  <c r="AN114" i="21"/>
  <c r="AU114" i="21"/>
  <c r="AI144" i="13"/>
  <c r="K144" i="13" l="1"/>
  <c r="Q144" i="13"/>
  <c r="W144" i="13"/>
  <c r="AC144" i="13"/>
  <c r="M113" i="21" l="1"/>
  <c r="M52" i="21" s="1"/>
  <c r="D112" i="21"/>
  <c r="C112" i="21"/>
  <c r="D111" i="21"/>
  <c r="C111" i="21"/>
  <c r="D110" i="21"/>
  <c r="C110" i="21"/>
  <c r="D109" i="21"/>
  <c r="C109" i="21"/>
  <c r="D108" i="21"/>
  <c r="C108" i="21"/>
  <c r="D107" i="21"/>
  <c r="C107" i="21"/>
  <c r="D106" i="21"/>
  <c r="C106" i="21"/>
  <c r="D105" i="21"/>
  <c r="C105" i="21"/>
  <c r="D104" i="21"/>
  <c r="C104" i="21"/>
  <c r="D103" i="21"/>
  <c r="C103" i="21"/>
  <c r="D102" i="21"/>
  <c r="C102" i="21"/>
  <c r="D101" i="21"/>
  <c r="C101" i="21"/>
  <c r="D100" i="21"/>
  <c r="C100" i="21"/>
  <c r="D99" i="21"/>
  <c r="C99" i="21"/>
  <c r="D98" i="21"/>
  <c r="C98" i="21"/>
  <c r="D97" i="21"/>
  <c r="C97" i="21"/>
  <c r="D96" i="21"/>
  <c r="C96" i="21"/>
  <c r="D95" i="21"/>
  <c r="C95" i="21"/>
  <c r="D94" i="21"/>
  <c r="C94" i="21"/>
  <c r="D93" i="21"/>
  <c r="C93" i="21"/>
  <c r="D92" i="21"/>
  <c r="C92" i="21"/>
  <c r="D91" i="21"/>
  <c r="C91" i="21"/>
  <c r="D90" i="21"/>
  <c r="C90" i="21"/>
  <c r="D89" i="21"/>
  <c r="C89" i="21"/>
  <c r="D88" i="21"/>
  <c r="C88" i="21"/>
  <c r="D87" i="21"/>
  <c r="C87" i="21"/>
  <c r="D86" i="21"/>
  <c r="C86" i="21"/>
  <c r="D85" i="21"/>
  <c r="C85" i="21"/>
  <c r="D84" i="21"/>
  <c r="C84" i="21"/>
  <c r="D83" i="21"/>
  <c r="C83" i="21"/>
  <c r="D82" i="21"/>
  <c r="C82" i="21"/>
  <c r="D81" i="21"/>
  <c r="C81" i="21"/>
  <c r="D80" i="21"/>
  <c r="C80" i="21"/>
  <c r="D79" i="21"/>
  <c r="C79" i="21"/>
  <c r="D78" i="21"/>
  <c r="C78" i="21"/>
  <c r="D77" i="21"/>
  <c r="C77" i="21"/>
  <c r="D76" i="21"/>
  <c r="C76" i="21"/>
  <c r="D75" i="21"/>
  <c r="C75" i="21"/>
  <c r="D74" i="21"/>
  <c r="C74" i="21"/>
  <c r="D73" i="21"/>
  <c r="C73" i="21"/>
  <c r="D72" i="21"/>
  <c r="C72" i="21"/>
  <c r="D71" i="21"/>
  <c r="C71" i="21"/>
  <c r="D70" i="21"/>
  <c r="C70" i="21"/>
  <c r="D69" i="21"/>
  <c r="C69" i="21"/>
  <c r="D68" i="21"/>
  <c r="C68" i="21"/>
  <c r="D67" i="21"/>
  <c r="C67" i="21"/>
  <c r="D66" i="21"/>
  <c r="C66" i="21"/>
  <c r="D65" i="21"/>
  <c r="C65" i="21"/>
  <c r="D64" i="21"/>
  <c r="C64" i="21"/>
  <c r="D63" i="21"/>
  <c r="C63" i="21"/>
  <c r="D62" i="21"/>
  <c r="C62" i="21"/>
  <c r="D61" i="21"/>
  <c r="C61" i="21"/>
  <c r="D60" i="21"/>
  <c r="C60" i="21"/>
  <c r="D59" i="21"/>
  <c r="C59" i="21"/>
  <c r="D58" i="21"/>
  <c r="C58" i="21"/>
  <c r="D57" i="21"/>
  <c r="C57" i="21"/>
  <c r="D56" i="21"/>
  <c r="C56" i="21"/>
  <c r="D55" i="21"/>
  <c r="C55" i="21"/>
  <c r="D54" i="21"/>
  <c r="C54" i="21"/>
  <c r="F53" i="21"/>
  <c r="D53" i="21"/>
  <c r="C53" i="21"/>
  <c r="BJ52" i="21"/>
  <c r="BH52" i="21"/>
  <c r="BG52" i="21"/>
  <c r="BC52" i="21"/>
  <c r="BA52" i="21"/>
  <c r="AZ52" i="21"/>
  <c r="AV52" i="21"/>
  <c r="AT52" i="21"/>
  <c r="AS52" i="21"/>
  <c r="AO52" i="21"/>
  <c r="AM52" i="21"/>
  <c r="AL52" i="21"/>
  <c r="AH52" i="21"/>
  <c r="AF52" i="21"/>
  <c r="AE52" i="21"/>
  <c r="AA52" i="21"/>
  <c r="Y52" i="21"/>
  <c r="X52" i="21"/>
  <c r="T52" i="21"/>
  <c r="R52" i="21"/>
  <c r="Q52" i="21"/>
  <c r="K52" i="21"/>
  <c r="J52" i="21"/>
  <c r="F50" i="21"/>
  <c r="D50" i="21"/>
  <c r="C50" i="21"/>
  <c r="J49" i="21"/>
  <c r="C49" i="21" s="1"/>
  <c r="F49" i="21"/>
  <c r="D49" i="21"/>
  <c r="F48" i="21"/>
  <c r="D48" i="21"/>
  <c r="C48" i="21"/>
  <c r="F47" i="21"/>
  <c r="D47" i="21"/>
  <c r="C47" i="21"/>
  <c r="F46" i="21"/>
  <c r="D46" i="21"/>
  <c r="C46" i="21"/>
  <c r="F45" i="21"/>
  <c r="D45" i="21"/>
  <c r="C45" i="21"/>
  <c r="F44" i="21"/>
  <c r="D44" i="21"/>
  <c r="C44" i="21"/>
  <c r="F43" i="21"/>
  <c r="D43" i="21"/>
  <c r="C43" i="21"/>
  <c r="F42" i="21"/>
  <c r="D42" i="21"/>
  <c r="C42" i="21"/>
  <c r="F41" i="21"/>
  <c r="D41" i="21"/>
  <c r="C41" i="21"/>
  <c r="F40" i="21"/>
  <c r="D40" i="21"/>
  <c r="C40" i="21"/>
  <c r="F39" i="21"/>
  <c r="D39" i="21"/>
  <c r="C39" i="21"/>
  <c r="F38" i="21"/>
  <c r="D38" i="21"/>
  <c r="C38" i="21"/>
  <c r="F37" i="21"/>
  <c r="D37" i="21"/>
  <c r="C37" i="21"/>
  <c r="F36" i="21"/>
  <c r="D36" i="21"/>
  <c r="C36" i="21"/>
  <c r="F35" i="21"/>
  <c r="D35" i="21"/>
  <c r="C35" i="21"/>
  <c r="F34" i="21"/>
  <c r="D34" i="21"/>
  <c r="C34" i="21"/>
  <c r="F33" i="21"/>
  <c r="D33" i="21"/>
  <c r="C33" i="21"/>
  <c r="F32" i="21"/>
  <c r="D32" i="21"/>
  <c r="C32" i="21"/>
  <c r="F31" i="21"/>
  <c r="D31" i="21"/>
  <c r="C31" i="21"/>
  <c r="F30" i="21"/>
  <c r="D30" i="21"/>
  <c r="C30" i="21"/>
  <c r="F29" i="21"/>
  <c r="D29" i="21"/>
  <c r="C29" i="21"/>
  <c r="F28" i="21"/>
  <c r="D28" i="21"/>
  <c r="C28" i="21"/>
  <c r="F27" i="21"/>
  <c r="D27" i="21"/>
  <c r="C27" i="21"/>
  <c r="F26" i="21"/>
  <c r="D26" i="21"/>
  <c r="C26" i="21"/>
  <c r="F25" i="21"/>
  <c r="D25" i="21"/>
  <c r="C25" i="21"/>
  <c r="F24" i="21"/>
  <c r="D24" i="21"/>
  <c r="C24" i="21"/>
  <c r="F23" i="21"/>
  <c r="D23" i="21"/>
  <c r="C23" i="21"/>
  <c r="F22" i="21"/>
  <c r="D22" i="21"/>
  <c r="C22" i="21"/>
  <c r="F21" i="21"/>
  <c r="D21" i="21"/>
  <c r="C21" i="21"/>
  <c r="F20" i="21"/>
  <c r="D20" i="21"/>
  <c r="C20" i="21"/>
  <c r="F19" i="21"/>
  <c r="D19" i="21"/>
  <c r="C19" i="21"/>
  <c r="J18" i="21"/>
  <c r="C18" i="21" s="1"/>
  <c r="F18" i="21"/>
  <c r="D18" i="21"/>
  <c r="F17" i="21"/>
  <c r="D17" i="21"/>
  <c r="C17" i="21"/>
  <c r="F16" i="21"/>
  <c r="D16" i="21"/>
  <c r="C16" i="21"/>
  <c r="BJ15" i="21"/>
  <c r="BH15" i="21"/>
  <c r="BG15" i="21"/>
  <c r="BC15" i="21"/>
  <c r="BA15" i="21"/>
  <c r="AZ15" i="21"/>
  <c r="AV15" i="21"/>
  <c r="AT15" i="21"/>
  <c r="AS15" i="21"/>
  <c r="AO15" i="21"/>
  <c r="AM15" i="21"/>
  <c r="AL15" i="21"/>
  <c r="AH15" i="21"/>
  <c r="AF15" i="21"/>
  <c r="AE15" i="21"/>
  <c r="AA15" i="21"/>
  <c r="Y15" i="21"/>
  <c r="X15" i="21"/>
  <c r="T15" i="21"/>
  <c r="R15" i="21"/>
  <c r="Q15" i="21"/>
  <c r="M15" i="21"/>
  <c r="K15" i="21"/>
  <c r="D15" i="21" l="1"/>
  <c r="BA114" i="21"/>
  <c r="Y114" i="21"/>
  <c r="AM114" i="21"/>
  <c r="AV114" i="21"/>
  <c r="R114" i="21"/>
  <c r="AL114" i="21"/>
  <c r="AT114" i="21"/>
  <c r="BC114" i="21"/>
  <c r="C52" i="21"/>
  <c r="AS114" i="21"/>
  <c r="D52" i="21"/>
  <c r="D114" i="21" s="1"/>
  <c r="Q114" i="21"/>
  <c r="AE114" i="21"/>
  <c r="BG114" i="21"/>
  <c r="K114" i="21"/>
  <c r="X114" i="21"/>
  <c r="AF114" i="21"/>
  <c r="AO114" i="21"/>
  <c r="AZ114" i="21"/>
  <c r="BH114" i="21"/>
  <c r="AA114" i="21"/>
  <c r="T114" i="21"/>
  <c r="BJ114" i="21"/>
  <c r="F52" i="21"/>
  <c r="AH114" i="21"/>
  <c r="M114" i="21"/>
  <c r="F15" i="21"/>
  <c r="C15" i="21"/>
  <c r="J15" i="21"/>
  <c r="AH84" i="13"/>
  <c r="AB84" i="13"/>
  <c r="V84" i="13"/>
  <c r="P84" i="13"/>
  <c r="AH47" i="13"/>
  <c r="AB47" i="13"/>
  <c r="V47" i="13"/>
  <c r="P47" i="13"/>
  <c r="V13" i="13"/>
  <c r="AH13" i="13"/>
  <c r="AB13" i="13"/>
  <c r="P13" i="13"/>
  <c r="J84" i="13"/>
  <c r="J13" i="13"/>
  <c r="J47" i="13"/>
  <c r="C114" i="21" l="1"/>
  <c r="J114" i="21"/>
  <c r="F114" i="21"/>
  <c r="AI47" i="13"/>
  <c r="AG47" i="13"/>
  <c r="E82" i="13"/>
  <c r="C82" i="13"/>
  <c r="E44" i="13"/>
  <c r="E45" i="13"/>
  <c r="C44" i="13"/>
  <c r="C45" i="13"/>
  <c r="I47" i="13"/>
  <c r="C22" i="28" l="1"/>
  <c r="E147" i="13" l="1"/>
  <c r="G147" i="13" l="1"/>
  <c r="W149" i="13" l="1"/>
  <c r="C144" i="13"/>
  <c r="C143" i="13"/>
  <c r="C142" i="13"/>
  <c r="C141" i="13"/>
  <c r="C140" i="13"/>
  <c r="C139" i="13"/>
  <c r="C138" i="13"/>
  <c r="C137" i="13"/>
  <c r="C136" i="13"/>
  <c r="C135" i="13"/>
  <c r="C134" i="13"/>
  <c r="C133" i="13"/>
  <c r="C132" i="13"/>
  <c r="C131" i="13"/>
  <c r="C130" i="13"/>
  <c r="C129" i="13"/>
  <c r="C128" i="13"/>
  <c r="C127" i="13"/>
  <c r="C126" i="13"/>
  <c r="C125" i="13"/>
  <c r="C124" i="13"/>
  <c r="C123"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E85" i="13"/>
  <c r="C93" i="24" s="1"/>
  <c r="C85" i="13"/>
  <c r="AG84" i="13"/>
  <c r="AA84" i="13"/>
  <c r="U84" i="13"/>
  <c r="O84" i="13"/>
  <c r="I84"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AA47" i="13"/>
  <c r="U47" i="13"/>
  <c r="O47"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AI13" i="13"/>
  <c r="AG13" i="13"/>
  <c r="AA13" i="13"/>
  <c r="U13" i="13"/>
  <c r="O13" i="13"/>
  <c r="I13" i="13"/>
  <c r="AC47" i="13" l="1"/>
  <c r="E53" i="13"/>
  <c r="E122" i="13"/>
  <c r="AC13" i="13"/>
  <c r="E110" i="13"/>
  <c r="C84" i="13"/>
  <c r="E94" i="13"/>
  <c r="E99" i="13"/>
  <c r="E64" i="13"/>
  <c r="E76" i="13"/>
  <c r="E81" i="13"/>
  <c r="E88" i="13"/>
  <c r="E31" i="13"/>
  <c r="E37" i="13"/>
  <c r="E38" i="13"/>
  <c r="E42" i="13"/>
  <c r="E78" i="13"/>
  <c r="W84" i="13"/>
  <c r="E144" i="13"/>
  <c r="E48" i="13"/>
  <c r="E56" i="13"/>
  <c r="E60" i="13"/>
  <c r="E62" i="13"/>
  <c r="E67" i="13"/>
  <c r="E102" i="13"/>
  <c r="E106" i="13"/>
  <c r="E108" i="13"/>
  <c r="E118" i="13"/>
  <c r="E120" i="13"/>
  <c r="E133" i="13"/>
  <c r="Q13" i="13"/>
  <c r="E27" i="13"/>
  <c r="E28" i="13"/>
  <c r="E58" i="13"/>
  <c r="E73" i="13"/>
  <c r="E80" i="13"/>
  <c r="K148" i="13"/>
  <c r="AI148" i="13"/>
  <c r="AI149" i="13" s="1"/>
  <c r="E91" i="13"/>
  <c r="E98" i="13"/>
  <c r="E100" i="13"/>
  <c r="E124" i="13"/>
  <c r="E132" i="13"/>
  <c r="E134" i="13"/>
  <c r="C47" i="13"/>
  <c r="E52" i="13"/>
  <c r="E54" i="13"/>
  <c r="E68" i="13"/>
  <c r="Q148" i="13"/>
  <c r="Q149" i="13" s="1"/>
  <c r="Q47" i="13"/>
  <c r="E86" i="13"/>
  <c r="Q84" i="13"/>
  <c r="C29" i="29" s="1"/>
  <c r="E96" i="13"/>
  <c r="E107" i="13"/>
  <c r="E119" i="13"/>
  <c r="E126" i="13"/>
  <c r="E130" i="13"/>
  <c r="E36" i="13"/>
  <c r="E50" i="13"/>
  <c r="E61" i="13"/>
  <c r="E72" i="13"/>
  <c r="E74" i="13"/>
  <c r="AC148" i="13"/>
  <c r="AC149" i="13" s="1"/>
  <c r="E90" i="13"/>
  <c r="E92" i="13"/>
  <c r="E104" i="13"/>
  <c r="E112" i="13"/>
  <c r="E127" i="13"/>
  <c r="E128" i="13"/>
  <c r="U146" i="13"/>
  <c r="T147" i="13" s="1"/>
  <c r="T149" i="13" s="1"/>
  <c r="T150" i="13" s="1"/>
  <c r="C13" i="13"/>
  <c r="E19" i="13"/>
  <c r="E22" i="13"/>
  <c r="E26" i="13"/>
  <c r="E30" i="13"/>
  <c r="E32" i="13"/>
  <c r="E41" i="13"/>
  <c r="K47" i="13"/>
  <c r="E51" i="13"/>
  <c r="E59" i="13"/>
  <c r="E71" i="13"/>
  <c r="E79" i="13"/>
  <c r="I146" i="13"/>
  <c r="H147" i="13" s="1"/>
  <c r="H149" i="13" s="1"/>
  <c r="H150" i="13" s="1"/>
  <c r="E18" i="13" s="1"/>
  <c r="AA146" i="13"/>
  <c r="Z147" i="13" s="1"/>
  <c r="Z149" i="13" s="1"/>
  <c r="Z150" i="13" s="1"/>
  <c r="E89" i="13"/>
  <c r="E113" i="13"/>
  <c r="E131" i="13"/>
  <c r="E137" i="13"/>
  <c r="E138" i="13"/>
  <c r="E142" i="13"/>
  <c r="E15" i="13"/>
  <c r="E35" i="13"/>
  <c r="E40" i="13"/>
  <c r="E43" i="13"/>
  <c r="E49" i="13"/>
  <c r="E57" i="13"/>
  <c r="E65" i="13"/>
  <c r="E66" i="13"/>
  <c r="E77" i="13"/>
  <c r="O146" i="13"/>
  <c r="N147" i="13" s="1"/>
  <c r="N149" i="13" s="1"/>
  <c r="N150" i="13" s="1"/>
  <c r="AC84" i="13"/>
  <c r="E29" i="29" s="1"/>
  <c r="E95" i="13"/>
  <c r="E103" i="13"/>
  <c r="E123" i="13"/>
  <c r="E129" i="13"/>
  <c r="E23" i="13"/>
  <c r="E97" i="13"/>
  <c r="E105" i="13"/>
  <c r="E114" i="13"/>
  <c r="E117" i="13"/>
  <c r="E125" i="13"/>
  <c r="E141" i="13"/>
  <c r="W13" i="13"/>
  <c r="E17" i="13"/>
  <c r="E20" i="13"/>
  <c r="E21" i="13"/>
  <c r="E24" i="13"/>
  <c r="E25" i="13"/>
  <c r="E29" i="13"/>
  <c r="E33" i="13"/>
  <c r="E34" i="13"/>
  <c r="E39" i="13"/>
  <c r="W47" i="13"/>
  <c r="E55" i="13"/>
  <c r="E63" i="13"/>
  <c r="E69" i="13"/>
  <c r="E70" i="13"/>
  <c r="E75" i="13"/>
  <c r="AG146" i="13"/>
  <c r="E87" i="13"/>
  <c r="E93" i="13"/>
  <c r="E101" i="13"/>
  <c r="E109" i="13"/>
  <c r="E115" i="13"/>
  <c r="E116" i="13"/>
  <c r="E121" i="13"/>
  <c r="E135" i="13"/>
  <c r="E136" i="13"/>
  <c r="E139" i="13"/>
  <c r="E140" i="13"/>
  <c r="E143" i="13"/>
  <c r="K84" i="13"/>
  <c r="B29" i="29" s="1"/>
  <c r="B32" i="29" s="1"/>
  <c r="AI84" i="13"/>
  <c r="F29" i="29" s="1"/>
  <c r="F10" i="29" l="1"/>
  <c r="F8" i="29" s="1"/>
  <c r="F32" i="29"/>
  <c r="F22" i="29" s="1"/>
  <c r="E10" i="29"/>
  <c r="E8" i="29" s="1"/>
  <c r="E32" i="29"/>
  <c r="E22" i="29" s="1"/>
  <c r="C32" i="29"/>
  <c r="C22" i="29" s="1"/>
  <c r="C10" i="29"/>
  <c r="C8" i="29" s="1"/>
  <c r="D18" i="28"/>
  <c r="B10" i="29"/>
  <c r="H29" i="29"/>
  <c r="H32" i="29" s="1"/>
  <c r="H22" i="29" s="1"/>
  <c r="B22" i="29"/>
  <c r="C92" i="24"/>
  <c r="C153" i="24" s="1"/>
  <c r="C146" i="13"/>
  <c r="E16" i="13"/>
  <c r="K13" i="13"/>
  <c r="Q146" i="13"/>
  <c r="Q150" i="13" s="1"/>
  <c r="K150" i="13"/>
  <c r="E148" i="13"/>
  <c r="E150" i="13" s="1"/>
  <c r="E47" i="13"/>
  <c r="AC146" i="13"/>
  <c r="AC150" i="13" s="1"/>
  <c r="E84" i="13"/>
  <c r="AI146" i="13"/>
  <c r="AI150" i="13" s="1"/>
  <c r="W146" i="13"/>
  <c r="W150" i="13" s="1"/>
  <c r="F47" i="29" l="1"/>
  <c r="E47" i="29"/>
  <c r="C47" i="29"/>
  <c r="D7" i="28"/>
  <c r="H10" i="29"/>
  <c r="H8" i="29" s="1"/>
  <c r="H47" i="29" s="1"/>
  <c r="B8" i="29"/>
  <c r="B47" i="29" s="1"/>
  <c r="C17" i="28"/>
  <c r="E14" i="13"/>
  <c r="K146" i="13"/>
  <c r="K151" i="13" s="1"/>
  <c r="C16" i="28" l="1"/>
  <c r="E15" i="28"/>
  <c r="C18" i="28"/>
  <c r="D15" i="28"/>
  <c r="E13" i="13"/>
  <c r="E146" i="13" s="1"/>
  <c r="C6" i="24"/>
  <c r="C15" i="28" l="1"/>
  <c r="D6" i="28"/>
  <c r="C7" i="28"/>
  <c r="C6" i="28" s="1"/>
  <c r="P5" i="2"/>
  <c r="P6" i="2"/>
  <c r="N7" i="2"/>
  <c r="P7" i="2" s="1"/>
  <c r="N4" i="2"/>
  <c r="P4" i="2" s="1"/>
  <c r="L10" i="2"/>
  <c r="I3" i="2"/>
  <c r="K3" i="2" s="1"/>
  <c r="I4" i="2"/>
  <c r="K4" i="2" s="1"/>
  <c r="I5" i="2"/>
  <c r="K5" i="2" s="1"/>
  <c r="I6" i="2"/>
  <c r="K6" i="2" s="1"/>
  <c r="I7" i="2"/>
  <c r="K7" i="2" s="1"/>
  <c r="I8" i="2"/>
  <c r="K8" i="2" s="1"/>
  <c r="I9" i="2"/>
  <c r="K9" i="2" s="1"/>
  <c r="I2" i="2"/>
  <c r="K2" i="2" s="1"/>
  <c r="G11" i="2"/>
  <c r="D3" i="2"/>
  <c r="F3" i="2" s="1"/>
  <c r="D4" i="2"/>
  <c r="F4" i="2" s="1"/>
  <c r="D5" i="2"/>
  <c r="F5" i="2" s="1"/>
  <c r="D6" i="2"/>
  <c r="F6" i="2" s="1"/>
  <c r="D7" i="2"/>
  <c r="F7" i="2" s="1"/>
  <c r="D8" i="2"/>
  <c r="F8" i="2" s="1"/>
  <c r="D9" i="2"/>
  <c r="F9" i="2" s="1"/>
  <c r="D2" i="2"/>
  <c r="F2" i="2" s="1"/>
  <c r="B11" i="2"/>
  <c r="K11" i="2" l="1"/>
  <c r="P10" i="2"/>
  <c r="F11" i="2"/>
</calcChain>
</file>

<file path=xl/sharedStrings.xml><?xml version="1.0" encoding="utf-8"?>
<sst xmlns="http://schemas.openxmlformats.org/spreadsheetml/2006/main" count="3395" uniqueCount="611">
  <si>
    <t>COMISIÓN ESTATAL DEL AGUA</t>
  </si>
  <si>
    <t>VOCALÍA EJECUTIVA</t>
  </si>
  <si>
    <t>UNIDAD DE ASUNTOS JURÍDICOS</t>
  </si>
  <si>
    <t>DIRECCIÓN GENERAL DE ADMNISTRACIÓN Y FINANZAS</t>
  </si>
  <si>
    <t>DIRECCION GENERAL DE INFRAESTRUCTURA HIDRÁULICA URBANA</t>
  </si>
  <si>
    <t>DIRECCIÓN GENERAL DE INFRAESTRUCTURA HIDROAGRICOLA</t>
  </si>
  <si>
    <t>DIRECCIÓN GENERAL DE DESARROLLO Y FORTALECIMIENTO INSTITUCIONAL</t>
  </si>
  <si>
    <t>DIRECCIÓN GENERAL DE COSTOS CONCURSOS Y CONTRATOS</t>
  </si>
  <si>
    <t>CVE. PARTIDA PRESUPUESTAL</t>
  </si>
  <si>
    <t>DESCRIPCION</t>
  </si>
  <si>
    <t>Materiales y suministros</t>
  </si>
  <si>
    <t>Materiales, útiles y equipos menores de oficina</t>
  </si>
  <si>
    <t>Materiales y útiles de impresión y reproducción</t>
  </si>
  <si>
    <t>Materiales y útiles para el procesamiento de equipos y bienes informáticos</t>
  </si>
  <si>
    <t>Material para información</t>
  </si>
  <si>
    <t>Material de limpieza</t>
  </si>
  <si>
    <t>Materiales educativos</t>
  </si>
  <si>
    <t>Placas, engomados, calcomanías y hologramas</t>
  </si>
  <si>
    <t>Emision de Licencias de Conducir</t>
  </si>
  <si>
    <t>Productos alimenticios para el personal en las instalaciones</t>
  </si>
  <si>
    <t>Adquisición de agua potable</t>
  </si>
  <si>
    <t>Utensilios para el servicio de alimentación</t>
  </si>
  <si>
    <t>Otros productos adquiridos como Materia prima</t>
  </si>
  <si>
    <t>Cemento y productos de concreto</t>
  </si>
  <si>
    <t>Yeso, cal y productos de yeso</t>
  </si>
  <si>
    <t>Madera y productos de madera</t>
  </si>
  <si>
    <t>Vidrio y productos de vidrio</t>
  </si>
  <si>
    <t>Material eléctrico y electrónico</t>
  </si>
  <si>
    <t>Materiales y complementarios</t>
  </si>
  <si>
    <t>Otros materiales y artículos de construcción y reparación</t>
  </si>
  <si>
    <t>Productos quimicos basicos</t>
  </si>
  <si>
    <t>Fertilizantes, Pesticidas y otros Agroquímicos</t>
  </si>
  <si>
    <t>Medicinas y productos farmacéuticos</t>
  </si>
  <si>
    <t>Materiales, accesorios y suministro de laboratorios</t>
  </si>
  <si>
    <t>Otros Productos Quimicos</t>
  </si>
  <si>
    <t>Combustibles</t>
  </si>
  <si>
    <t>Lubricantes y aditivos</t>
  </si>
  <si>
    <t>Vestuario y uniformes</t>
  </si>
  <si>
    <t>Prendas de seguridad y protección personal</t>
  </si>
  <si>
    <t>Herramientas menores</t>
  </si>
  <si>
    <t>Refacciones y Accesorios Menores de Edificios</t>
  </si>
  <si>
    <t>Refacciones y accesorios menores de equipo de computo y tecnologías de la información</t>
  </si>
  <si>
    <t>Refacciones y accesorios menores de equipo de trasporte</t>
  </si>
  <si>
    <t>Refacciones y Accesorios Menores de Maquinaria Y Otros Equipos</t>
  </si>
  <si>
    <t>Servicios generales</t>
  </si>
  <si>
    <t>Energía eléctrica</t>
  </si>
  <si>
    <t>Gas</t>
  </si>
  <si>
    <t>Agua Potable</t>
  </si>
  <si>
    <t>Telefonía tradicional</t>
  </si>
  <si>
    <t>Telefonía celular</t>
  </si>
  <si>
    <t>Servicio de Telecomunicaciones y Satelites</t>
  </si>
  <si>
    <t>Servicios de acceso a internet, redes y procesamiento de información</t>
  </si>
  <si>
    <t>Servicio postal</t>
  </si>
  <si>
    <t>Arrendamiento de Terrenos</t>
  </si>
  <si>
    <t>Arrendamiento de Edificios</t>
  </si>
  <si>
    <t>Arrendamiento de Muebles, Maquinaria y Equipo</t>
  </si>
  <si>
    <t>Arrendamiento de Equipo y Bienes Informaticos</t>
  </si>
  <si>
    <t>Arrendamiento de Equipo de Transporte</t>
  </si>
  <si>
    <t>Arrendamiento maquinaria, otros equipos y herramientas</t>
  </si>
  <si>
    <t>Otros Arrendamientos</t>
  </si>
  <si>
    <t>Servicios legales, de contabilidad, auditorias y relacionados</t>
  </si>
  <si>
    <t>Servicios de Diseño, Arquitectura, Ingeniería y Actividades Relacionadas</t>
  </si>
  <si>
    <t>Servicios de Informática</t>
  </si>
  <si>
    <t>servicios de Consultorias</t>
  </si>
  <si>
    <t>Servicios de capacitación</t>
  </si>
  <si>
    <t>Apoyos a Comisarios Públicos</t>
  </si>
  <si>
    <t>Impresiones y publicaciones oficiales</t>
  </si>
  <si>
    <t>Licitaciones, convenios y convocatorias</t>
  </si>
  <si>
    <t>Servicio de fotocopiado en las instalaciones de las dependencias y entidades</t>
  </si>
  <si>
    <t>Servicios de vigilancia</t>
  </si>
  <si>
    <t>Servicios profesionales, cientificos y tecnicos integrales</t>
  </si>
  <si>
    <t xml:space="preserve">Servicios Integrales </t>
  </si>
  <si>
    <t>Servicios financieros y bancarios</t>
  </si>
  <si>
    <t>Servicio de Recaudación, Traslado y Custodia de valores</t>
  </si>
  <si>
    <t>Seguros de responsabilidad patrimonial y fianzas</t>
  </si>
  <si>
    <t>Fletes y maniobras</t>
  </si>
  <si>
    <t>Mantenimiento y conservación de inmuebles</t>
  </si>
  <si>
    <t>Mantenimiento y conservación de mobiliario y equipo</t>
  </si>
  <si>
    <t>Instalaciones</t>
  </si>
  <si>
    <t>Mantenimiento y conservación de bienes informáticos</t>
  </si>
  <si>
    <t>Mantenimiento y Conservación de Equipo de Transporte</t>
  </si>
  <si>
    <t>Mantenimiento y conservación de maquinaria y equipo</t>
  </si>
  <si>
    <t>Mantenimiento y conservación de heraamientas, maquinas herramientas, instrumentos, utiles y equipo</t>
  </si>
  <si>
    <t>Servicios de limpieza y manejo de desechos</t>
  </si>
  <si>
    <t>Servicios de jardinería y fumigación</t>
  </si>
  <si>
    <t>Difusión por Radio, Televisión y otros medios de mensajes sobre Programas y actividades Gubernamentales</t>
  </si>
  <si>
    <t>Servicio  de Revelado de Fotografías</t>
  </si>
  <si>
    <t>SERVICIOS DE LA INDUSTRIA FILMICA, DEL SONIDO Y DE</t>
  </si>
  <si>
    <t>Otros servicios de información</t>
  </si>
  <si>
    <t>Pasajes aéreos nacionales</t>
  </si>
  <si>
    <t>Pasajes aéreos internacionales</t>
  </si>
  <si>
    <t>Pasajes terrestres</t>
  </si>
  <si>
    <t>Viáticos en el país</t>
  </si>
  <si>
    <t>Gastos de camino</t>
  </si>
  <si>
    <t>Viáticos en el extranjero</t>
  </si>
  <si>
    <t>Servicios integrales de traslado y viáticos</t>
  </si>
  <si>
    <t>Cuotas</t>
  </si>
  <si>
    <t>Gastos de ceremonial</t>
  </si>
  <si>
    <t>Gasto de Orden Social y Cultural</t>
  </si>
  <si>
    <t>Congresos y convenciones</t>
  </si>
  <si>
    <t>Gtso de atencion y promocion</t>
  </si>
  <si>
    <t>Impuestos y derechos</t>
  </si>
  <si>
    <t>Penas, multas, accesorios y actualizaciones</t>
  </si>
  <si>
    <t>Otros gastos por responsabilidades</t>
  </si>
  <si>
    <t>TOTAL</t>
  </si>
  <si>
    <t>Impuesto sobre Nominas</t>
  </si>
  <si>
    <t>REFACCIONES Y ACCESORIOS MENORES DE EQUIPO</t>
  </si>
  <si>
    <t>oic</t>
  </si>
  <si>
    <t>26101 jun</t>
  </si>
  <si>
    <t>29601 jun</t>
  </si>
  <si>
    <t>29801 jun</t>
  </si>
  <si>
    <t>Refacciones y accesorios menores de mobiliario y equipo de administracion, educaconal y recreativo</t>
  </si>
  <si>
    <t>DIRECCIÓN GENERAL</t>
  </si>
  <si>
    <t xml:space="preserve">	Clasificación Programatica</t>
  </si>
  <si>
    <t>E208K12APROVECHAMIENTO, DISTRIBUCIÓN Y MANEJO DEL AGUA</t>
  </si>
  <si>
    <t>287COORDINACIÓN ADMINISTRATIVA</t>
  </si>
  <si>
    <t>APOBLACIÓN ABIERTA</t>
  </si>
  <si>
    <t>1ADMINISTRATIVO Y DE SERVICIO PÚBLICO</t>
  </si>
  <si>
    <t>448AGUA POTABLE Y ALCANTARILLADO</t>
  </si>
  <si>
    <t>412CONTRATACIÓN DE OBRA PÚBLICA</t>
  </si>
  <si>
    <t>274INFRAESTRUCTURA HIDROAGRÍCOLA</t>
  </si>
  <si>
    <t>Organismo Operador de Guaymas</t>
  </si>
  <si>
    <t>Organismo Operador de Empalme</t>
  </si>
  <si>
    <t>Organismo Operador de San Carlos</t>
  </si>
  <si>
    <t>Organismo Operador de Vicam</t>
  </si>
  <si>
    <t>Servicios personales</t>
  </si>
  <si>
    <t>Sueldos</t>
  </si>
  <si>
    <t>Sueldo diferencial por zona</t>
  </si>
  <si>
    <t>Remuneraciones Diversas</t>
  </si>
  <si>
    <t>Remuneraciones por sustitucion de personal</t>
  </si>
  <si>
    <t>Riesgo laboral</t>
  </si>
  <si>
    <t>Ayuda para habitación</t>
  </si>
  <si>
    <t>Ayuda para despensa</t>
  </si>
  <si>
    <t>Ayuda para energía electrica</t>
  </si>
  <si>
    <t xml:space="preserve">Honorarios  </t>
  </si>
  <si>
    <t>Primas por años de servicios efectivos prestados</t>
  </si>
  <si>
    <t>Prima vacacional y dominical</t>
  </si>
  <si>
    <t>Aguinaldo o gratificacion de fin de año</t>
  </si>
  <si>
    <t>Compensación por ajuste de calendario</t>
  </si>
  <si>
    <t>Compensación por bono navideño</t>
  </si>
  <si>
    <t>Remuneraciones por Horas Extraordinarias</t>
  </si>
  <si>
    <t>Estimulos al personal de confianza</t>
  </si>
  <si>
    <t>Otras prestaciones de seguridad social</t>
  </si>
  <si>
    <t>Aportaciones por servicio medico del isssteson</t>
  </si>
  <si>
    <t>Pagas por defunción, pensiones y jubilaciones</t>
  </si>
  <si>
    <t>Seguro por Retiro Estatal</t>
  </si>
  <si>
    <t>Otras aportaciones de seguros colectivos</t>
  </si>
  <si>
    <t>Seguro por defuncion familiar</t>
  </si>
  <si>
    <t>Aportaciones al Fondo de Ahorro de los Trabajadores</t>
  </si>
  <si>
    <t>Indemnizaciones al personal</t>
  </si>
  <si>
    <t>Pago de Liquidaciones</t>
  </si>
  <si>
    <t>Bono para despensa</t>
  </si>
  <si>
    <t>Ayuda para Servicio de Transporte</t>
  </si>
  <si>
    <t>Otras prestaciones</t>
  </si>
  <si>
    <t xml:space="preserve">Estimulos al personal   </t>
  </si>
  <si>
    <t>Bono por Puntualidad</t>
  </si>
  <si>
    <t>Refacciones y accesorios menores de mobiliario y equipo de administracion, educaconal y recrwativo</t>
  </si>
  <si>
    <t xml:space="preserve">Subsidio cfe  </t>
  </si>
  <si>
    <t xml:space="preserve">Subsidio cfe </t>
  </si>
  <si>
    <t>Impuestos sobre nomina</t>
  </si>
  <si>
    <t>rec prop 2020</t>
  </si>
  <si>
    <t xml:space="preserve"> </t>
  </si>
  <si>
    <t>TOTAL A LLEGAR RECURSOS PROPIOS</t>
  </si>
  <si>
    <t>Subsidio CFE</t>
  </si>
  <si>
    <t>dif 2020 -2021</t>
  </si>
  <si>
    <t>%</t>
  </si>
  <si>
    <t>COMISION ESTATAL DEL AGUA</t>
  </si>
  <si>
    <t>CONCEPTO</t>
  </si>
  <si>
    <t>CANANEA</t>
  </si>
  <si>
    <t>EMPALME</t>
  </si>
  <si>
    <t>GUAYMAS</t>
  </si>
  <si>
    <t>SAN CARLOS</t>
  </si>
  <si>
    <t>VICAM</t>
  </si>
  <si>
    <t>HERMOSILLO</t>
  </si>
  <si>
    <t>GLOBAL</t>
  </si>
  <si>
    <t>INGRESOS</t>
  </si>
  <si>
    <t>INGRESOS PROPIOS</t>
  </si>
  <si>
    <t>INGRESOS POR SUBSIDIO</t>
  </si>
  <si>
    <t>OPERACIÓN (CFE ORGANISMOS)</t>
  </si>
  <si>
    <t>OPERACIÓN (HERMOSILLO)</t>
  </si>
  <si>
    <t>OP. DESALADORA</t>
  </si>
  <si>
    <t>INVERSION PÚBLICA</t>
  </si>
  <si>
    <t>SUBSIDIO PARA PAGO DE PASIVOS</t>
  </si>
  <si>
    <t>ADEFAS</t>
  </si>
  <si>
    <t>INV. FIN. OTRA PROV.</t>
  </si>
  <si>
    <t>EGRESOS</t>
  </si>
  <si>
    <t>1000 SERVICIOS PERSONALES</t>
  </si>
  <si>
    <t>2000 MATERIALES Y SUMINISTROS</t>
  </si>
  <si>
    <t>3000 SERVICIOS GENERALES (INGRESOS PROP)</t>
  </si>
  <si>
    <t>3001 SERVICIOS GENERALES (REC ESTATAL)</t>
  </si>
  <si>
    <t>SUBTOTAL EGRESOS</t>
  </si>
  <si>
    <t>4000 TRANSFERENCIAS, ASIGNACIONES, SUBSIDIOS Y OTRAS AYUDAS</t>
  </si>
  <si>
    <t>5000 BIENES MUEBLES</t>
  </si>
  <si>
    <t>6000 INVERSION PUBLICA</t>
  </si>
  <si>
    <t>7000 INV.FINANCIERAS Y OTRAS PROV.</t>
  </si>
  <si>
    <t>9000 DEUDA PUBLICA</t>
  </si>
  <si>
    <t>DIFERENCIA (UTILIDAD O PÉRDIDA)</t>
  </si>
  <si>
    <t>6000 INVERSION PUBLICA (ESTATAL)</t>
  </si>
  <si>
    <t>INVERSION INFRAESTRUCTURA</t>
  </si>
  <si>
    <t>FORTALECIMIENTO INSTITUCIONAL</t>
  </si>
  <si>
    <t>HIDRAULICA URBANA</t>
  </si>
  <si>
    <t>HIDROAGRICOLA</t>
  </si>
  <si>
    <t>DERECHOS DE EXTRACCION ( CNA PASIVO)</t>
  </si>
  <si>
    <t>DESCRIPCIÓN</t>
  </si>
  <si>
    <t>CLAVE</t>
  </si>
  <si>
    <t>PROPIOS</t>
  </si>
  <si>
    <t>ESTATAL</t>
  </si>
  <si>
    <t>FEDERAL</t>
  </si>
  <si>
    <t>Ingresos Propios</t>
  </si>
  <si>
    <t>Operación (CFE organismos)</t>
  </si>
  <si>
    <t>Operacíón Desaladora</t>
  </si>
  <si>
    <t>Operación Hermosillo</t>
  </si>
  <si>
    <t>Inversion Publica</t>
  </si>
  <si>
    <t xml:space="preserve">Servicios Personales                       </t>
  </si>
  <si>
    <t xml:space="preserve">Materiales y Suministros                               </t>
  </si>
  <si>
    <t xml:space="preserve">Servicios Generales                                        </t>
  </si>
  <si>
    <t xml:space="preserve"> Transferencias, Asignaciones, Subsidios          y Otras Ayudas</t>
  </si>
  <si>
    <t xml:space="preserve">Bienes Muebles,Inmuebles e Intangibles      </t>
  </si>
  <si>
    <t xml:space="preserve">Inversion Publica                                            </t>
  </si>
  <si>
    <t>Nota: Adicionalmente el Gobierno del Estado apoya con el pago de Deuda Pública Banco Bajio y Banobras tanto en ingresos como egresos(No incluye)</t>
  </si>
  <si>
    <t>Organismo Operador de Cananea</t>
  </si>
  <si>
    <t>Subsidio Operación Desaladora</t>
  </si>
  <si>
    <t>ORTIZ</t>
  </si>
  <si>
    <t>ALAMOS</t>
  </si>
  <si>
    <t>VARIOS</t>
  </si>
  <si>
    <t>FONDEN</t>
  </si>
  <si>
    <t>AGUA POTABLE</t>
  </si>
  <si>
    <t>CONSTRUCCIÓN DE ACUEDUCTO MACOYAHUIÁLAMOS DE 24,553.82 M. DE LONGITUD PARA AGUA POTABLE, A BASE DE TUBERÍA DE PVC DE 10" Y 12" CON CONEXIÓN A LÍNEA EXISTENTE, EQUIPAMIENTO DE POZO, 5 CÁRCAMOS DE REBOMBEO, CAMBIO DE RÉGIMEN Y CAJA DE LLEGADA DEL ACUEDUCTO, EN LA LOCALIDAD DE ÁLAMOS, MUNICIPIO DE ÁLAMOS, EN EL ESTADO DE SONORA</t>
  </si>
  <si>
    <t>CABORCA</t>
  </si>
  <si>
    <t>URES</t>
  </si>
  <si>
    <t>ETCHOJOA</t>
  </si>
  <si>
    <t>CAJEME</t>
  </si>
  <si>
    <t>HUATABAMPO</t>
  </si>
  <si>
    <t>Subsidio Operación Desaladora (guaymas)</t>
  </si>
  <si>
    <t>TOTAL DIRECCIÓN GENERAL</t>
  </si>
  <si>
    <t>SERVICIOS PERSONALES</t>
  </si>
  <si>
    <t>11301</t>
  </si>
  <si>
    <t>SUELDOS</t>
  </si>
  <si>
    <t>11303</t>
  </si>
  <si>
    <t>REMUNERACIONES DIVERSAS</t>
  </si>
  <si>
    <t>11304</t>
  </si>
  <si>
    <t>REMUNERACIONES POR SUSTITUCION DE PERSONAL</t>
  </si>
  <si>
    <t>11306</t>
  </si>
  <si>
    <t>RIESGO LABORAL</t>
  </si>
  <si>
    <t>12101</t>
  </si>
  <si>
    <t>HONORARIOS</t>
  </si>
  <si>
    <t>13101</t>
  </si>
  <si>
    <t>PRIMAS POR AÑOS DE SERVICIOS EFECTIVOS PRESTADOS</t>
  </si>
  <si>
    <t>13201</t>
  </si>
  <si>
    <t>PRIMA DE VACACIONES Y DOMINICAL</t>
  </si>
  <si>
    <t>13202</t>
  </si>
  <si>
    <t>AGUINALDO O GRATIFICACION DE FIN DE AÑO</t>
  </si>
  <si>
    <t>13203</t>
  </si>
  <si>
    <t>COMPENSACION POR AJUSTE DE CALENDARIO</t>
  </si>
  <si>
    <t>13204</t>
  </si>
  <si>
    <t>COMPENSACION POR BONO NAVIDEÑO</t>
  </si>
  <si>
    <t>13301</t>
  </si>
  <si>
    <t>REMUNERACIONES POR HORAS EXTRAORDINARIAS</t>
  </si>
  <si>
    <t>13403</t>
  </si>
  <si>
    <t>ESTIMULOS AL PERSONAL DE CONFIANZA</t>
  </si>
  <si>
    <t>14101</t>
  </si>
  <si>
    <t>APORTACIONES AL ISSSTE</t>
  </si>
  <si>
    <t>14106</t>
  </si>
  <si>
    <t>OTRAS PRESTACIONES DE SEGURIDAD SOCIAL</t>
  </si>
  <si>
    <t>14109</t>
  </si>
  <si>
    <t>APORTACIONES POR SERVICIO MEDICO ISSSTESON</t>
  </si>
  <si>
    <t>14303</t>
  </si>
  <si>
    <t>PAGAS DE DEFUNCION, PENSIONES Y JUBILACIONES</t>
  </si>
  <si>
    <t>14402</t>
  </si>
  <si>
    <t>SEGURO POR RETIRO ESTATAL</t>
  </si>
  <si>
    <t>14403</t>
  </si>
  <si>
    <t>OTRAS CUOTAS DE SEGUROS COLECTIVOS</t>
  </si>
  <si>
    <t>14406</t>
  </si>
  <si>
    <t>SEGURO POR DEFUNCION FAMILIAR</t>
  </si>
  <si>
    <t>15101</t>
  </si>
  <si>
    <t>APORTACIONES AL FONDO DE AHORRO DE LOS TRABAJADORES</t>
  </si>
  <si>
    <t>15201</t>
  </si>
  <si>
    <t>INDEMNIZACIONES AL PERSONAL</t>
  </si>
  <si>
    <t>15202</t>
  </si>
  <si>
    <t>PAGO DE LIQUIDACIONES</t>
  </si>
  <si>
    <t>DIAS ECONOMICOS Y DE DESCANSO OBLIG. NO DISFR.</t>
  </si>
  <si>
    <t>BONO PARA DESPENSA</t>
  </si>
  <si>
    <t>AYUDA PARA GUARDERIA A MADRES TRAB.</t>
  </si>
  <si>
    <t xml:space="preserve">  APOYO PARA UTILES ESCOLARES</t>
  </si>
  <si>
    <t>APOYO PARA DESARROLLO Y CAPACITACION</t>
  </si>
  <si>
    <t>15419</t>
  </si>
  <si>
    <t>AYUDA PARA SERVICIO DE TRANSPORTE</t>
  </si>
  <si>
    <t>COMPENSACION EN APOYO A LA DISCAPACIDAD</t>
  </si>
  <si>
    <t>Bono por Aniversario Sindical</t>
  </si>
  <si>
    <t>BONO DEL DIA DEL PADRE</t>
  </si>
  <si>
    <t>APOYO MATERIALES CONSTRUCCION</t>
  </si>
  <si>
    <t>BONO DELEGACION SINDICAL</t>
  </si>
  <si>
    <t>BONO DE PRODUCTIVIDAD</t>
  </si>
  <si>
    <t>15901</t>
  </si>
  <si>
    <t>OTRAS PRESTACIONES</t>
  </si>
  <si>
    <t>17102</t>
  </si>
  <si>
    <t>ESTIMULOS AL PERSONAL</t>
  </si>
  <si>
    <t>17104</t>
  </si>
  <si>
    <t>BONO POR PUNTUALIDAD</t>
  </si>
  <si>
    <t>COMPENSACION POR TITULACION A NIVEL LICENCIATURA</t>
  </si>
  <si>
    <t>NIVEL PARTIDA PRESUPUESTAL</t>
  </si>
  <si>
    <t>SUELDO DIFERENCIAL POR ZONA</t>
  </si>
  <si>
    <t>AYUDA PARA HABITACIÓN</t>
  </si>
  <si>
    <t>AYUDA PARA DESPENSA</t>
  </si>
  <si>
    <t>AYUDA PARA ENERGÍA ELECTRICA</t>
  </si>
  <si>
    <t>BONO POR ANIVERSARIO SINDICAL</t>
  </si>
  <si>
    <t>MATERIALES Y SUMINISTROS</t>
  </si>
  <si>
    <t>MATERIALES, ÚTILES Y EQUIPOS MENORES DE OFICINA</t>
  </si>
  <si>
    <t>MATERIALES Y ÚTILES DE IMPRESIÓN Y REPRODUCCIÓN</t>
  </si>
  <si>
    <t>MATERIALES Y ÚTILES PARA EL PROCESAMIENTO DE EQUIPOS Y BIENES INFORMÁTICOS</t>
  </si>
  <si>
    <t>MATERIAL PARA INFORMACIÓN</t>
  </si>
  <si>
    <t>MATERIAL DE LIMPIEZA</t>
  </si>
  <si>
    <t>PLACAS, ENGOMADOS, CALCOMANÍAS Y HOLOGRAMAS</t>
  </si>
  <si>
    <t>PRODUCTOS ALIMENTICIOS PARA EL PERSONAL EN LAS INSTALACIONES</t>
  </si>
  <si>
    <t>ADQUISICIÓN DE AGUA POTABLE</t>
  </si>
  <si>
    <t>UTENSILIOS PARA EL SERVICIO DE ALIMENTACIÓN</t>
  </si>
  <si>
    <t>OTROS PRODUCTOS ADQUIRIDOS COMO MATERIA PRIMA</t>
  </si>
  <si>
    <t>CEMENTO Y PRODUCTOS DE CONCRETO</t>
  </si>
  <si>
    <t>MATERIAL ELÉCTRICO Y ELECTRÓNICO</t>
  </si>
  <si>
    <t>MATERIALES Y COMPLEMENTARIOS</t>
  </si>
  <si>
    <t>MEDICINAS Y PRODUCTOS FARMACÉUTICOS</t>
  </si>
  <si>
    <t>OTROS PRODUCTOS QUIMICOS</t>
  </si>
  <si>
    <t>COMBUSTIBLES</t>
  </si>
  <si>
    <t>LUBRICANTES Y ADITIVOS</t>
  </si>
  <si>
    <t>VESTUARIO Y UNIFORMES</t>
  </si>
  <si>
    <t>PRENDAS DE SEGURIDAD Y PROTECCIÓN PERSONAL</t>
  </si>
  <si>
    <t>HERRAMIENTAS MENORES</t>
  </si>
  <si>
    <t>REFACCIONES Y ACCESORIOS MENORES DE EDIFICIOS</t>
  </si>
  <si>
    <t>REFACCIONES Y ACCESORIOS MENORES DE MOBILIARIO Y EQUIPO DE ADMINISTRACION, EDUCACONAL Y RECREATIVO</t>
  </si>
  <si>
    <t>REFACCIONES Y ACCESORIOS MENORES DE EQUIPO DE COMPUTO Y TECNOLOGÍAS DE LA INFORMACIÓN</t>
  </si>
  <si>
    <t>REFACCIONES Y ACCESORIOS MENORES DE EQUIPO DE TRASPORTE</t>
  </si>
  <si>
    <t>REFACCIONES Y ACCESORIOS MENORES DE MAQUINARIA Y OTROS EQUIPOS</t>
  </si>
  <si>
    <t>SERVICIOS GENERALES</t>
  </si>
  <si>
    <t>ENERGÍA ELÉCTRICA</t>
  </si>
  <si>
    <t>GAS</t>
  </si>
  <si>
    <t>TELEFONÍA TRADICIONAL</t>
  </si>
  <si>
    <t>TELEFONÍA CELULAR</t>
  </si>
  <si>
    <t>SERVICIOS DE ACCESO A INTERNET, REDES Y PROCESAMIENTO DE INFORMACIÓN</t>
  </si>
  <si>
    <t>SERVICIO POSTAL</t>
  </si>
  <si>
    <t>ARRENDAMIENTO DE TERRENOS</t>
  </si>
  <si>
    <t>ARRENDAMIENTO DE EDIFICIOS</t>
  </si>
  <si>
    <t>ARRENDAMIENTO DE MUEBLES, MAQUINARIA Y EQUIPO</t>
  </si>
  <si>
    <t>ARRENDAMIENTO DE EQUIPO Y BIENES INFORMATICOS</t>
  </si>
  <si>
    <t>ARRENDAMIENTO DE EQUIPO DE TRANSPORTE</t>
  </si>
  <si>
    <t>ARRENDAMIENTO MAQUINARIA, OTROS EQUIPOS Y HERRAMIENTAS</t>
  </si>
  <si>
    <t>OTROS ARRENDAMIENTOS</t>
  </si>
  <si>
    <t>SERVICIOS LEGALES, DE CONTABILIDAD, AUDITORIAS Y RELACIONADOS</t>
  </si>
  <si>
    <t>SERVICIOS DE DISEÑO, ARQUITECTURA, INGENIERÍA Y ACTIVIDADES RELACIONADAS</t>
  </si>
  <si>
    <t>SERVICIOS DE INFORMÁTICA</t>
  </si>
  <si>
    <t>SERVICIOS DE CONSULTORIAS</t>
  </si>
  <si>
    <t>SERVICIOS DE CAPACITACIÓN</t>
  </si>
  <si>
    <t>IMPRESIONES Y PUBLICACIONES OFICIALES</t>
  </si>
  <si>
    <t>LICITACIONES, CONVENIOS Y CONVOCATORIAS</t>
  </si>
  <si>
    <t>SERVICIO DE FOTOCOPIADO EN LAS INSTALACIONES DE LAS DEPENDENCIAS Y ENTIDADES</t>
  </si>
  <si>
    <t>SERVICIOS DE VIGILANCIA</t>
  </si>
  <si>
    <t>SERVICIOS PROFESIONALES, CIENTIFICOS Y TECNICOS INTEGRALES</t>
  </si>
  <si>
    <t xml:space="preserve">SERVICIOS INTEGRALES </t>
  </si>
  <si>
    <t>SERVICIOS FINANCIEROS Y BANCARIOS</t>
  </si>
  <si>
    <t>SERVICIO DE RECAUDACIÓN, TRASLADO Y CUSTODIA DE VALORES</t>
  </si>
  <si>
    <t>SEGUROS DE RESPONSABILIDAD PATRIMONIAL Y FIANZAS</t>
  </si>
  <si>
    <t>FLETES Y MANIOBRAS</t>
  </si>
  <si>
    <t>MANTENIMIENTO Y CONSERVACIÓN DE INMUEBLES</t>
  </si>
  <si>
    <t>MANTENIMIENTO Y CONSERVACIÓN DE MOBILIARIO Y EQUIPO</t>
  </si>
  <si>
    <t>MANTENIMIENTO Y CONSERVACIÓN DE BIENES INFORMÁTICOS</t>
  </si>
  <si>
    <t>MANTENIMIENTO Y CONSERVACIÓN DE EQUIPO DE TRANSPORTE</t>
  </si>
  <si>
    <t>MANTENIMIENTO Y CONSERVACIÓN DE MAQUINARIA Y EQUIPO</t>
  </si>
  <si>
    <t>SERVICIOS DE LIMPIEZA Y MANEJO DE DESECHOS</t>
  </si>
  <si>
    <t>SERVICIOS DE JARDINERÍA Y FUMIGACIÓN</t>
  </si>
  <si>
    <t>DIFUSIÓN POR RADIO, TELEVISIÓN Y OTROS MEDIOS DE MENSAJES SOBRE PROGRAMAS Y ACTIVIDADES GUBERNAMENTALES</t>
  </si>
  <si>
    <t>SERVICIO  DE REVELADO DE FOTOGRAFÍAS</t>
  </si>
  <si>
    <t>OTROS SERVICIOS DE INFORMACIÓN</t>
  </si>
  <si>
    <t>PASAJES AÉREOS NACIONALES</t>
  </si>
  <si>
    <t>PASAJES TERRESTRES</t>
  </si>
  <si>
    <t>VIÁTICOS EN EL PAÍS</t>
  </si>
  <si>
    <t>GASTOS DE CAMINO</t>
  </si>
  <si>
    <t>VIÁTICOS EN EL EXTRANJERO</t>
  </si>
  <si>
    <t>SERVICIOS INTEGRALES DE TRASLADO Y VIÁTICOS</t>
  </si>
  <si>
    <t>CUOTAS</t>
  </si>
  <si>
    <t>GASTOS DE CEREMONIAL</t>
  </si>
  <si>
    <t>CONGRESOS Y CONVENCIONES</t>
  </si>
  <si>
    <t>IMPUESTOS Y DERECHOS</t>
  </si>
  <si>
    <t>PENAS, MULTAS, ACCESORIOS Y ACTUALIZACIONES</t>
  </si>
  <si>
    <t>OTROS GASTOS POR RESPONSABILIDADES</t>
  </si>
  <si>
    <t>IMPUESTO SOBRE NOMINAS</t>
  </si>
  <si>
    <t xml:space="preserve"> ANTEPROYECTO DE PRESUPUESTO DE EGRESOS 2022</t>
  </si>
  <si>
    <t>ANTEPROYECTO DE PRESUPUESTO DE EGRESOS 2022</t>
  </si>
  <si>
    <t xml:space="preserve">PRESUP AUT. 2021 </t>
  </si>
  <si>
    <t>PRESUP AUT. 2021</t>
  </si>
  <si>
    <t>ANTEPROY. DE PRES. 2022 (448)</t>
  </si>
  <si>
    <t>Sueldo base al personal eventual</t>
  </si>
  <si>
    <t>Dias economicos y de descanso obligatorios no disfrutados</t>
  </si>
  <si>
    <t>Formatos impresos</t>
  </si>
  <si>
    <t>Subsidio CFE (6%Aumento)</t>
  </si>
  <si>
    <t>PRESUPUESTO DEVENGADO (31 AGO 2021)</t>
  </si>
  <si>
    <t>PROY. PRESUP. 2022 (287)</t>
  </si>
  <si>
    <t>PROY. PRESUP. 2022 (412)</t>
  </si>
  <si>
    <t>PROY. PRESUP. 2022 (274)</t>
  </si>
  <si>
    <t>PROY. PRESUP. 2022 (448)</t>
  </si>
  <si>
    <t xml:space="preserve"> PRESUP. AUTORIZADO 2021 </t>
  </si>
  <si>
    <t xml:space="preserve">PROY. PRESUP. 2022 </t>
  </si>
  <si>
    <t>11307</t>
  </si>
  <si>
    <t>AYUDA PARA HABITACION</t>
  </si>
  <si>
    <t>11310</t>
  </si>
  <si>
    <t>AYUDA PARA ENERGIA ELECTRICA</t>
  </si>
  <si>
    <t>Bono de Productividad</t>
  </si>
  <si>
    <t>Prev P/ Incremento de Sueldos</t>
  </si>
  <si>
    <t xml:space="preserve"> PRESUP AUT. 2021</t>
  </si>
  <si>
    <t>TOTAL DEVENGADO (AL 3 1 DE AGO 2021)</t>
  </si>
  <si>
    <t>COPENSACION ESPECIFICA A PERSONAL DE BASE</t>
  </si>
  <si>
    <t>BONO DE DIA DE MADRES</t>
  </si>
  <si>
    <t>% AVANCE 2021</t>
  </si>
  <si>
    <t>PROYECCION A DICIEMBRE 2021</t>
  </si>
  <si>
    <t>NOTA: INCREMENTO DEL CAPITULO 1000 DIRECCIÓN GENERAL (RECURSOS ESTATALES) DEL 3% RESPECTO AL 2021</t>
  </si>
  <si>
    <t>TOTAL RECURSOS PROPIOS</t>
  </si>
  <si>
    <t>ESTIMACION DE INGRESOS PROPIOS PARA EL PROYECTO DE PRESUPUESTO DE LEY DE INGRESOS DEL ESTADO 2022</t>
  </si>
  <si>
    <t>NOMBRE DEL ORGANISMO</t>
  </si>
  <si>
    <t>HISTORIAL DE INGRESOS  CUENTAS PUBLICAS</t>
  </si>
  <si>
    <t xml:space="preserve">FAVOR DE REGISTRAR EL CALENDARIO MENSUAL DE  LOS INGRESOS PROPIOS PARA EL PROYECTO DE PRESUPUESTO 2022, EN LA SIGUIENTE HOJA DE CALCULO. </t>
  </si>
  <si>
    <t>cierre estimado 2021</t>
  </si>
  <si>
    <t>PROYECTO PRESUPUESTO 2022</t>
  </si>
  <si>
    <t>CRECIMIENTO 2022-2021</t>
  </si>
  <si>
    <t xml:space="preserve">COMISION ESTATAL DEL AGUA </t>
  </si>
  <si>
    <t>PROYECCION DE INGRESOS DE ACUERDO A LA LEY DE DISCIPLINA FINANCIERA DE LAS ENTIDADES FEDERATIVAS Y MPIOS.</t>
  </si>
  <si>
    <t>INGRESOS  PROYECTADOS</t>
  </si>
  <si>
    <t>OBSERVACIONES SOBRE LA DETERMINACION DE INGRESOS:</t>
  </si>
  <si>
    <t>Acciones para el incremento y recuperación de cartera vencida del organismo operador:
 - Depuración del Padron de Usuarios, Sectorizar la base de datos comercial ( Sectores Hidrometricos ).
- Implementacion del Modulo Móvil, se realizarán campañas de difusión con volantes y perifoneo en las diferentes colonias de la ciudad para invitar al usuario A acercarse y realizar el pago de su adeudo, o bien hacer un convenio de pago de acuerdo a las posibilidades de los usuarios.
- Realizar la suspensión del servicio de agua A los Usuarios que incumpla con el pago de su servicio.
- Monitorear la eficiencia de pago de todas las rutas comerciales.
- Trabajo en campo, detección de tomas clandestinas.
- Operativos especiales de cortes de servicio de agua en Sectores con tendencia de morosidad
- Por efectos de la entrada y funcionamiento de la planta Desaladora para el año 2022, la proyeccion del proyecto presupuesto contempla un 10% de incremento conrespecto al ejercicio anterior, Para suministrar agua que no se encuentra en la región, pero necesaria para abatir el déficit de agua existente, la opción que se tomó, de acuerdo con los escenarios estudiados por del IMTA, fue la desalación de agua de mar mediante una planta modular de ósmosis inversa con un gasto inicial de 200 Lps, equivalentes a 525,600 m3/mes o, 6’307200 m3/año. El escenario contemplado para construir la planta Desaladora de 200 Lps, cuya fuente de abastecimiento son pozos profundos playeros.</t>
  </si>
  <si>
    <t>Fecha de elaboración :</t>
  </si>
  <si>
    <t>PROCURADURIA FISCAL*DIRECCION DE COORDINACION HACENDARIA</t>
  </si>
  <si>
    <t>662 217 36 60, 213 99 39, 212 02 16 Y 212 73 18</t>
  </si>
  <si>
    <t>Correo electrónico para dudas en el formato Excel</t>
  </si>
  <si>
    <t>rrangel@haciendasonora.gob.mx</t>
  </si>
  <si>
    <t>roma_rangel@hotmail.com</t>
  </si>
  <si>
    <t>cel 6621956238</t>
  </si>
  <si>
    <t>NOTAS:</t>
  </si>
  <si>
    <t>No incluye Deuda Publica Banco el Bajío</t>
  </si>
  <si>
    <t>SERVICIO DE TELECOMUNICACIONES Y SATELITES</t>
  </si>
  <si>
    <t>APOYOS A COMISARIOS PÚBLICOS</t>
  </si>
  <si>
    <t>INSTALACIONES</t>
  </si>
  <si>
    <t>MANTENIMIENTO Y CONSERVACIÓN DE HERAAMIENTAS, MAQUINAS HERRAMIENTAS, INSTRUMENTOS, UTILES Y EQUIPO</t>
  </si>
  <si>
    <t>PASAJES AÉREOS INTERNACIONALES</t>
  </si>
  <si>
    <t>GASTO DE ORDEN SOCIAL Y CULTURAL</t>
  </si>
  <si>
    <t>GTSO DE ATENCION Y PROMOCION</t>
  </si>
  <si>
    <t xml:space="preserve">HONORARIOS  </t>
  </si>
  <si>
    <t>SUELDO BASE AL PERSONAL EVENTUAL</t>
  </si>
  <si>
    <t>PRIMA VACACIONAL Y DOMINICAL</t>
  </si>
  <si>
    <t>COMPENSACIÓN POR AJUSTE DE CALENDARIO</t>
  </si>
  <si>
    <t>COMPENSACIÓN POR BONO NAVIDEÑO</t>
  </si>
  <si>
    <t>APORTACIONES POR SERVICIO MEDICO DEL ISSSTESON</t>
  </si>
  <si>
    <t>PAGAS POR DEFUNCIÓN, PENSIONES Y JUBILACIONES</t>
  </si>
  <si>
    <t>OTRAS APORTACIONES DE SEGUROS COLECTIVOS</t>
  </si>
  <si>
    <t>DIAS ECONOMICOS Y DE DESCANSO OBLIGATORIOS NO DISFRUTADOS</t>
  </si>
  <si>
    <t xml:space="preserve"> APOYO PARA UTILES ESCOLARES</t>
  </si>
  <si>
    <t>PREV P/ INCREMENTO DE SUELDOS</t>
  </si>
  <si>
    <t xml:space="preserve">ESTIMULOS AL PERSONAL   </t>
  </si>
  <si>
    <t>FORMATOS IMPRESOS</t>
  </si>
  <si>
    <t>MATERIALES EDUCATIVOS</t>
  </si>
  <si>
    <t>EMISION DE LICENCIAS DE CONDUCIR</t>
  </si>
  <si>
    <t>YESO, CAL Y PRODUCTOS DE YESO</t>
  </si>
  <si>
    <t>MADERA Y PRODUCTOS DE MADERA</t>
  </si>
  <si>
    <t>VIDRIO Y PRODUCTOS DE VIDRIO</t>
  </si>
  <si>
    <t>OTROS MATERIALES Y ARTÍCULOS DE CONSTRUCCIÓN Y REPARACIÓN</t>
  </si>
  <si>
    <t>PRODUCTOS QUIMICOS BASICOS</t>
  </si>
  <si>
    <t>FERTILIZANTES, PESTICIDAS Y OTROS AGROQUÍMICOS</t>
  </si>
  <si>
    <t>MATERIALES, ACCESORIOS Y SUMINISTRO DE LABORATORIOS</t>
  </si>
  <si>
    <t>SE INCLUYE ESTIMADO DE ADEUDOS DE EJERCICIOS ANTERIORES (ADEFAS) POR CONCEPTOS DE PAGOS DE DERECHOS DE EXTRACCIÓN,  PRESTACIONES AL PERSONAL, ASI COMO ADEUDOS A CFE Y PROVEEDORES</t>
  </si>
  <si>
    <t>ARIVECHI</t>
  </si>
  <si>
    <t>BAMORI</t>
  </si>
  <si>
    <t>SAN JAVIER</t>
  </si>
  <si>
    <t>EL COLORADO</t>
  </si>
  <si>
    <t>ARIZPE</t>
  </si>
  <si>
    <t>SAN FELIPE DE JESÚS</t>
  </si>
  <si>
    <t>VARIAS</t>
  </si>
  <si>
    <t>ZONA ECONOMICA ESPECIAL DEL RIO SONORA
PROYECTOS EJECUTIVOS PARA UNIDADES DE RIEGO EN LOS MUNICIPIOS DE: BACOACHI, ARIZPE, ACONCHI, SAN FELIPE DE JESÚS, URES, BANAMICHI, BAVIACORA, HUEPAC</t>
  </si>
  <si>
    <t>SONOITA</t>
  </si>
  <si>
    <t>LÓPEZ MATEOS</t>
  </si>
  <si>
    <t>MORELIA</t>
  </si>
  <si>
    <t>BENITO JUÁREZ</t>
  </si>
  <si>
    <t>CIUDAD OBREGÓN</t>
  </si>
  <si>
    <t>REPOSICION DE TUBERIA SANITARIA DE 8" DE 100 METROS DE LONGITUD, EN LAS CALLAS TOMAS BORBOA Y GREGORIO QUIJADA, EN EL CAMPO 60, MUNICIPIO DE BÁCUM. MITIGACIÓN DE DAÑOS OCASIONADOS POR LLUVIA SEVERA E INUNDACIÓN PLUVIAL Y FLUVIAL DEL 18 AL 20 DE SEPTIEMBRE DE 2018 EN 11 MUNICIPIOS DE SONORA.</t>
  </si>
  <si>
    <t>REPOSICIÓN DE 81 M. DE RED DE ATARJEA DE PVC DE 8" DE DIÁMETRO EN  CALLE DE SOYA ENTRE CALLE BUFEL Y CALLE FERTIL., PARA LA MITIGACIÓN DE DAÑOS OCASIONADOS LLUVIA SEVERA E INUNDACION PLUVIAL Y FLUVIAL DEL 18 AL 20 DE SEPTIEMBRE DE 2018 EN 11 MUNICIPIOS EN LA ENTIDAD FEDERATIVA DE SONORA.</t>
  </si>
  <si>
    <t>BÁCUM</t>
  </si>
  <si>
    <t>PRIMERO DE MAYO (CAMPO 77)</t>
  </si>
  <si>
    <t>CAMPO 104</t>
  </si>
  <si>
    <t>PAREDONCITO</t>
  </si>
  <si>
    <t>CD. OBREGON</t>
  </si>
  <si>
    <t>CIUDAD OBREGÓN (CAJEME)</t>
  </si>
  <si>
    <t>BACAME NUEVO</t>
  </si>
  <si>
    <t>BAYAJORI</t>
  </si>
  <si>
    <t>CAMPANICHACA</t>
  </si>
  <si>
    <t>CULEBRON, EL. (EL QUINTO VIEJO)</t>
  </si>
  <si>
    <t>MIL HECTÁREAS</t>
  </si>
  <si>
    <t>SAN PEDRO VIEJO</t>
  </si>
  <si>
    <t>TIRISCOHUASA</t>
  </si>
  <si>
    <t>LA UNIÓN</t>
  </si>
  <si>
    <t>TOTOLIBOQUI</t>
  </si>
  <si>
    <t>GENERAL PLUTARCO ELÍAS CALLES</t>
  </si>
  <si>
    <t>HERÓICA CABORCA</t>
  </si>
  <si>
    <t>CON DETALLE</t>
  </si>
  <si>
    <t>ANTEPROY.2022</t>
  </si>
  <si>
    <t>CAPITULOS 2000 Y 3000</t>
  </si>
  <si>
    <t>CAPITULO 1000</t>
  </si>
  <si>
    <t>CARTERA DE PROYECTOS PROPUESTA DE INVERSIÓN 2022</t>
  </si>
  <si>
    <t>ORDEN DE PRIORIDAD</t>
  </si>
  <si>
    <t>SECRETARÍA 
DEL RAMO</t>
  </si>
  <si>
    <t>INSTANCIA
EJECUTORA</t>
  </si>
  <si>
    <t>NOMBRE DE LA OBRA</t>
  </si>
  <si>
    <t>MUNICIPIO</t>
  </si>
  <si>
    <t>LOCALIDAD</t>
  </si>
  <si>
    <t>FONDO Y/O
TIPO DE RECURSOS</t>
  </si>
  <si>
    <t>INSTRUMENTO
(CONVENIO)</t>
  </si>
  <si>
    <t>PROAGUA</t>
  </si>
  <si>
    <t>PITIQUITO</t>
  </si>
  <si>
    <t>DESEMBOQUE DE LOS SERIS</t>
  </si>
  <si>
    <t xml:space="preserve">GUAYMAS </t>
  </si>
  <si>
    <t>SAGARHPA</t>
  </si>
  <si>
    <t>RECURSOS PROPIOS (FONDEN)</t>
  </si>
  <si>
    <t xml:space="preserve">FONDO MINERO </t>
  </si>
  <si>
    <t>CEA</t>
  </si>
  <si>
    <t>SUBSUDIO DESALADORA</t>
  </si>
  <si>
    <t>CNA DERECHOS DE EXTRACIÓN</t>
  </si>
  <si>
    <t>ADEFAS (PASIVOS)</t>
  </si>
  <si>
    <t>ADQUISICIÓN DE SCRUBBER PARA PLANTA POTABILIZADORA SUR, HERMOSILLO, SONORA (PROAGUA)</t>
  </si>
  <si>
    <t>LINEA DE ALIMENTACIÓN A TANQUE MESA SUR Y CONSTRUCCION DE TANQUE DE ALMACENAMIENTO DE 4000 M3 (PROAGUA)</t>
  </si>
  <si>
    <t>CONSTRUCCION DE 4.5 KM DE LINEA DE CONDUCCION DE AGUA POTABLE,  REHABILITACION DE TANQUE ALGODONES Y EQUIPAMIENTO DE REBOMBEO PRINCIPAL (PROAGUA)</t>
  </si>
  <si>
    <t>EQUIPAMIENTO DE POZO Y CONSTRUCCION LINEA DE CONDUCCION DE POZO A TANQUE, EN LA LOCALIDAD DE BAMORI, MUNICIPIO DE ARIVECHI, SONORA. (PROAGUA)</t>
  </si>
  <si>
    <t>PERFORACION DE POZO, SAN JAVIER (PROAGUA)</t>
  </si>
  <si>
    <t>RED DE DRENAJE SANITARIO DE 3,705M Y 460 DESCARGAS EN COLONIA VILLAS DE MIRAMAR. (PROAGUA)</t>
  </si>
  <si>
    <t>COLECTOR DE AGUAS RESIDUALES CALLE 18 SECTOR CENTRO EN AVENIDA SERDÁN Y CALLE 18  (PROAGUA)</t>
  </si>
  <si>
    <t>ELECTRIFICACIÓN Y CONEXIÓN DE EQUIPOS DE BOMBEO EN RESERVORIO EN LA LOCALIDAD E HERMOSILLO, SONORA  (PROAGUA)</t>
  </si>
  <si>
    <t>CONSTRUCCIÓN DE COLECTOR PRINCIPAL EN ARROYO LA ADUANA (PROAGUA)</t>
  </si>
  <si>
    <t>CONSTRUCCION DE CAJAS DE VALVULAS EN LINEA DE CONDUCCIÓN, TANQUE ELEVADO Y CONEXIÓN A PANELES SOLARES, EN LA LOCALIDAD DE EL DESEMBOQUE  (PROAGUA)</t>
  </si>
  <si>
    <t>CONSTRUCCIÓN DE COLECTOR EN ARROYO EL ENCANTITO (PROAGUA)</t>
  </si>
  <si>
    <t>REPOSICIÓN DE CRUCEROS EN LA RED DE DISTRIBUCIÓN DE AGUA POTABLE EN COLONIAS MODERNA, JORDAN ORTÍZ RUBIO, JUÁREZ Y TOMATAL (PROAGUA)</t>
  </si>
  <si>
    <t>CONTROL SUPERVISORIO PARA SISTEMA DE AGUA POTABLE EN LA LOCALIDAD DE GUAYMAS (PRIMERA ETAPA) (PROAGUA)</t>
  </si>
  <si>
    <t>CONSTRUCCIÓN DE LÍNEA DE CONDUCCIÓN, TANQUE DE ALMACENAMIENTO Y EQUIPAMIENTO DE POZO  (PROAGUA)</t>
  </si>
  <si>
    <t>ESTUDIO DE OPERACIÓN DE LA INFRAESTRUCTURA DE AGUA POTABLE PARA LA LOCALIDAD DE GUAYMAS (PROAGUA)</t>
  </si>
  <si>
    <t>CONSTRUCCIÓN DE PLANTA DE TRATAMIENTO TIPO LAGUNAR, CÁRCAMO Y EMISOR A PRESIÓN (651 ML TUBERÍA PVC HIDRÁULICO DE 6") EN LA LOCALIDAD DE ORTIZ, MUNICIPIO DE GUAYMAS  (PROAGUA)</t>
  </si>
  <si>
    <t>RED DE ALCANTARILLADO SANITARIO (16,522 ML TUBERÍA PVC 8", 229 ML TUBERÁI DE PVC DE 10" Y 357 DESCARGAS DOMICILIARIAS) EN LA LOCALIDAD DE ORTIZ, MUNICIPIO DE GUAYMAS  (PROAGUA)</t>
  </si>
  <si>
    <t>SUMINISTRO E INSTALACIÓN DE MICRO MEDIDORES (PRODI)</t>
  </si>
  <si>
    <t>PRODI</t>
  </si>
  <si>
    <t>SUMINISTRO E INSTALACIÓN DE MACRO MEDIDORES (PRODI)</t>
  </si>
  <si>
    <t>COLECTOR DE AGUAS RESIDUALES MAR DE CORTÉS EN GUAYMAS NORTE. DE 1,530 M CON TUBERÍA DE 30", 24", 18", Y 10" DE DIÁMETRO EN CALLE MAR DE CORTES A CÁRCAMO MAESTRO.  (PROAGUA)</t>
  </si>
  <si>
    <t>AMPLIACIÓN DE PLANTA DE TRATAMIENTO DE AGUAS RESIDUALES EN LA LOCALIDAD DE SAN FELIPE DE JESÚS  (PROAGUA)</t>
  </si>
  <si>
    <t>REHABILITACIÓN DE PLANTA DE TRATAMIENTO DE AGUAS RESIDUALES EN LA LOCALIDAD DE ARIZPE  (PROAGUA)</t>
  </si>
  <si>
    <t>RÍO SONORA</t>
  </si>
  <si>
    <t>SUMINISTRO E INSTALACIÓN DE 3 MACROMEDIDORES DE 8" EN LAS FUENTES DE ABASTECIMIENTO  POZO 4, POZO 6 Y POZO HUANIMARO (PRODI)</t>
  </si>
  <si>
    <t>SUMINISTRO E INSTALACIÓN DE 3 MACROMEDIDORES DE 10" EN LAS FUENTES DE ABASTECIMIENTO  POZO 7, POZO 8 Y POZO QUIHUIS (PRODI)</t>
  </si>
  <si>
    <t>SISTEMA DE COMPUTO PARA ALTAS Y BAJAS DEL PADRÓN DE USUARIOS (PRODI)</t>
  </si>
  <si>
    <t>DESARROLLO E IMPLEMENTACIÓN DE SISTEMA COMERCIAL (PRODI)</t>
  </si>
  <si>
    <t>ELABORACIÓN DEL PLAN DE DESARROLLO INTEGRAL (PDI) (PRODI)</t>
  </si>
  <si>
    <t>ÁLAMOS</t>
  </si>
  <si>
    <t>ELABORACIÓN DE AUDITORÍA ENERGÉTICA (PRODI)</t>
  </si>
  <si>
    <t>REPOSICIÓN DE 77 M . DE RED DE ATARJEA DE PVC DE 8" DE DIÁMETRO LAS CALLE VALLE DEL YORI ENTRE VALLE MUNI Y VALLE YOREME., PARA LA MITIGACIÓN DE DAÑOS OCASIONADOS LLUVIA SEVERA E INUNDACION PLUVIAL Y FLUVIAL DEL 18 AL 20 DE SEPTIEMBRE DE 2018 EN 11 MUNICIPIOS EN LA ENTIDAD FEDERATIVA DE SONORA. (RECURSOS PROPIOS FONDEN)</t>
  </si>
  <si>
    <t>REPOSICIÓN DE 100 M DE COLECTOR SANITARIO DE 14 PULGADAS DE PVC, POR LA CALLE MAYO ENTRE LAS CALLES COAHUILA Y COLIMA, PARA LA MITIGACIÓN DE DAÑOS OCASIONADOS LLUVIA SEVERA E INUNDACION PLUVIAL Y FLUVIAL DEL 18 AL 20 DE SEPTIEMBRE DE 2018 EN 11 MUNICIPIOS EN LA ENTIDAD FEDERATIVA DE SONORA. (RECURSOS PROPIOS FONDEN)</t>
  </si>
  <si>
    <t>REPOSICIÓN DE 100 M DE COLECTOR DE 10 PULG. DE DIAMETRO DE PVC POR LA CALLE MICHOACAN ENTRE CALLE IGNACIO ALLENDE Y RIO ELOTA, PARA LA MITIGACIÓN DE DAÑOS OCASIONADOS LLUVIA SEVERA E INUNDACION PLUVIAL Y FLUVIAL DEL 18 AL 20 DE SEPTIEMBRE DE 2018 EN 11 MUNICIPIOS EN LA ENTIDAD FEDERATIVA DE SONORA. (RECURSOS PROPIOS FONDEN)</t>
  </si>
  <si>
    <t>REPOSICIÓN DE LÍNEA DE DRENAJE DE 8" DE DIÁMETRO CON PVC SANITARIO EN UNA LONGITUD DE 112 ML, POR LA CALLE MONTECARLO ENTRE PASEO MIRAVALLE Y ESCOCIA EN LA COL. VILLA FONTANA., PARA LA MITIGACIÓN DE DAÑOS OCASIONADOS LLUVIA SEVERA E INUNDACION PLUVIAL Y FLUVIAL DEL 18 AL 20 DE SEPTIEMBRE DE 2018 EN 11 MUNICIPIOS EN LA ENTIDAD FEDERATIVA DE SONORA. (RECURSOS PROPIOS FONDEN)</t>
  </si>
  <si>
    <t>REPOSICIÓN DE 42 M DE RED DE ATARJEAS CON PVC DE 8" DE DIAMETRO, PARA LA MITIGACIÓN DE DAÑOS OCASIONADOS LLUVIA SEVERA E INUNDACION PLUVIAL Y FLUVIAL DEL 18 AL 20 DE SEPTIEMBRE DE 2018 EN 11 MUNICIPIOS EN LA ENTIDAD DEFERATIVA DE SONORA. (RECURSOS PROPIOS FONDEN)</t>
  </si>
  <si>
    <t>REPOSICIÓN DE INFRAESTRUCTURA DE DRENAJE SANITARIO DE 8" EN UNA LONGITUD DE 117 M CON PVC POR LA CALLE PROFR. EDUARDO W. VILLA ENTRE CALLE SINALOA Y CALLE RUFFO E. VITELA EN LA COLONIA MUNICIPIO LIBRE, PARA LA MITIGACIÓN DE DAÑOS OCASIONADOS LLUVIA SEVERA E INUNDACION PLUVIAL Y FLUVIAL DEL 18 AL 20 DE SEPTIEMBRE DE 2018 EN 11 MUNICIPIOS EN LA ENTIDAD FEDERATIVA DE SONORA. (RECURSOS PROPIOS FONDEN)</t>
  </si>
  <si>
    <t>REPOSICIÓN DE LÍNEA DE DRENAJE DE 8" DE DIÁMETRO CON PVC SANITARIO EN UNA LONGITUD DE 109 ML, POR LA CALLE ASTURIAS ENTRE LA CALLE JALISCO Y HOLANDA EN LA COL. VILLA FONTANA., PARA LA MITIGACIÓN DE DAÑOS OCASIONADOS LLUVIA SEVERA E INUNDACION PLUVIAL Y FLUVIAL DEL 18 AL 20 DE SEPTIEMBRE DE 2018 EN 11 MUNICIPIOS EN LA ENTIDAD FEDERATIVA DE SONORA. (RECURSOS PROPIOS FONDEN)</t>
  </si>
  <si>
    <t>REPOSICIÓN DE BOMBA SUMERGIBLE DE AGUAS NEGRAS DE 15 HP EN LA LOCALIDAD DE BACAME NUEVO MUNICIPIO DE ETCHOJOA. MITIGACIÓN DE DAÑOS OCASIONADOS POR LLUVIA SEVERA E INUNDACIÓN PLUVIAL Y FLUVIAL DEL 18 AL 20 DE SEPTIEMBRE DE 2018 EN 11 MUNICIPIOS DE SONORA. (RECURSOS PROPIOS FONDEN)</t>
  </si>
  <si>
    <t>REPOSICIÓN DE BOMBA SUMERGIBLE DE AGUA POTABLE DE 40 HP Y TRANSFORMADOR DE 45 KVA EN LA LOCALIDAD DE BAYAJORIT MUNICIPIO DE ETCHOJOA. MITIGACIÓN DE DAÑOS OCASIONADOS POR LLUVIA SEVERA E INUNDACIÓN PLUVIAL Y FLUVIAL DEL 18 AL 20 DE SEPTIEMBRE DE 2018 EN 11 MUNICIPIOS DE SONORA. (RECURSOS PROPIOS FONDEN) (RECURSOS PROPIOS FONDEN)</t>
  </si>
  <si>
    <t>REPOSICION DE TUBERIA SANITARIA DE 8" EN 100 M DE LONGITUD, EN LA CALLE REVOLUCION Y PIPILA, EN CAMPO 77, MUNICIPIO DE BÁCUM. MITIGACIÓN DE DAÑOS OCASIONADOS POR LLUVIA SEVERA E INUNDACIÓN PLUVIAL Y FLUVIAL DEL 18 AL 20 DE SEPTIEMBRE DE 2018 EN 11 MUNICIPIOS DE SONORA. (RECURSOS PROPIOS FONDEN)</t>
  </si>
  <si>
    <t>REPOSICIÓN DE EQUIPO DE BOMBEO DE 50 HP 845 LTS/SEG) Y TRANSFORMADOR TRIFÁSICO 75 KVA, DEL SISTEMA DE AGUA POTABLE ETCHOJOA-CAMPANICHACA, EN EL MPIO. DE ETCHOJOA. MITIGACIÓN DE DAÑOS OCASIONADOS POR LLUVIA SEVERA E INUNDACIÓN PLUVIAL Y FLUVIAL DEL 18 AL 20 DE SEPTIEMBRE DE 2018 EN 11 MUNICIPIOS DE SONORA.  (RECURSOS PROPIOS FONDEN)</t>
  </si>
  <si>
    <t>REPOSICIÓN DE BOMBA SUMERGIBLE DE AGUA POTABLE DE 15 HP, ARRANCADOR Y TRANSFORMADOR DE 30 KVA EN LA LOCALIDAD DE EL QUINTO VIEJO MPIO. DE ETCHOJOA. MITIGACIÓN DE DAÑOS OCASIONADOS POR LLUVIA SEVERA E INUNDACIÓN PLUVIAL Y FLUVIAL DEL 18 AL 20 DE SEPTIEMBRE DE 2018 EN 11 MUNICIPIOS DE SONORA.  (RECURSOS PROPIOS FONDEN)</t>
  </si>
  <si>
    <t>REPOSICIÓN DE BOMBA SUMERGIBLE DE AGUA POTABLE DE 35 PLS DE 40 HP Y ARRANCADOR 440V 3 FASES EN LA LOCALIDAD DE ETCHOJOA POZO OXXO MPIO. DE ETCHOJOA. MITIGACIÓN DE DAÑOS OCASIONADOS POR LLUVIA SEVERA E INUNDACIÓN PLUVIAL Y FLUVIAL DEL 18 AL 20 DE SEPTIEMBRE DE 2018 EN 11 MUNICIPIOS DE SONORA.  (RECURSOS PROPIOS FONDEN)</t>
  </si>
  <si>
    <t>REPOSICIÓN DE EQUIPO DE BOMBEO DE 3.5 HP, ARRANCADOR Y TABLERO ELECTRICOS, DEL SUMINISTRO DE AGUA POTABLE DE LA LOCALIDAD DE MIL HECTÁREAS EN EL MPIO. DE ETCHOJOA. MITIGACIÓN DE DAÑOS OCASIONADOS POR LLUVIA SEVERA E INUNDACIÓN PLUVIAL Y FLUVIAL DEL 18 AL 20 DE SEPTIEMBRE DE 2018 EN 11 MUNICIPIOS DE SONORA.  (RECURSOS PROPIOS FONDEN)</t>
  </si>
  <si>
    <t>REPOSICIÓN DE EQUIPO DE BOMBEO PARA POZO DE AGUA POTABLE DE 10 HP INCLUYE TABLERODE CONTROL Y ARRANCADOR, PARA LA LOCALIDAD DE TIRISCOHUASA, MPIO. DE ETCHOJOA. MITIGACIÓN DE DAÑOS OCASIONADOS POR LLUVIA SEVERA E INUNDACIÓN PLUVIAL Y FLUVIAL DEL 18 AL 20 DE SEPTIEMBRE DE 2018 EN 11 MUNICIPIOS DE SONORA.  (RECURSOS PROPIOS FONDEN)</t>
  </si>
  <si>
    <t>REPOSICIÓN DE BOMBA SUMERGIBLE DE AGUAS NEGRAS DE 30 HP EN EL CARCAMO COLON EN LA LOCALIDAD DE HUATABAMPO. MITIGACIÓN DE DAÑOS OCASIONADOS POR LLUVIA SEVERA E INUNDACIÓN PLUVIAL Y FLUVIAL DEL 18 AL 20 DE SEPTIEMBRE DE 2018 EN 11 MUNICIPIOS DE SONORA.  (RECURSOS PROPIOS FONDEN)</t>
  </si>
  <si>
    <t>REPOSICIÓN DE BOMBA SUMERGIBLE DE AGUAS NEGRAS DE 15 HP 220V EN LA LOCALIDAD DE SAN PEDRO VIEJO MPIO. DE ETCHOJOA. MITIGACIÓN DE DAÑOS OCASIONADOS POR LLUVIA SEVERA E INUNDACIÓN PLUVIAL Y FLUVIAL DEL 18 AL 20 DE SEPTIEMBRE DE 2018 EN 11 MUNICIPIOS DE SONORA.  (RECURSOS PROPIOS FONDEN)</t>
  </si>
  <si>
    <t>REPOSICIÓN DE LINEA DE CONDUCCION DE AGUA POTABLE DE TUBERIA DE PVC DE 4 PLG. EN UNA LONGITUD DE 950 ML EN LA LOCALIDAD DE TOTOLIBOQUI EN HUATABAMPO. MITIGACIÓN DE DAÑOS OCASIONADOS POR LLUVIA SEVERA E INUNDACIÓN PLUVIAL Y FLUVIAL DEL 18 AL 20 DE SEPTIEMBRE DE 2018 EN 11 MUNICIPIOS DE SONORA.  (RECURSOS PROPIOS FONDEN)</t>
  </si>
  <si>
    <t>REPOSICION DE 100 MTS DE TUBERIA DE PVC SANITARIA DE 8" DE DIAMETRO INCLUYE REPOSICION DE DOS POZOS SE VISITA DE 1.50 M DE PROFUNDIDAD Y 8 DESCARGAS DOMICILIARIAS. MITIGACIÓN DE DAÑOS OCASIONADOS POR LLUVIA SEVERA E INUNDACIÓN PLUVIAL Y FLUVIAL DEL 18 AL 20 DE SEPTIEMBRE DE 2018 EN 11 MUNICIPIOS DE SONORA. (RECURSOS PROPIOS FONDEN)</t>
  </si>
  <si>
    <t>REPOSICIÓN DE BOMBA SUMERGIBLE DE 6" DE DIÁMETRO, MOTOR ELÉCTRICO DE 60 HP, INCLUYE TABLERO DE CONTROL. DAÑOS OCASIONADOS POR ROSA ,LLUVIA SEVERA E INUNDACION PLUVIAL Y FLUVIAL EN VARIOS MUNICIPIOS DEL ESTADO DE SONORA  (RECURSOS PROPIOS FONDEN)</t>
  </si>
  <si>
    <t>REPOSICION DE BOMBA VERTICAL DE 250 HP DE 8" DE DIÁMETRO. PROFUNDIDAD DE 80 M CON TREN DE DESCARGA DE 10" DE DIÁMETRO. DAÑOS OCASIONADOS POR ROSA, LLUVIA SEVERA E INUNDACION PLUVIAL Y FLUVIAL EN VARIOS MUNICIPIOS DEL ESTADO DE SONORA  (RECURSOS PROPIOS FONDEN)</t>
  </si>
  <si>
    <t>REPOSICION DE EQUIPO DE BOMBEO EN EL EJIDO MORELIA SONOYTA. DAÑOS OCASIONADOS POR ROSA, LLUVIA SEVERA E INUNDACION PLUVIAL Y FLUVIAL EN VARIOS MUNICIPIOS DEL ESTADO DE SONORA  (RECURSOS PROPIOS FONDEN)</t>
  </si>
  <si>
    <t>REPOSICION DE 100 ML DE TUBERIA DE PVC DE 8 PULGADAS INCLUYE 2 POZOS DE VISITA DE 1.80 MTS PROFUNDIDAD Y 10 DESCARGAS. MITIGACIÓN DE DAÑOS OCASIONADOS POR LLUVIA SEVERA E INUNDACIÓN PLUVIAL Y FLUVIAL DEL 18 AL 20 DE SEPTIEMBRE DE 2018 EN 11 MUNICIPIOS DE SONORA. (RECURSOS PROPIOS FONDEN)</t>
  </si>
  <si>
    <t>REPOSICIÓN DE 90 M DE LINEA DE PVC DE 6"DIAM Y 30M DE ENCOFRADO PARA EL PAREDONCITO. MITIGACIÓN DE DAÑOS OCASIONADOS POR LLUVIA SEVERA E INUNDACIÓN PLUVIAL Y FLUVIAL DEL 18 AL 20 DE SEPTIEMBRE DE 2018 EN 11 MUNICIPIOS DE SONORA. (RECURSOS PROPIOS FONDEN)</t>
  </si>
  <si>
    <t>REPOSICIÓN DE INFRAESTRUCTURA DE DRENAJE SANITARIO DE 8" Ø EN UNA LONGITUD DE 91 M CON PVC POR LA CALLE ARTÍCULO 123 ENTRE MARTIRES DE CHICAGO Y VILLA HERMOSA EN LA COLONIA PRIMERO DE MAYO, PARA LA MITIGACIÓN DE DAÑOS OCASIONADOS LLUVIA SEVERA E INUNDACION PLUVIAL Y FLUVIAL DEL 18 AL 20 DE SEPTIEMBRE DE 2018 EN 11 MUNICIPIOS EN LA ENTIDAD FEDERATIVA DE SONORA. (RECURSOS PROPIOS FONDEN)</t>
  </si>
  <si>
    <t>REPOSICIÓN DE 100 M DE COLECTOR DE 36 PULG. DE DIAMETRO CON PEAD POR EL BLVD LAS TORRES ENTRE LAS CALLES RIO MAGDALENA Y RIO SONORA EN LA COLONIA LIBERTAD, PARA LA MITIGACIÓN DE DAÑOS OCASIONADOS LLUVIA SEVERA E INUNDACION PLUVIAL Y FLUVIAL DEL 18 AL 20 DE SEPTIEMBRE DE 2018 EN 11 MUNICIPIOS EN LA ENTIDAD FEDERATIVA DE SONORA. (RECURSOS PROPIOS FONDEN)</t>
  </si>
  <si>
    <t>REPOSICIÓN DE LÍNEA DE DRENAJE DE 8" DE DIÁMETRO CON PVC SANITARIO EN UNA LONGITUD DE 180 ML, POR LA CALLE ANTENAS ENTRE CALLE JALISCO Y CALLE SUIZA EN LA COL. VILLA FONTANA., PARA LA MITIGACIÓN DE DAÑOS OCASIONADOS LLUVIA SEVERA E INUNDACION PLUVIAL Y FLUVIAL DEL 18 AL 20 DE SEPTIEMBRE DE 2018 EN 11 MUNICIPIOS EN LA ENTIDAD FEDERATIVA DE SONORA. (RECURSOS PROPIOS FONDEN)</t>
  </si>
  <si>
    <t>REPOSICIÓN DE 97 M. DE RED DE ATARJEA CON PVC SANITARIO DE 8" POR LA CALLE PROFR. RAFAEL RAMIREZ ENTRE CALLE CARLOS M. CALLEJA Y CALLE ENRIQUE PEZTALOZZI EN LA COLONIA MUNICIPIO LIBRE, PARA LA MITIGACIÓN DE DAÑOS OCASIONADOS LLUVIA SEVERA E INUNDACION PLUVIAL Y FLUVIAL DEL 18 AL 20 DE SEPTIEMBRE DE 2018 EN 11 MUNICIPIOS EN LA ENTIDAD FEDERATIVA DE SONORA. (RECURSOS PROPIOS FONDEN)</t>
  </si>
  <si>
    <t>REPOSICIÓN DE BOMBA SUMERGIBLE DE AGUAS NEGRAS DE 15 HP CARCAMO COLONIA UNION EN LA LOCALIDAD DE HUATABAMPO. MITIGACIÓN DE DAÑOS OCASIONADOS POR LLUVIA SEVERA E INUNDACIÓN PLUVIAL Y FLUVIAL DEL 18 AL 20 DE SEPTIEMBRE DE 2018 EN 11 MUNICIPIOS DE SONORA.  (RECURSOS PROPIOS FONDEN)</t>
  </si>
  <si>
    <t>REPOSICIÓN DE 120 M DE SUBCOLECTOR SANITARIO CON TUBERÍA DE PVC DE 16" DE DIÁMETRO Y 120 M DE ATARJEAS CON TUBERÍA DE PVC DE 8" DE DIÁMETRO, EN LA AV. ANTIMONIO ENTRE CALLES 9 Y 10 COL. INDUSTRIAL, CABORCA, SON. DAÑOS OCASIONADOS POR ROSA, LLUVIA SEVERA E INUNDACION PLUVIAL Y FLUVIAL EN VARIOS MUNICIPIOS DEL ESTADO DE SONORA  (RECURSOS PROPIOS FONDEN)</t>
  </si>
  <si>
    <t>DERECHOS  EXT. CONAGUA</t>
  </si>
  <si>
    <t xml:space="preserve">Subsidio </t>
  </si>
  <si>
    <t>210 ORGANO INTERNO DE CONTROL</t>
  </si>
  <si>
    <t>800 UNIDAD DE ASUNTOS JURÍDICOS</t>
  </si>
  <si>
    <t>100 VOCALÍA EJECUTIVA</t>
  </si>
  <si>
    <t>200 DIRECCIÓN GENERAL DE ADMNISTRACIÓN Y FINANZAS</t>
  </si>
  <si>
    <t>300 DIRECCIÓN GENERAL DE DESARROLLO Y FORTALECIMIENTO INSTITUCIONAL</t>
  </si>
  <si>
    <t>400 DIRECCION GENERAL DE INFRAESTRUCTURA HIDRÁULICA URBANA</t>
  </si>
  <si>
    <t>500 DIRECCIÓN GENERAL DE INFRAESTRUCTURA HIDROAGRICOLA</t>
  </si>
  <si>
    <t>600 DIRECCIÓN GENERAL DE COSTOS CONCURSOS Y CONTRATOS</t>
  </si>
  <si>
    <t xml:space="preserve">700 Total Organismos Operadores </t>
  </si>
  <si>
    <t>ACCIONES DE DESINFECCIÓN</t>
  </si>
  <si>
    <t>FONDO MINERO</t>
  </si>
  <si>
    <t>RIO SONORA</t>
  </si>
  <si>
    <t>CONSTURCCIÓN DE REDES DE AGUA POTABLE Y ALCANTARILLADO EN LOCALIDADES DE LA ETNIA YAQUI</t>
  </si>
  <si>
    <t>YAQUIS</t>
  </si>
  <si>
    <t>T  O  T  A  L    AUTORIZADO PRELIMINAR</t>
  </si>
  <si>
    <t xml:space="preserve"> PRESUPUESTO AUTORIZADO 2022</t>
  </si>
  <si>
    <t xml:space="preserve"> PRESUPUESTO  AUTORIZADO 2022</t>
  </si>
  <si>
    <t>3001 SERVICIOS GENERALES DESALADORA  (REC ESTATAL)</t>
  </si>
  <si>
    <t>VOCALIA EJECUTIVA</t>
  </si>
  <si>
    <t>UNIDAD DE ASUNTOS JURIDICOS</t>
  </si>
  <si>
    <t>DIR.GRAL DE INFRAESTRUCTURA HIDRAULICA URBANA</t>
  </si>
  <si>
    <t>DIR. GRAL DE ADMON Y FINANZAS</t>
  </si>
  <si>
    <t>DIR.GRAL DE INFRAESTRUCTURA HIDROAGRICOLA</t>
  </si>
  <si>
    <t>DIR.GRAL DE DESARROLLO Y FORTALECIMIENTO INSTITUCIONAL</t>
  </si>
  <si>
    <t>DIR. GRAL DE COSTOS CONCURSOS Y CONTRATOS</t>
  </si>
  <si>
    <t>Subsidio para pago de pasivos</t>
  </si>
  <si>
    <t xml:space="preserve">Subsidio para pago de pasivos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</si>
</sst>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43" formatCode="_-* #,##0.00_-;\-* #,##0.00_-;_-* &quot;-&quot;??_-;_-@_-"/>
    <numFmt numFmtId="164" formatCode="_-* #,##0.00\ _€_-;\-* #,##0.00\ _€_-;_-* &quot;-&quot;??\ _€_-;_-@_-"/>
    <numFmt numFmtId="165" formatCode="_-* #,##0_-;\-* #,##0_-;_-* &quot;-&quot;??_-;_-@_-"/>
    <numFmt numFmtId="166" formatCode="_(* #,##0_);_(* \(#,##0\);_(* &quot;-&quot;??_);_(@_)"/>
    <numFmt numFmtId="167" formatCode="_(* #,##0.00_);_(* \(#,##0.00\);_(* &quot;-&quot;??_);_(@_)"/>
    <numFmt numFmtId="168" formatCode="#,##0_ ;[Red]\-#,##0\ "/>
    <numFmt numFmtId="169" formatCode="#,##0.0"/>
  </numFmts>
  <fonts count="65">
    <font>
      <sz val="11"/>
      <color theme="1"/>
      <name val="Calibri"/>
      <family val="2"/>
      <scheme val="minor"/>
    </font>
    <font>
      <sz val="11"/>
      <color theme="1"/>
      <name val="Calibri"/>
      <family val="2"/>
      <scheme val="minor"/>
    </font>
    <font>
      <b/>
      <sz val="18"/>
      <color theme="1"/>
      <name val="Calibri"/>
      <family val="2"/>
      <scheme val="minor"/>
    </font>
    <font>
      <b/>
      <sz val="8"/>
      <name val="Arial"/>
      <family val="2"/>
    </font>
    <font>
      <sz val="8"/>
      <color theme="1"/>
      <name val="Calibri"/>
      <family val="2"/>
      <scheme val="minor"/>
    </font>
    <font>
      <sz val="8"/>
      <name val="Arial"/>
      <family val="2"/>
    </font>
    <font>
      <b/>
      <sz val="10"/>
      <color theme="1"/>
      <name val="Calibri"/>
      <family val="2"/>
      <scheme val="minor"/>
    </font>
    <font>
      <b/>
      <sz val="8"/>
      <color theme="1"/>
      <name val="Arial"/>
      <family val="2"/>
    </font>
    <font>
      <b/>
      <sz val="8"/>
      <color theme="1"/>
      <name val="Calibri"/>
      <family val="2"/>
      <scheme val="minor"/>
    </font>
    <font>
      <sz val="11"/>
      <color rgb="FFFF0000"/>
      <name val="Calibri"/>
      <family val="2"/>
      <scheme val="minor"/>
    </font>
    <font>
      <sz val="8"/>
      <color theme="1"/>
      <name val="Arial"/>
      <family val="2"/>
    </font>
    <font>
      <b/>
      <sz val="12"/>
      <color theme="1"/>
      <name val="Calibri"/>
      <family val="2"/>
      <scheme val="minor"/>
    </font>
    <font>
      <b/>
      <sz val="16"/>
      <color theme="1"/>
      <name val="Calibri"/>
      <family val="2"/>
      <scheme val="minor"/>
    </font>
    <font>
      <sz val="12"/>
      <color theme="1"/>
      <name val="Calibri"/>
      <family val="2"/>
      <scheme val="minor"/>
    </font>
    <font>
      <b/>
      <sz val="11"/>
      <color theme="1"/>
      <name val="Calibri"/>
      <family val="2"/>
      <scheme val="minor"/>
    </font>
    <font>
      <b/>
      <sz val="20"/>
      <color theme="1"/>
      <name val="Calibri"/>
      <family val="2"/>
      <scheme val="minor"/>
    </font>
    <font>
      <sz val="9"/>
      <color theme="1"/>
      <name val="Calibri"/>
      <family val="2"/>
      <scheme val="minor"/>
    </font>
    <font>
      <b/>
      <sz val="14"/>
      <color theme="1"/>
      <name val="Calibri"/>
      <family val="2"/>
      <scheme val="minor"/>
    </font>
    <font>
      <sz val="8"/>
      <color rgb="FF0070C0"/>
      <name val="Arial"/>
      <family val="2"/>
    </font>
    <font>
      <sz val="8"/>
      <name val="Calibri"/>
      <family val="2"/>
      <scheme val="minor"/>
    </font>
    <font>
      <b/>
      <sz val="8"/>
      <name val="Calibri"/>
      <family val="2"/>
      <scheme val="minor"/>
    </font>
    <font>
      <sz val="10"/>
      <color theme="1"/>
      <name val="Calibri"/>
      <family val="2"/>
      <scheme val="minor"/>
    </font>
    <font>
      <sz val="11"/>
      <color theme="4" tint="-0.249977111117893"/>
      <name val="Calibri"/>
      <family val="2"/>
      <scheme val="minor"/>
    </font>
    <font>
      <sz val="10"/>
      <name val="Calibri"/>
      <family val="2"/>
      <scheme val="minor"/>
    </font>
    <font>
      <sz val="12"/>
      <name val="Calibri"/>
      <family val="2"/>
      <scheme val="minor"/>
    </font>
    <font>
      <b/>
      <sz val="20"/>
      <color theme="0"/>
      <name val="Calibri"/>
      <family val="2"/>
      <scheme val="minor"/>
    </font>
    <font>
      <b/>
      <i/>
      <sz val="18"/>
      <color theme="0"/>
      <name val="Calibri"/>
      <family val="2"/>
      <scheme val="minor"/>
    </font>
    <font>
      <b/>
      <sz val="14"/>
      <name val="Constantia"/>
      <family val="1"/>
    </font>
    <font>
      <b/>
      <sz val="12"/>
      <name val="Constantia"/>
      <family val="1"/>
    </font>
    <font>
      <i/>
      <sz val="17"/>
      <name val="Constantia"/>
      <family val="1"/>
    </font>
    <font>
      <b/>
      <i/>
      <sz val="12"/>
      <name val="Bookman Old Style"/>
      <family val="1"/>
    </font>
    <font>
      <i/>
      <sz val="17"/>
      <name val="Calibri"/>
      <family val="2"/>
      <scheme val="minor"/>
    </font>
    <font>
      <b/>
      <i/>
      <sz val="12"/>
      <name val="Calibri"/>
      <family val="2"/>
    </font>
    <font>
      <i/>
      <sz val="12"/>
      <name val="Calibri"/>
      <family val="2"/>
    </font>
    <font>
      <i/>
      <sz val="14"/>
      <name val="Calibri"/>
      <family val="2"/>
      <scheme val="minor"/>
    </font>
    <font>
      <b/>
      <i/>
      <sz val="17"/>
      <name val="Constantia"/>
      <family val="1"/>
    </font>
    <font>
      <i/>
      <sz val="15"/>
      <name val="Calibri"/>
      <family val="2"/>
      <scheme val="minor"/>
    </font>
    <font>
      <b/>
      <i/>
      <sz val="12"/>
      <name val="Calibri"/>
      <family val="2"/>
      <scheme val="minor"/>
    </font>
    <font>
      <i/>
      <sz val="12"/>
      <name val="Calibri"/>
      <family val="2"/>
      <scheme val="minor"/>
    </font>
    <font>
      <i/>
      <sz val="9"/>
      <name val="Calibri"/>
      <family val="2"/>
      <scheme val="minor"/>
    </font>
    <font>
      <sz val="11"/>
      <name val="Calibri"/>
      <family val="2"/>
      <scheme val="minor"/>
    </font>
    <font>
      <sz val="11"/>
      <color theme="0"/>
      <name val="Calibri"/>
      <family val="2"/>
      <scheme val="minor"/>
    </font>
    <font>
      <sz val="8"/>
      <color theme="0"/>
      <name val="Calibri"/>
      <family val="2"/>
      <scheme val="minor"/>
    </font>
    <font>
      <sz val="18"/>
      <color theme="1"/>
      <name val="Calibri"/>
      <family val="2"/>
      <scheme val="minor"/>
    </font>
    <font>
      <sz val="10"/>
      <name val="Arial"/>
      <family val="2"/>
    </font>
    <font>
      <b/>
      <sz val="18"/>
      <name val="Calibri"/>
      <family val="2"/>
      <scheme val="minor"/>
    </font>
    <font>
      <sz val="10"/>
      <color rgb="FF676A6C"/>
      <name val="Arial"/>
      <family val="2"/>
    </font>
    <font>
      <sz val="8"/>
      <color indexed="8"/>
      <name val="Arial"/>
      <family val="2"/>
    </font>
    <font>
      <u/>
      <sz val="11"/>
      <color theme="10"/>
      <name val="Calibri"/>
      <family val="2"/>
      <scheme val="minor"/>
    </font>
    <font>
      <b/>
      <sz val="10"/>
      <color indexed="8"/>
      <name val="Arial"/>
      <family val="2"/>
    </font>
    <font>
      <b/>
      <i/>
      <sz val="10"/>
      <color indexed="8"/>
      <name val="Arial"/>
      <family val="2"/>
    </font>
    <font>
      <sz val="10"/>
      <color indexed="8"/>
      <name val="Arial"/>
      <family val="2"/>
    </font>
    <font>
      <sz val="11"/>
      <color indexed="8"/>
      <name val="Arial"/>
      <family val="2"/>
    </font>
    <font>
      <i/>
      <sz val="9"/>
      <color theme="1"/>
      <name val="Calibri"/>
      <family val="2"/>
      <scheme val="minor"/>
    </font>
    <font>
      <b/>
      <sz val="11"/>
      <color indexed="8"/>
      <name val="Arial"/>
      <family val="2"/>
    </font>
    <font>
      <b/>
      <i/>
      <sz val="11"/>
      <color rgb="FF000000"/>
      <name val="Calibri"/>
      <family val="2"/>
      <scheme val="minor"/>
    </font>
    <font>
      <sz val="18"/>
      <color theme="7" tint="0.39997558519241921"/>
      <name val="Calibri"/>
      <family val="2"/>
      <scheme val="minor"/>
    </font>
    <font>
      <sz val="8"/>
      <name val="Arial Unicode MS"/>
      <family val="2"/>
    </font>
    <font>
      <b/>
      <i/>
      <sz val="14"/>
      <name val="Calibri"/>
      <family val="2"/>
      <scheme val="minor"/>
    </font>
    <font>
      <b/>
      <sz val="7"/>
      <color theme="1"/>
      <name val="Arial"/>
      <family val="2"/>
    </font>
    <font>
      <sz val="9"/>
      <name val="Montserrat"/>
    </font>
    <font>
      <sz val="18"/>
      <name val="Calibri"/>
      <family val="2"/>
      <scheme val="minor"/>
    </font>
    <font>
      <sz val="9"/>
      <name val="Calibri"/>
      <family val="2"/>
      <scheme val="minor"/>
    </font>
    <font>
      <sz val="8"/>
      <color rgb="FFFF0000"/>
      <name val="Arial"/>
      <family val="2"/>
    </font>
    <font>
      <sz val="8"/>
      <color rgb="FFFF0000"/>
      <name val="Arial Unicode MS"/>
      <family val="2"/>
    </font>
  </fonts>
  <fills count="10">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44"/>
      </patternFill>
    </fill>
    <fill>
      <patternFill patternType="mediumGray">
        <fgColor indexed="22"/>
        <bgColor theme="0"/>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39997558519241921"/>
        <bgColor indexed="64"/>
      </patternFill>
    </fill>
  </fills>
  <borders count="4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rgb="FFE7EAEC"/>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4" fillId="0" borderId="0"/>
    <xf numFmtId="0" fontId="48" fillId="0" borderId="0" applyNumberFormat="0" applyFill="0" applyBorder="0" applyAlignment="0" applyProtection="0"/>
  </cellStyleXfs>
  <cellXfs count="457">
    <xf numFmtId="0" fontId="0" fillId="0" borderId="0" xfId="0"/>
    <xf numFmtId="43" fontId="0" fillId="0" borderId="0" xfId="0" applyNumberFormat="1"/>
    <xf numFmtId="4" fontId="3" fillId="2" borderId="6" xfId="0" applyNumberFormat="1" applyFont="1" applyFill="1" applyBorder="1" applyAlignment="1">
      <alignment horizontal="left" vertical="center" wrapText="1"/>
    </xf>
    <xf numFmtId="0" fontId="3" fillId="3" borderId="0" xfId="0" applyFont="1" applyFill="1" applyAlignment="1">
      <alignment horizontal="center" vertical="center" wrapText="1"/>
    </xf>
    <xf numFmtId="165" fontId="7" fillId="2" borderId="14" xfId="1" applyNumberFormat="1" applyFont="1" applyFill="1" applyBorder="1"/>
    <xf numFmtId="165" fontId="7" fillId="2" borderId="15" xfId="1" applyNumberFormat="1" applyFont="1" applyFill="1" applyBorder="1"/>
    <xf numFmtId="0" fontId="4" fillId="0" borderId="0" xfId="0" applyFont="1"/>
    <xf numFmtId="43" fontId="4" fillId="3" borderId="0" xfId="1" applyFont="1" applyFill="1"/>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wrapText="1"/>
    </xf>
    <xf numFmtId="0" fontId="4" fillId="3" borderId="0" xfId="0" applyFont="1" applyFill="1"/>
    <xf numFmtId="43" fontId="0" fillId="0" borderId="0" xfId="1" applyFont="1"/>
    <xf numFmtId="164" fontId="0" fillId="0" borderId="0" xfId="0" applyNumberFormat="1"/>
    <xf numFmtId="43" fontId="9" fillId="0" borderId="0" xfId="1" applyFont="1"/>
    <xf numFmtId="43" fontId="7" fillId="2" borderId="16" xfId="0" applyNumberFormat="1" applyFont="1" applyFill="1" applyBorder="1"/>
    <xf numFmtId="4" fontId="5" fillId="3" borderId="6" xfId="0" applyNumberFormat="1" applyFont="1" applyFill="1" applyBorder="1" applyAlignment="1">
      <alignment horizontal="center" vertical="center" wrapText="1"/>
    </xf>
    <xf numFmtId="0" fontId="10" fillId="3" borderId="12" xfId="0" applyFont="1" applyFill="1" applyBorder="1"/>
    <xf numFmtId="0" fontId="10" fillId="3" borderId="6" xfId="0" applyFont="1" applyFill="1" applyBorder="1"/>
    <xf numFmtId="43" fontId="7" fillId="2" borderId="13" xfId="0" applyNumberFormat="1" applyFont="1" applyFill="1" applyBorder="1"/>
    <xf numFmtId="43" fontId="4" fillId="0" borderId="0" xfId="0" applyNumberFormat="1" applyFont="1"/>
    <xf numFmtId="0" fontId="8" fillId="3" borderId="0" xfId="0" applyFont="1" applyFill="1" applyAlignment="1">
      <alignment horizontal="center"/>
    </xf>
    <xf numFmtId="0" fontId="13" fillId="0" borderId="0" xfId="0" applyFont="1"/>
    <xf numFmtId="0" fontId="13" fillId="2" borderId="0" xfId="0" applyFont="1" applyFill="1"/>
    <xf numFmtId="0" fontId="4" fillId="2" borderId="0" xfId="0" applyFont="1" applyFill="1"/>
    <xf numFmtId="43" fontId="16" fillId="0" borderId="0" xfId="1" applyFont="1"/>
    <xf numFmtId="0" fontId="17" fillId="3" borderId="0" xfId="0" applyFont="1" applyFill="1" applyAlignment="1">
      <alignment horizontal="center" wrapText="1"/>
    </xf>
    <xf numFmtId="0" fontId="17" fillId="3" borderId="0" xfId="0" applyFont="1" applyFill="1" applyAlignment="1">
      <alignment horizontal="center"/>
    </xf>
    <xf numFmtId="0" fontId="0" fillId="3" borderId="0" xfId="0" applyFill="1"/>
    <xf numFmtId="43" fontId="0" fillId="3" borderId="0" xfId="1" applyFont="1" applyFill="1"/>
    <xf numFmtId="43" fontId="4" fillId="3" borderId="0" xfId="1" applyFont="1" applyFill="1" applyBorder="1"/>
    <xf numFmtId="43" fontId="3" fillId="3" borderId="0" xfId="1" applyFont="1" applyFill="1" applyBorder="1" applyAlignment="1">
      <alignment horizontal="center" vertical="center" wrapText="1"/>
    </xf>
    <xf numFmtId="0" fontId="3" fillId="2" borderId="12" xfId="0" applyFont="1" applyFill="1" applyBorder="1" applyAlignment="1">
      <alignment horizontal="left" vertical="center" wrapText="1"/>
    </xf>
    <xf numFmtId="43" fontId="8" fillId="2" borderId="13" xfId="1" applyFont="1" applyFill="1" applyBorder="1"/>
    <xf numFmtId="43" fontId="4" fillId="0" borderId="0" xfId="1" applyFont="1"/>
    <xf numFmtId="43" fontId="8" fillId="3" borderId="0" xfId="1" applyFont="1" applyFill="1" applyBorder="1"/>
    <xf numFmtId="166" fontId="3" fillId="3" borderId="0" xfId="1" applyNumberFormat="1" applyFont="1" applyFill="1" applyBorder="1" applyAlignment="1">
      <alignment horizontal="right" vertical="center" indent="1"/>
    </xf>
    <xf numFmtId="43" fontId="7" fillId="2" borderId="13" xfId="1" applyFont="1" applyFill="1" applyBorder="1"/>
    <xf numFmtId="0" fontId="5" fillId="3" borderId="12" xfId="0" applyFont="1" applyFill="1" applyBorder="1" applyAlignment="1">
      <alignment vertical="center" wrapText="1"/>
    </xf>
    <xf numFmtId="4" fontId="5" fillId="3" borderId="6" xfId="0" applyNumberFormat="1" applyFont="1" applyFill="1" applyBorder="1" applyAlignment="1">
      <alignment horizontal="left" vertical="center" wrapText="1"/>
    </xf>
    <xf numFmtId="4" fontId="4" fillId="3" borderId="13" xfId="1" applyNumberFormat="1" applyFont="1" applyFill="1" applyBorder="1"/>
    <xf numFmtId="4" fontId="4" fillId="3" borderId="0" xfId="1" applyNumberFormat="1" applyFont="1" applyFill="1" applyBorder="1"/>
    <xf numFmtId="4" fontId="4" fillId="3" borderId="13" xfId="0" applyNumberFormat="1" applyFont="1" applyFill="1" applyBorder="1"/>
    <xf numFmtId="43" fontId="10" fillId="3" borderId="13" xfId="0" applyNumberFormat="1" applyFont="1" applyFill="1" applyBorder="1"/>
    <xf numFmtId="0" fontId="10" fillId="3" borderId="13" xfId="0" applyFont="1" applyFill="1" applyBorder="1"/>
    <xf numFmtId="43" fontId="8" fillId="2" borderId="13" xfId="0" applyNumberFormat="1" applyFont="1" applyFill="1" applyBorder="1"/>
    <xf numFmtId="3" fontId="7" fillId="2" borderId="13" xfId="0" applyNumberFormat="1" applyFont="1" applyFill="1" applyBorder="1"/>
    <xf numFmtId="4" fontId="4" fillId="3" borderId="0" xfId="0" applyNumberFormat="1" applyFont="1" applyFill="1"/>
    <xf numFmtId="0" fontId="5" fillId="0" borderId="12" xfId="0" applyFont="1" applyBorder="1" applyAlignment="1">
      <alignment vertical="center" wrapText="1"/>
    </xf>
    <xf numFmtId="4" fontId="5" fillId="0" borderId="6" xfId="0" applyNumberFormat="1" applyFont="1" applyBorder="1" applyAlignment="1">
      <alignment horizontal="left" vertical="center" wrapText="1"/>
    </xf>
    <xf numFmtId="4" fontId="4" fillId="0" borderId="13" xfId="1" applyNumberFormat="1" applyFont="1" applyBorder="1"/>
    <xf numFmtId="0" fontId="10" fillId="0" borderId="13" xfId="0" applyFont="1" applyBorder="1"/>
    <xf numFmtId="4" fontId="4" fillId="4" borderId="13" xfId="1" applyNumberFormat="1" applyFont="1" applyFill="1" applyBorder="1"/>
    <xf numFmtId="166" fontId="3" fillId="3" borderId="0" xfId="1" applyNumberFormat="1" applyFont="1" applyFill="1" applyBorder="1" applyAlignment="1">
      <alignment horizontal="right" vertical="center" wrapText="1" indent="1"/>
    </xf>
    <xf numFmtId="166" fontId="5" fillId="3" borderId="13" xfId="1" applyNumberFormat="1" applyFont="1" applyFill="1" applyBorder="1" applyAlignment="1">
      <alignment horizontal="right" vertical="center" indent="1"/>
    </xf>
    <xf numFmtId="43" fontId="10" fillId="4" borderId="13" xfId="1" applyFont="1" applyFill="1" applyBorder="1"/>
    <xf numFmtId="43" fontId="8" fillId="2" borderId="10" xfId="2" applyNumberFormat="1" applyFont="1" applyFill="1" applyBorder="1"/>
    <xf numFmtId="43" fontId="8" fillId="3" borderId="0" xfId="2" applyNumberFormat="1" applyFont="1" applyFill="1" applyBorder="1"/>
    <xf numFmtId="165" fontId="3" fillId="2" borderId="14" xfId="1" applyNumberFormat="1" applyFont="1" applyFill="1" applyBorder="1"/>
    <xf numFmtId="165" fontId="3" fillId="2" borderId="15" xfId="1" applyNumberFormat="1" applyFont="1" applyFill="1" applyBorder="1"/>
    <xf numFmtId="43" fontId="7" fillId="2" borderId="10" xfId="0" applyNumberFormat="1" applyFont="1" applyFill="1" applyBorder="1"/>
    <xf numFmtId="43" fontId="4" fillId="3" borderId="0" xfId="0" applyNumberFormat="1" applyFont="1" applyFill="1"/>
    <xf numFmtId="43" fontId="3" fillId="2" borderId="16" xfId="0" applyNumberFormat="1" applyFont="1" applyFill="1" applyBorder="1"/>
    <xf numFmtId="43" fontId="5" fillId="3" borderId="16" xfId="1" applyFont="1" applyFill="1" applyBorder="1"/>
    <xf numFmtId="43" fontId="3" fillId="2" borderId="17" xfId="2" applyNumberFormat="1" applyFont="1" applyFill="1" applyBorder="1"/>
    <xf numFmtId="0" fontId="19" fillId="0" borderId="0" xfId="0" applyFont="1"/>
    <xf numFmtId="0" fontId="21" fillId="0" borderId="0" xfId="0" applyFont="1"/>
    <xf numFmtId="9" fontId="0" fillId="3" borderId="0" xfId="2" applyFont="1" applyFill="1"/>
    <xf numFmtId="9" fontId="0" fillId="3" borderId="0" xfId="0" applyNumberFormat="1" applyFill="1"/>
    <xf numFmtId="0" fontId="0" fillId="3" borderId="22" xfId="0" applyFill="1" applyBorder="1"/>
    <xf numFmtId="0" fontId="17" fillId="3" borderId="5" xfId="0" applyFont="1" applyFill="1" applyBorder="1" applyAlignment="1">
      <alignment horizontal="center"/>
    </xf>
    <xf numFmtId="3" fontId="17" fillId="3" borderId="5" xfId="0" applyNumberFormat="1" applyFont="1" applyFill="1" applyBorder="1"/>
    <xf numFmtId="3" fontId="0" fillId="3" borderId="0" xfId="0" applyNumberFormat="1" applyFill="1"/>
    <xf numFmtId="0" fontId="0" fillId="3" borderId="5" xfId="0" applyFill="1" applyBorder="1"/>
    <xf numFmtId="3" fontId="0" fillId="3" borderId="5" xfId="0" applyNumberFormat="1" applyFill="1" applyBorder="1"/>
    <xf numFmtId="0" fontId="14" fillId="3" borderId="5" xfId="0" applyFont="1" applyFill="1" applyBorder="1" applyAlignment="1">
      <alignment horizontal="center"/>
    </xf>
    <xf numFmtId="3" fontId="14" fillId="3" borderId="5" xfId="0" applyNumberFormat="1" applyFont="1" applyFill="1" applyBorder="1"/>
    <xf numFmtId="0" fontId="21" fillId="3" borderId="5" xfId="0" applyFont="1" applyFill="1" applyBorder="1"/>
    <xf numFmtId="3" fontId="0" fillId="3" borderId="5" xfId="1" applyNumberFormat="1" applyFont="1" applyFill="1" applyBorder="1"/>
    <xf numFmtId="3" fontId="14" fillId="3" borderId="5" xfId="1" applyNumberFormat="1" applyFont="1" applyFill="1" applyBorder="1"/>
    <xf numFmtId="3" fontId="1" fillId="3" borderId="5" xfId="1" applyNumberFormat="1" applyFont="1" applyFill="1" applyBorder="1"/>
    <xf numFmtId="3" fontId="0" fillId="0" borderId="0" xfId="0" applyNumberFormat="1"/>
    <xf numFmtId="165" fontId="0" fillId="3" borderId="0" xfId="1" applyNumberFormat="1" applyFont="1" applyFill="1"/>
    <xf numFmtId="0" fontId="0" fillId="3" borderId="24" xfId="0" applyFill="1" applyBorder="1"/>
    <xf numFmtId="3" fontId="0" fillId="3" borderId="24" xfId="1" applyNumberFormat="1" applyFont="1" applyFill="1" applyBorder="1"/>
    <xf numFmtId="3" fontId="17" fillId="3" borderId="5" xfId="1" applyNumberFormat="1" applyFont="1" applyFill="1" applyBorder="1"/>
    <xf numFmtId="3" fontId="9" fillId="3" borderId="5" xfId="1" applyNumberFormat="1" applyFont="1" applyFill="1" applyBorder="1"/>
    <xf numFmtId="0" fontId="14" fillId="3" borderId="5" xfId="0" applyFont="1" applyFill="1" applyBorder="1" applyAlignment="1">
      <alignment horizontal="right"/>
    </xf>
    <xf numFmtId="3" fontId="22" fillId="3" borderId="5" xfId="1" applyNumberFormat="1" applyFont="1" applyFill="1" applyBorder="1"/>
    <xf numFmtId="0" fontId="0" fillId="3" borderId="5" xfId="0" applyFill="1" applyBorder="1" applyAlignment="1">
      <alignment wrapText="1"/>
    </xf>
    <xf numFmtId="0" fontId="11" fillId="3" borderId="5" xfId="0" applyFont="1" applyFill="1" applyBorder="1" applyAlignment="1">
      <alignment horizontal="center"/>
    </xf>
    <xf numFmtId="3" fontId="11" fillId="3" borderId="5" xfId="1" applyNumberFormat="1" applyFont="1" applyFill="1" applyBorder="1"/>
    <xf numFmtId="3" fontId="0" fillId="3" borderId="0" xfId="1" applyNumberFormat="1" applyFont="1" applyFill="1"/>
    <xf numFmtId="0" fontId="14" fillId="3" borderId="22" xfId="0" applyFont="1" applyFill="1" applyBorder="1"/>
    <xf numFmtId="3" fontId="14" fillId="3" borderId="22" xfId="1" applyNumberFormat="1" applyFont="1" applyFill="1" applyBorder="1"/>
    <xf numFmtId="0" fontId="14" fillId="3" borderId="5" xfId="0" applyFont="1" applyFill="1" applyBorder="1"/>
    <xf numFmtId="3" fontId="14" fillId="3" borderId="24" xfId="1" applyNumberFormat="1" applyFont="1" applyFill="1" applyBorder="1"/>
    <xf numFmtId="0" fontId="14" fillId="4" borderId="0" xfId="0" applyFont="1" applyFill="1"/>
    <xf numFmtId="0" fontId="0" fillId="4" borderId="0" xfId="0" applyFill="1"/>
    <xf numFmtId="0" fontId="36" fillId="3" borderId="0" xfId="0" applyFont="1" applyFill="1" applyAlignment="1">
      <alignment horizontal="left" vertical="center" wrapText="1" indent="2"/>
    </xf>
    <xf numFmtId="166" fontId="38" fillId="3" borderId="0" xfId="1" applyNumberFormat="1" applyFont="1" applyFill="1" applyBorder="1" applyAlignment="1">
      <alignment horizontal="right" vertical="center" wrapText="1"/>
    </xf>
    <xf numFmtId="167" fontId="38" fillId="3" borderId="0" xfId="1" applyNumberFormat="1" applyFont="1" applyFill="1" applyBorder="1" applyAlignment="1">
      <alignment horizontal="right" vertical="center" wrapText="1"/>
    </xf>
    <xf numFmtId="0" fontId="40" fillId="3" borderId="0" xfId="0" applyFont="1" applyFill="1" applyAlignment="1">
      <alignment vertical="justify"/>
    </xf>
    <xf numFmtId="0" fontId="15" fillId="3" borderId="0" xfId="0" applyFont="1" applyFill="1" applyAlignment="1">
      <alignment horizontal="center"/>
    </xf>
    <xf numFmtId="43" fontId="0" fillId="3" borderId="0" xfId="0" applyNumberFormat="1" applyFill="1"/>
    <xf numFmtId="43" fontId="16" fillId="3" borderId="0" xfId="1" applyFont="1" applyFill="1"/>
    <xf numFmtId="4" fontId="0" fillId="3" borderId="0" xfId="0" applyNumberFormat="1" applyFill="1"/>
    <xf numFmtId="43" fontId="8" fillId="3" borderId="0" xfId="1" applyFont="1" applyFill="1" applyAlignment="1">
      <alignment horizontal="center" wrapText="1"/>
    </xf>
    <xf numFmtId="0" fontId="42" fillId="3" borderId="0" xfId="0" applyFont="1" applyFill="1"/>
    <xf numFmtId="4" fontId="42" fillId="3" borderId="0" xfId="0" applyNumberFormat="1" applyFont="1" applyFill="1"/>
    <xf numFmtId="43" fontId="8" fillId="3" borderId="0" xfId="1" applyFont="1" applyFill="1" applyAlignment="1">
      <alignment wrapText="1"/>
    </xf>
    <xf numFmtId="43" fontId="8" fillId="3" borderId="0" xfId="0" applyNumberFormat="1" applyFont="1" applyFill="1" applyAlignment="1">
      <alignment horizontal="center"/>
    </xf>
    <xf numFmtId="0" fontId="8" fillId="3" borderId="0" xfId="0" applyFont="1" applyFill="1"/>
    <xf numFmtId="43" fontId="8" fillId="3" borderId="0" xfId="0" applyNumberFormat="1" applyFont="1" applyFill="1" applyAlignment="1">
      <alignment horizontal="center" wrapText="1"/>
    </xf>
    <xf numFmtId="10" fontId="0" fillId="3" borderId="0" xfId="0" applyNumberFormat="1" applyFill="1"/>
    <xf numFmtId="10" fontId="42" fillId="3" borderId="0" xfId="0" applyNumberFormat="1" applyFont="1" applyFill="1"/>
    <xf numFmtId="2" fontId="4" fillId="3" borderId="0" xfId="0" applyNumberFormat="1" applyFont="1" applyFill="1"/>
    <xf numFmtId="165" fontId="42" fillId="3" borderId="0" xfId="0" applyNumberFormat="1" applyFont="1" applyFill="1"/>
    <xf numFmtId="43" fontId="42" fillId="3" borderId="0" xfId="0" applyNumberFormat="1" applyFont="1" applyFill="1"/>
    <xf numFmtId="4" fontId="8" fillId="3" borderId="0" xfId="1" applyNumberFormat="1" applyFont="1" applyFill="1" applyBorder="1" applyAlignment="1">
      <alignment horizontal="center" wrapText="1"/>
    </xf>
    <xf numFmtId="0" fontId="41" fillId="3" borderId="0" xfId="0" applyFont="1" applyFill="1"/>
    <xf numFmtId="0" fontId="21" fillId="3" borderId="0" xfId="0" applyFont="1" applyFill="1"/>
    <xf numFmtId="0" fontId="13" fillId="3" borderId="0" xfId="0" applyFont="1" applyFill="1"/>
    <xf numFmtId="0" fontId="43" fillId="0" borderId="0" xfId="0" applyFont="1"/>
    <xf numFmtId="0" fontId="3" fillId="2" borderId="6" xfId="0" applyFont="1" applyFill="1" applyBorder="1" applyAlignment="1">
      <alignment horizontal="left" vertical="center" wrapText="1"/>
    </xf>
    <xf numFmtId="0" fontId="3" fillId="2" borderId="12" xfId="0" applyFont="1" applyFill="1" applyBorder="1" applyAlignment="1">
      <alignment horizontal="left" vertical="center"/>
    </xf>
    <xf numFmtId="0" fontId="5" fillId="3" borderId="6" xfId="0" applyFont="1" applyFill="1" applyBorder="1" applyAlignment="1">
      <alignment horizontal="left" vertical="center" wrapText="1"/>
    </xf>
    <xf numFmtId="0" fontId="14" fillId="7" borderId="6" xfId="0" applyFont="1" applyFill="1" applyBorder="1" applyAlignment="1">
      <alignment horizontal="center"/>
    </xf>
    <xf numFmtId="3" fontId="32" fillId="3" borderId="0" xfId="0" applyNumberFormat="1" applyFont="1" applyFill="1" applyAlignment="1">
      <alignment horizontal="right" vertical="center" wrapText="1"/>
    </xf>
    <xf numFmtId="3" fontId="33" fillId="3" borderId="0" xfId="0" applyNumberFormat="1" applyFont="1" applyFill="1" applyAlignment="1">
      <alignment horizontal="right" vertical="center" wrapText="1"/>
    </xf>
    <xf numFmtId="3" fontId="33" fillId="3" borderId="0" xfId="1" applyNumberFormat="1" applyFont="1" applyFill="1" applyBorder="1" applyAlignment="1">
      <alignment horizontal="right" vertical="center" wrapText="1"/>
    </xf>
    <xf numFmtId="3" fontId="37" fillId="3" borderId="0" xfId="0" applyNumberFormat="1" applyFont="1" applyFill="1" applyAlignment="1">
      <alignment horizontal="right" vertical="center" wrapText="1"/>
    </xf>
    <xf numFmtId="3" fontId="38" fillId="3" borderId="0" xfId="0" applyNumberFormat="1" applyFont="1" applyFill="1" applyAlignment="1">
      <alignment horizontal="right" vertical="center" wrapText="1"/>
    </xf>
    <xf numFmtId="3" fontId="38" fillId="3" borderId="0" xfId="1" applyNumberFormat="1" applyFont="1" applyFill="1" applyBorder="1" applyAlignment="1">
      <alignment horizontal="right" vertical="center" wrapText="1"/>
    </xf>
    <xf numFmtId="0" fontId="29" fillId="6" borderId="23" xfId="0" applyFont="1" applyFill="1" applyBorder="1" applyAlignment="1">
      <alignment horizontal="center" vertical="center" wrapText="1"/>
    </xf>
    <xf numFmtId="0" fontId="29" fillId="6" borderId="28" xfId="0" applyFont="1" applyFill="1" applyBorder="1" applyAlignment="1">
      <alignment horizontal="center" vertical="center" wrapText="1"/>
    </xf>
    <xf numFmtId="3" fontId="30" fillId="6" borderId="28" xfId="0" applyNumberFormat="1" applyFont="1" applyFill="1" applyBorder="1" applyAlignment="1">
      <alignment horizontal="right" vertical="center" wrapText="1"/>
    </xf>
    <xf numFmtId="3" fontId="30" fillId="6" borderId="29" xfId="0" applyNumberFormat="1" applyFont="1" applyFill="1" applyBorder="1" applyAlignment="1">
      <alignment horizontal="right" vertical="center" wrapText="1"/>
    </xf>
    <xf numFmtId="3" fontId="33" fillId="3" borderId="31" xfId="0" applyNumberFormat="1" applyFont="1" applyFill="1" applyBorder="1" applyAlignment="1">
      <alignment horizontal="right" vertical="center" wrapText="1"/>
    </xf>
    <xf numFmtId="3" fontId="32" fillId="3" borderId="31" xfId="0" applyNumberFormat="1" applyFont="1" applyFill="1" applyBorder="1" applyAlignment="1">
      <alignment horizontal="right" vertical="center" wrapText="1"/>
    </xf>
    <xf numFmtId="0" fontId="34" fillId="3" borderId="30" xfId="0" applyFont="1" applyFill="1" applyBorder="1" applyAlignment="1">
      <alignment horizontal="left" vertical="center" wrapText="1"/>
    </xf>
    <xf numFmtId="3" fontId="32" fillId="3" borderId="25" xfId="0" applyNumberFormat="1" applyFont="1" applyFill="1" applyBorder="1" applyAlignment="1">
      <alignment horizontal="right" vertical="center" wrapText="1"/>
    </xf>
    <xf numFmtId="3" fontId="33" fillId="3" borderId="25" xfId="0" applyNumberFormat="1" applyFont="1" applyFill="1" applyBorder="1" applyAlignment="1">
      <alignment horizontal="right" vertical="center" wrapText="1"/>
    </xf>
    <xf numFmtId="3" fontId="33" fillId="3" borderId="25" xfId="1" applyNumberFormat="1" applyFont="1" applyFill="1" applyBorder="1" applyAlignment="1">
      <alignment horizontal="right" vertical="center" wrapText="1"/>
    </xf>
    <xf numFmtId="3" fontId="33" fillId="3" borderId="32" xfId="1" applyNumberFormat="1" applyFont="1" applyFill="1" applyBorder="1" applyAlignment="1">
      <alignment horizontal="right" vertical="center" wrapText="1"/>
    </xf>
    <xf numFmtId="0" fontId="36" fillId="3" borderId="30" xfId="0" applyFont="1" applyFill="1" applyBorder="1" applyAlignment="1">
      <alignment horizontal="left" vertical="center" wrapText="1" indent="2"/>
    </xf>
    <xf numFmtId="3" fontId="38" fillId="3" borderId="31" xfId="1" applyNumberFormat="1" applyFont="1" applyFill="1" applyBorder="1" applyAlignment="1">
      <alignment horizontal="right" vertical="center" wrapText="1"/>
    </xf>
    <xf numFmtId="3" fontId="38" fillId="3" borderId="31" xfId="0" applyNumberFormat="1" applyFont="1" applyFill="1" applyBorder="1" applyAlignment="1">
      <alignment horizontal="right" vertical="center" wrapText="1"/>
    </xf>
    <xf numFmtId="0" fontId="36" fillId="3" borderId="26" xfId="0" applyFont="1" applyFill="1" applyBorder="1" applyAlignment="1">
      <alignment horizontal="left" vertical="center" wrapText="1" indent="2"/>
    </xf>
    <xf numFmtId="0" fontId="36" fillId="3" borderId="25" xfId="0" applyFont="1" applyFill="1" applyBorder="1" applyAlignment="1">
      <alignment horizontal="left" vertical="center" wrapText="1" indent="2"/>
    </xf>
    <xf numFmtId="3" fontId="37" fillId="3" borderId="25" xfId="0" applyNumberFormat="1" applyFont="1" applyFill="1" applyBorder="1" applyAlignment="1">
      <alignment horizontal="right" vertical="center" wrapText="1"/>
    </xf>
    <xf numFmtId="3" fontId="38" fillId="3" borderId="25" xfId="0" applyNumberFormat="1" applyFont="1" applyFill="1" applyBorder="1" applyAlignment="1">
      <alignment horizontal="right" vertical="center" wrapText="1"/>
    </xf>
    <xf numFmtId="3" fontId="38" fillId="3" borderId="25" xfId="1" applyNumberFormat="1" applyFont="1" applyFill="1" applyBorder="1" applyAlignment="1">
      <alignment horizontal="right" vertical="center" wrapText="1"/>
    </xf>
    <xf numFmtId="3" fontId="38" fillId="3" borderId="32" xfId="1" applyNumberFormat="1" applyFont="1" applyFill="1" applyBorder="1" applyAlignment="1">
      <alignment horizontal="right" vertical="center" wrapText="1"/>
    </xf>
    <xf numFmtId="4" fontId="0" fillId="0" borderId="0" xfId="0" applyNumberFormat="1"/>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43" fontId="3" fillId="2" borderId="6" xfId="0" applyNumberFormat="1" applyFont="1" applyFill="1" applyBorder="1" applyAlignment="1">
      <alignment horizontal="lef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3" fontId="5" fillId="3" borderId="6" xfId="1" applyFont="1" applyFill="1" applyBorder="1"/>
    <xf numFmtId="43" fontId="8" fillId="3" borderId="0" xfId="0" applyNumberFormat="1" applyFont="1" applyFill="1"/>
    <xf numFmtId="43" fontId="0" fillId="3" borderId="0" xfId="1" applyFont="1" applyFill="1" applyBorder="1"/>
    <xf numFmtId="0" fontId="11" fillId="3" borderId="0" xfId="0" applyFont="1" applyFill="1" applyAlignment="1">
      <alignment horizontal="center"/>
    </xf>
    <xf numFmtId="0" fontId="11" fillId="3" borderId="0" xfId="0" applyFont="1" applyFill="1" applyAlignment="1">
      <alignment horizontal="center" wrapText="1"/>
    </xf>
    <xf numFmtId="0" fontId="6" fillId="3" borderId="0" xfId="0" applyFont="1" applyFill="1" applyAlignment="1">
      <alignment horizontal="center"/>
    </xf>
    <xf numFmtId="43" fontId="4" fillId="4" borderId="0" xfId="0" applyNumberFormat="1" applyFont="1" applyFill="1"/>
    <xf numFmtId="43" fontId="17" fillId="3" borderId="0" xfId="0" applyNumberFormat="1" applyFont="1" applyFill="1" applyAlignment="1">
      <alignment horizontal="center"/>
    </xf>
    <xf numFmtId="4" fontId="4" fillId="4" borderId="0" xfId="0" applyNumberFormat="1" applyFont="1" applyFill="1"/>
    <xf numFmtId="0" fontId="11" fillId="2" borderId="0" xfId="0" applyFont="1" applyFill="1"/>
    <xf numFmtId="43" fontId="7" fillId="3" borderId="0" xfId="0" applyNumberFormat="1" applyFont="1" applyFill="1"/>
    <xf numFmtId="0" fontId="3" fillId="3" borderId="24"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43" fillId="3" borderId="0" xfId="0" applyFont="1" applyFill="1"/>
    <xf numFmtId="43" fontId="43" fillId="3" borderId="0" xfId="1" applyFont="1" applyFill="1"/>
    <xf numFmtId="43" fontId="21" fillId="3" borderId="0" xfId="1" applyFont="1" applyFill="1"/>
    <xf numFmtId="43" fontId="6" fillId="3" borderId="0" xfId="1" applyFont="1" applyFill="1"/>
    <xf numFmtId="8" fontId="46" fillId="3" borderId="33" xfId="0" applyNumberFormat="1" applyFont="1" applyFill="1" applyBorder="1" applyAlignment="1">
      <alignment vertical="top" wrapText="1"/>
    </xf>
    <xf numFmtId="8" fontId="16" fillId="3" borderId="0" xfId="0" applyNumberFormat="1" applyFont="1" applyFill="1"/>
    <xf numFmtId="4" fontId="3" fillId="2" borderId="6" xfId="0" applyNumberFormat="1" applyFont="1" applyFill="1" applyBorder="1" applyAlignment="1">
      <alignment horizontal="center" vertical="center" wrapText="1"/>
    </xf>
    <xf numFmtId="43" fontId="4" fillId="3" borderId="0" xfId="1" applyFont="1" applyFill="1" applyAlignment="1">
      <alignment horizontal="left"/>
    </xf>
    <xf numFmtId="0" fontId="5" fillId="3" borderId="12" xfId="0" applyFont="1" applyFill="1" applyBorder="1" applyAlignment="1">
      <alignment horizontal="left" vertical="center"/>
    </xf>
    <xf numFmtId="43" fontId="3" fillId="2" borderId="13" xfId="0" applyNumberFormat="1" applyFont="1" applyFill="1" applyBorder="1" applyAlignment="1">
      <alignment horizontal="left" vertical="center" wrapText="1"/>
    </xf>
    <xf numFmtId="4" fontId="3" fillId="2" borderId="13" xfId="0" applyNumberFormat="1" applyFont="1" applyFill="1" applyBorder="1" applyAlignment="1">
      <alignment horizontal="center" vertical="center" wrapText="1"/>
    </xf>
    <xf numFmtId="4" fontId="4" fillId="3" borderId="0" xfId="0" applyNumberFormat="1" applyFont="1" applyFill="1" applyAlignment="1">
      <alignment horizontal="left"/>
    </xf>
    <xf numFmtId="0" fontId="4" fillId="3" borderId="0" xfId="0" applyFont="1" applyFill="1" applyAlignment="1">
      <alignment horizontal="left"/>
    </xf>
    <xf numFmtId="43" fontId="4" fillId="3" borderId="0" xfId="0" applyNumberFormat="1" applyFont="1" applyFill="1" applyAlignment="1">
      <alignment horizontal="left"/>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wrapText="1"/>
    </xf>
    <xf numFmtId="4" fontId="3" fillId="3" borderId="15" xfId="0" applyNumberFormat="1" applyFont="1" applyFill="1" applyBorder="1" applyAlignment="1">
      <alignment horizontal="center" vertical="center" wrapText="1"/>
    </xf>
    <xf numFmtId="43" fontId="3" fillId="3" borderId="10" xfId="0" applyNumberFormat="1" applyFont="1" applyFill="1" applyBorder="1" applyAlignment="1">
      <alignment horizontal="left" vertical="center" wrapText="1"/>
    </xf>
    <xf numFmtId="4" fontId="3" fillId="3" borderId="10" xfId="0" applyNumberFormat="1" applyFont="1" applyFill="1" applyBorder="1" applyAlignment="1">
      <alignment horizontal="center" vertical="center" wrapText="1"/>
    </xf>
    <xf numFmtId="43" fontId="5" fillId="3" borderId="6" xfId="0" applyNumberFormat="1" applyFont="1" applyFill="1" applyBorder="1" applyAlignment="1">
      <alignment horizontal="left" vertical="center" wrapText="1"/>
    </xf>
    <xf numFmtId="4" fontId="47" fillId="3" borderId="6" xfId="0" applyNumberFormat="1" applyFont="1" applyFill="1" applyBorder="1" applyAlignment="1">
      <alignment horizontal="center"/>
    </xf>
    <xf numFmtId="43" fontId="5" fillId="3" borderId="6" xfId="1" applyFont="1" applyFill="1" applyBorder="1" applyAlignment="1">
      <alignment horizontal="left" vertical="center" wrapText="1"/>
    </xf>
    <xf numFmtId="9" fontId="3" fillId="2" borderId="6" xfId="2" applyFont="1" applyFill="1" applyBorder="1" applyAlignment="1">
      <alignment horizontal="center" vertical="center" wrapText="1"/>
    </xf>
    <xf numFmtId="9" fontId="5" fillId="3" borderId="6" xfId="2" applyFont="1" applyFill="1" applyBorder="1" applyAlignment="1">
      <alignment horizontal="center" vertical="center" wrapText="1"/>
    </xf>
    <xf numFmtId="9" fontId="20" fillId="2" borderId="6" xfId="2" applyFont="1" applyFill="1" applyBorder="1" applyAlignment="1">
      <alignment horizontal="center"/>
    </xf>
    <xf numFmtId="0" fontId="4" fillId="3" borderId="24" xfId="0" applyFont="1" applyFill="1" applyBorder="1"/>
    <xf numFmtId="0" fontId="3" fillId="3" borderId="36" xfId="0" applyFont="1" applyFill="1" applyBorder="1" applyAlignment="1">
      <alignment horizontal="center" vertical="center"/>
    </xf>
    <xf numFmtId="0" fontId="4" fillId="3" borderId="20" xfId="0" applyFont="1" applyFill="1" applyBorder="1"/>
    <xf numFmtId="4" fontId="8" fillId="3" borderId="10" xfId="0" applyNumberFormat="1" applyFont="1" applyFill="1" applyBorder="1"/>
    <xf numFmtId="43" fontId="3" fillId="3" borderId="15" xfId="0" applyNumberFormat="1" applyFont="1" applyFill="1" applyBorder="1" applyAlignment="1">
      <alignment horizontal="left" vertical="center" wrapText="1"/>
    </xf>
    <xf numFmtId="4" fontId="19" fillId="3" borderId="13" xfId="0" applyNumberFormat="1" applyFont="1" applyFill="1" applyBorder="1"/>
    <xf numFmtId="0" fontId="4" fillId="3" borderId="12" xfId="0" applyFont="1" applyFill="1" applyBorder="1"/>
    <xf numFmtId="0" fontId="4" fillId="3" borderId="6" xfId="0" applyFont="1" applyFill="1" applyBorder="1"/>
    <xf numFmtId="166" fontId="5" fillId="3" borderId="6" xfId="1" applyNumberFormat="1" applyFont="1" applyFill="1" applyBorder="1" applyAlignment="1">
      <alignment horizontal="right" vertical="center" indent="1"/>
    </xf>
    <xf numFmtId="43" fontId="5" fillId="3" borderId="13" xfId="1" applyFont="1" applyFill="1" applyBorder="1"/>
    <xf numFmtId="43" fontId="19" fillId="3" borderId="0" xfId="0" applyNumberFormat="1" applyFont="1" applyFill="1"/>
    <xf numFmtId="43" fontId="5" fillId="3" borderId="0" xfId="1" applyFont="1" applyFill="1" applyBorder="1"/>
    <xf numFmtId="0" fontId="19" fillId="3" borderId="0" xfId="0" applyFont="1" applyFill="1"/>
    <xf numFmtId="43" fontId="3" fillId="3" borderId="0" xfId="0" applyNumberFormat="1" applyFont="1" applyFill="1"/>
    <xf numFmtId="43" fontId="19" fillId="3" borderId="0" xfId="1" applyFont="1" applyFill="1"/>
    <xf numFmtId="43" fontId="5" fillId="0" borderId="16" xfId="1" applyFont="1" applyBorder="1"/>
    <xf numFmtId="43" fontId="5" fillId="0" borderId="13" xfId="1" applyFont="1" applyBorder="1"/>
    <xf numFmtId="43" fontId="5" fillId="0" borderId="6" xfId="1" applyFont="1" applyBorder="1"/>
    <xf numFmtId="43" fontId="3" fillId="2" borderId="13" xfId="0" applyNumberFormat="1" applyFont="1" applyFill="1" applyBorder="1"/>
    <xf numFmtId="0" fontId="5" fillId="3" borderId="12" xfId="0" applyFont="1" applyFill="1" applyBorder="1"/>
    <xf numFmtId="0" fontId="5" fillId="3" borderId="6" xfId="0" applyFont="1" applyFill="1" applyBorder="1"/>
    <xf numFmtId="0" fontId="5" fillId="3" borderId="14" xfId="0" applyFont="1" applyFill="1" applyBorder="1"/>
    <xf numFmtId="0" fontId="5" fillId="3" borderId="15" xfId="0" applyFont="1" applyFill="1" applyBorder="1"/>
    <xf numFmtId="43" fontId="5" fillId="3" borderId="17" xfId="1" applyFont="1" applyFill="1" applyBorder="1"/>
    <xf numFmtId="43" fontId="5" fillId="3" borderId="15" xfId="1" applyFont="1" applyFill="1" applyBorder="1"/>
    <xf numFmtId="43" fontId="5" fillId="3" borderId="10" xfId="1" applyFont="1" applyFill="1" applyBorder="1"/>
    <xf numFmtId="43" fontId="3" fillId="2" borderId="10" xfId="2" applyNumberFormat="1" applyFont="1" applyFill="1" applyBorder="1"/>
    <xf numFmtId="43" fontId="3" fillId="3" borderId="0" xfId="2" applyNumberFormat="1" applyFont="1" applyFill="1" applyBorder="1"/>
    <xf numFmtId="165" fontId="3" fillId="2" borderId="3" xfId="1" applyNumberFormat="1" applyFont="1" applyFill="1" applyBorder="1"/>
    <xf numFmtId="165" fontId="3" fillId="2" borderId="4" xfId="1" applyNumberFormat="1" applyFont="1" applyFill="1" applyBorder="1"/>
    <xf numFmtId="43" fontId="3" fillId="2" borderId="9" xfId="2" applyNumberFormat="1" applyFont="1" applyFill="1" applyBorder="1"/>
    <xf numFmtId="0" fontId="3" fillId="3" borderId="26" xfId="0" applyFont="1" applyFill="1" applyBorder="1" applyAlignment="1">
      <alignment horizontal="center" vertical="center" wrapText="1"/>
    </xf>
    <xf numFmtId="4" fontId="5" fillId="3" borderId="16" xfId="0" applyNumberFormat="1" applyFont="1" applyFill="1" applyBorder="1" applyAlignment="1">
      <alignment horizontal="center" vertical="center" wrapText="1"/>
    </xf>
    <xf numFmtId="0" fontId="40" fillId="3" borderId="0" xfId="0" applyFont="1" applyFill="1" applyAlignment="1">
      <alignment horizontal="center" vertical="justify"/>
    </xf>
    <xf numFmtId="8" fontId="4" fillId="3" borderId="0" xfId="1" applyNumberFormat="1" applyFont="1" applyFill="1"/>
    <xf numFmtId="0" fontId="3" fillId="3" borderId="6" xfId="0" applyFont="1" applyFill="1" applyBorder="1" applyAlignment="1">
      <alignment horizontal="left" vertical="center" wrapText="1"/>
    </xf>
    <xf numFmtId="43" fontId="3" fillId="3" borderId="6" xfId="0" applyNumberFormat="1" applyFont="1" applyFill="1" applyBorder="1" applyAlignment="1">
      <alignment horizontal="left" vertical="center" wrapText="1"/>
    </xf>
    <xf numFmtId="43" fontId="5" fillId="3" borderId="13" xfId="0" applyNumberFormat="1" applyFont="1" applyFill="1" applyBorder="1" applyAlignment="1">
      <alignment horizontal="left" vertical="center" wrapText="1"/>
    </xf>
    <xf numFmtId="4" fontId="5" fillId="3" borderId="13" xfId="0" applyNumberFormat="1" applyFont="1" applyFill="1" applyBorder="1" applyAlignment="1">
      <alignment horizontal="center" vertical="center" wrapText="1"/>
    </xf>
    <xf numFmtId="43" fontId="19" fillId="3" borderId="0" xfId="1" applyFont="1" applyFill="1" applyAlignment="1">
      <alignment horizontal="left"/>
    </xf>
    <xf numFmtId="4" fontId="5" fillId="3" borderId="6" xfId="0" applyNumberFormat="1" applyFont="1" applyFill="1" applyBorder="1" applyAlignment="1">
      <alignment horizontal="center"/>
    </xf>
    <xf numFmtId="4" fontId="19" fillId="3" borderId="0" xfId="0" applyNumberFormat="1" applyFont="1" applyFill="1" applyAlignment="1">
      <alignment horizontal="left"/>
    </xf>
    <xf numFmtId="0" fontId="19" fillId="3" borderId="0" xfId="0" applyFont="1" applyFill="1" applyAlignment="1">
      <alignment horizontal="left"/>
    </xf>
    <xf numFmtId="0" fontId="14" fillId="0" borderId="0" xfId="0" applyFont="1"/>
    <xf numFmtId="43" fontId="3" fillId="2" borderId="6" xfId="0" applyNumberFormat="1" applyFont="1" applyFill="1" applyBorder="1" applyAlignment="1">
      <alignment horizontal="center" vertical="center" wrapText="1"/>
    </xf>
    <xf numFmtId="43" fontId="3" fillId="2" borderId="13" xfId="0" applyNumberFormat="1" applyFont="1" applyFill="1" applyBorder="1" applyAlignment="1">
      <alignment horizontal="center" vertical="center" wrapText="1"/>
    </xf>
    <xf numFmtId="43" fontId="4" fillId="3" borderId="0" xfId="1" applyFont="1" applyFill="1" applyAlignment="1">
      <alignment horizontal="center"/>
    </xf>
    <xf numFmtId="4" fontId="20" fillId="2" borderId="6" xfId="0" applyNumberFormat="1" applyFont="1" applyFill="1" applyBorder="1" applyAlignment="1">
      <alignment horizontal="center"/>
    </xf>
    <xf numFmtId="4" fontId="20" fillId="2" borderId="13" xfId="0" applyNumberFormat="1" applyFont="1" applyFill="1" applyBorder="1" applyAlignment="1">
      <alignment horizontal="center"/>
    </xf>
    <xf numFmtId="0" fontId="11" fillId="0" borderId="0" xfId="0" applyFont="1"/>
    <xf numFmtId="0" fontId="49" fillId="0" borderId="0" xfId="0" applyFont="1" applyAlignment="1">
      <alignment horizontal="center"/>
    </xf>
    <xf numFmtId="0" fontId="50" fillId="0" borderId="0" xfId="0" applyFont="1" applyAlignment="1">
      <alignment horizontal="center"/>
    </xf>
    <xf numFmtId="4" fontId="51" fillId="0" borderId="0" xfId="0" applyNumberFormat="1" applyFont="1" applyAlignment="1">
      <alignment horizontal="center"/>
    </xf>
    <xf numFmtId="4" fontId="52" fillId="8" borderId="34" xfId="0" applyNumberFormat="1" applyFont="1" applyFill="1" applyBorder="1" applyAlignment="1">
      <alignment horizontal="center"/>
    </xf>
    <xf numFmtId="4" fontId="51" fillId="0" borderId="34" xfId="0" applyNumberFormat="1" applyFont="1" applyBorder="1" applyAlignment="1">
      <alignment horizontal="center"/>
    </xf>
    <xf numFmtId="0" fontId="49" fillId="0" borderId="6" xfId="0" applyFont="1" applyBorder="1" applyAlignment="1">
      <alignment horizontal="center" vertical="center"/>
    </xf>
    <xf numFmtId="0" fontId="49" fillId="0" borderId="6" xfId="0" applyFont="1" applyBorder="1" applyAlignment="1">
      <alignment horizontal="center" vertical="center" wrapText="1"/>
    </xf>
    <xf numFmtId="0" fontId="49" fillId="0" borderId="0" xfId="0" applyFont="1" applyAlignment="1">
      <alignment horizontal="center" vertical="center" wrapText="1"/>
    </xf>
    <xf numFmtId="0" fontId="54" fillId="8" borderId="39" xfId="0" applyFont="1" applyFill="1" applyBorder="1" applyAlignment="1">
      <alignment horizontal="center" vertical="center" wrapText="1"/>
    </xf>
    <xf numFmtId="0" fontId="49" fillId="0" borderId="39" xfId="0" applyFont="1" applyBorder="1" applyAlignment="1">
      <alignment horizontal="center" vertical="center" wrapText="1"/>
    </xf>
    <xf numFmtId="0" fontId="55" fillId="0" borderId="14" xfId="0" applyFont="1" applyBorder="1" applyAlignment="1">
      <alignment vertical="center"/>
    </xf>
    <xf numFmtId="43" fontId="0" fillId="0" borderId="15" xfId="1" applyFont="1" applyBorder="1" applyAlignment="1">
      <alignment vertical="center"/>
    </xf>
    <xf numFmtId="43" fontId="0" fillId="0" borderId="10" xfId="1" applyFont="1" applyBorder="1" applyAlignment="1">
      <alignment vertical="center"/>
    </xf>
    <xf numFmtId="43" fontId="0" fillId="8" borderId="27" xfId="1" applyFont="1" applyFill="1" applyBorder="1" applyAlignment="1">
      <alignment vertical="center"/>
    </xf>
    <xf numFmtId="10" fontId="0" fillId="0" borderId="27" xfId="1" applyNumberFormat="1" applyFont="1" applyBorder="1" applyAlignment="1">
      <alignment horizontal="center" vertical="center"/>
    </xf>
    <xf numFmtId="0" fontId="49" fillId="0" borderId="37" xfId="0" applyFont="1" applyBorder="1" applyAlignment="1">
      <alignment horizontal="center" vertical="center" wrapText="1"/>
    </xf>
    <xf numFmtId="0" fontId="49" fillId="0" borderId="38" xfId="0" applyFont="1" applyBorder="1" applyAlignment="1">
      <alignment horizontal="center" vertical="center"/>
    </xf>
    <xf numFmtId="0" fontId="49" fillId="0" borderId="11" xfId="0" applyFont="1" applyBorder="1" applyAlignment="1">
      <alignment horizontal="center" vertical="center"/>
    </xf>
    <xf numFmtId="0" fontId="49" fillId="0" borderId="5" xfId="0" applyFont="1" applyBorder="1" applyAlignment="1">
      <alignment horizontal="center" vertical="center"/>
    </xf>
    <xf numFmtId="0" fontId="49" fillId="0" borderId="8" xfId="0" applyFont="1" applyBorder="1" applyAlignment="1">
      <alignment horizontal="center" vertical="center"/>
    </xf>
    <xf numFmtId="43" fontId="0" fillId="0" borderId="14" xfId="1" applyFont="1" applyBorder="1" applyAlignment="1">
      <alignment vertical="center"/>
    </xf>
    <xf numFmtId="0" fontId="14" fillId="0" borderId="0" xfId="0" applyFont="1" applyAlignment="1">
      <alignment horizontal="center" vertical="top"/>
    </xf>
    <xf numFmtId="0" fontId="14" fillId="0" borderId="0" xfId="0" applyFont="1" applyAlignment="1">
      <alignment horizontal="left" vertical="top"/>
    </xf>
    <xf numFmtId="0" fontId="21" fillId="0" borderId="0" xfId="0" applyFont="1" applyAlignment="1">
      <alignment vertical="center"/>
    </xf>
    <xf numFmtId="0" fontId="44" fillId="0" borderId="0" xfId="4"/>
    <xf numFmtId="0" fontId="6" fillId="0" borderId="0" xfId="0" applyFont="1" applyAlignment="1">
      <alignment vertical="center"/>
    </xf>
    <xf numFmtId="0" fontId="48" fillId="0" borderId="0" xfId="5"/>
    <xf numFmtId="0" fontId="31" fillId="3" borderId="30" xfId="0" applyFont="1" applyFill="1" applyBorder="1" applyAlignment="1">
      <alignment horizontal="left" vertical="center" wrapText="1"/>
    </xf>
    <xf numFmtId="0" fontId="31" fillId="3" borderId="0" xfId="0" applyFont="1" applyFill="1" applyAlignment="1">
      <alignment horizontal="left" vertical="center" wrapText="1"/>
    </xf>
    <xf numFmtId="0" fontId="34" fillId="3" borderId="0" xfId="0" applyFont="1" applyFill="1" applyAlignment="1">
      <alignment horizontal="left" vertical="center" wrapText="1"/>
    </xf>
    <xf numFmtId="0" fontId="31" fillId="3" borderId="26" xfId="0" applyFont="1" applyFill="1" applyBorder="1" applyAlignment="1">
      <alignment horizontal="left" vertical="center" wrapText="1"/>
    </xf>
    <xf numFmtId="0" fontId="31" fillId="3" borderId="25" xfId="0" applyFont="1" applyFill="1" applyBorder="1" applyAlignment="1">
      <alignment horizontal="left" vertical="center" wrapText="1"/>
    </xf>
    <xf numFmtId="0" fontId="23" fillId="3" borderId="0" xfId="0" applyFont="1" applyFill="1"/>
    <xf numFmtId="0" fontId="24" fillId="3" borderId="0" xfId="0" applyFont="1" applyFill="1" applyAlignment="1">
      <alignment horizontal="right"/>
    </xf>
    <xf numFmtId="0" fontId="27" fillId="3" borderId="30" xfId="0" applyFont="1" applyFill="1" applyBorder="1" applyAlignment="1">
      <alignment horizontal="center" vertical="center" wrapText="1"/>
    </xf>
    <xf numFmtId="0" fontId="27" fillId="3" borderId="0" xfId="0" applyFont="1" applyFill="1" applyAlignment="1">
      <alignment horizontal="center" vertical="center" wrapText="1"/>
    </xf>
    <xf numFmtId="0" fontId="28" fillId="3" borderId="0" xfId="0" applyFont="1" applyFill="1" applyAlignment="1">
      <alignment horizontal="center" vertical="center" wrapText="1"/>
    </xf>
    <xf numFmtId="0" fontId="28" fillId="3" borderId="31" xfId="0" applyFont="1" applyFill="1" applyBorder="1" applyAlignment="1">
      <alignment horizontal="center" vertical="center" wrapText="1"/>
    </xf>
    <xf numFmtId="0" fontId="35" fillId="3" borderId="30" xfId="0" applyFont="1" applyFill="1" applyBorder="1" applyAlignment="1">
      <alignment horizontal="center" vertical="center" wrapText="1"/>
    </xf>
    <xf numFmtId="0" fontId="35" fillId="3" borderId="0" xfId="0" applyFont="1" applyFill="1" applyAlignment="1">
      <alignment horizontal="center" vertical="center" wrapText="1"/>
    </xf>
    <xf numFmtId="3" fontId="30" fillId="3" borderId="0" xfId="0" applyNumberFormat="1" applyFont="1" applyFill="1" applyAlignment="1">
      <alignment horizontal="right" vertical="center" wrapText="1"/>
    </xf>
    <xf numFmtId="3" fontId="30" fillId="3" borderId="31" xfId="0" applyNumberFormat="1" applyFont="1" applyFill="1" applyBorder="1" applyAlignment="1">
      <alignment horizontal="right" vertical="center" wrapText="1"/>
    </xf>
    <xf numFmtId="168" fontId="38" fillId="3" borderId="0" xfId="0" applyNumberFormat="1" applyFont="1" applyFill="1" applyAlignment="1">
      <alignment horizontal="right" vertical="center" wrapText="1"/>
    </xf>
    <xf numFmtId="0" fontId="8" fillId="4" borderId="0" xfId="0" applyFont="1" applyFill="1"/>
    <xf numFmtId="165" fontId="7" fillId="2" borderId="6" xfId="1" applyNumberFormat="1" applyFont="1" applyFill="1" applyBorder="1" applyAlignment="1">
      <alignment horizontal="left"/>
    </xf>
    <xf numFmtId="0" fontId="3" fillId="3" borderId="6" xfId="0" applyFont="1" applyFill="1" applyBorder="1" applyAlignment="1">
      <alignment horizontal="center" vertical="center"/>
    </xf>
    <xf numFmtId="43" fontId="5" fillId="3" borderId="6" xfId="1" applyFont="1" applyFill="1" applyBorder="1" applyAlignment="1">
      <alignment horizontal="left"/>
    </xf>
    <xf numFmtId="43" fontId="5" fillId="0" borderId="6" xfId="1" applyFont="1" applyBorder="1" applyAlignment="1">
      <alignment horizontal="left"/>
    </xf>
    <xf numFmtId="43" fontId="10" fillId="0" borderId="6" xfId="1" applyFont="1" applyBorder="1" applyAlignment="1">
      <alignment horizontal="left"/>
    </xf>
    <xf numFmtId="44" fontId="7" fillId="2" borderId="6" xfId="3" applyFont="1" applyFill="1" applyBorder="1" applyAlignment="1">
      <alignment horizontal="left"/>
    </xf>
    <xf numFmtId="44" fontId="3" fillId="2" borderId="6" xfId="3" applyFont="1" applyFill="1" applyBorder="1" applyAlignment="1">
      <alignment horizontal="left"/>
    </xf>
    <xf numFmtId="44" fontId="3" fillId="2" borderId="6" xfId="3" applyFont="1" applyFill="1" applyBorder="1" applyAlignment="1">
      <alignment horizontal="left" vertical="center" wrapText="1"/>
    </xf>
    <xf numFmtId="0" fontId="25" fillId="5" borderId="45" xfId="0" applyFont="1" applyFill="1" applyBorder="1" applyAlignment="1">
      <alignment horizontal="center" vertical="center" wrapText="1"/>
    </xf>
    <xf numFmtId="0" fontId="26" fillId="5" borderId="45" xfId="0" applyFont="1" applyFill="1" applyBorder="1" applyAlignment="1">
      <alignment horizontal="center" vertical="center" wrapText="1"/>
    </xf>
    <xf numFmtId="0" fontId="26" fillId="5" borderId="46" xfId="0" applyFont="1" applyFill="1" applyBorder="1" applyAlignment="1">
      <alignment horizontal="center" vertical="center" wrapText="1"/>
    </xf>
    <xf numFmtId="0" fontId="3" fillId="0" borderId="6" xfId="0" applyFont="1" applyBorder="1" applyAlignment="1">
      <alignment horizontal="center" vertical="center" wrapText="1"/>
    </xf>
    <xf numFmtId="43" fontId="4" fillId="0" borderId="6" xfId="1" applyFont="1" applyBorder="1"/>
    <xf numFmtId="43" fontId="20" fillId="2" borderId="6" xfId="1" applyFont="1" applyFill="1" applyBorder="1"/>
    <xf numFmtId="43" fontId="8" fillId="2" borderId="6" xfId="1" applyFont="1" applyFill="1" applyBorder="1"/>
    <xf numFmtId="4" fontId="19" fillId="3" borderId="6" xfId="1" applyNumberFormat="1" applyFont="1" applyFill="1" applyBorder="1"/>
    <xf numFmtId="4" fontId="4" fillId="3" borderId="6" xfId="1" applyNumberFormat="1" applyFont="1" applyFill="1" applyBorder="1"/>
    <xf numFmtId="43" fontId="20" fillId="2" borderId="6" xfId="0" applyNumberFormat="1" applyFont="1" applyFill="1" applyBorder="1"/>
    <xf numFmtId="43" fontId="8" fillId="2" borderId="6" xfId="0" applyNumberFormat="1" applyFont="1" applyFill="1" applyBorder="1"/>
    <xf numFmtId="4" fontId="19" fillId="3" borderId="6" xfId="0" applyNumberFormat="1" applyFont="1" applyFill="1" applyBorder="1"/>
    <xf numFmtId="4" fontId="4" fillId="3" borderId="6" xfId="0" applyNumberFormat="1" applyFont="1" applyFill="1" applyBorder="1"/>
    <xf numFmtId="4" fontId="4" fillId="0" borderId="6" xfId="1" applyNumberFormat="1" applyFont="1" applyBorder="1"/>
    <xf numFmtId="0" fontId="3" fillId="0" borderId="12" xfId="0" applyFont="1" applyBorder="1" applyAlignment="1">
      <alignment horizontal="center" vertical="center"/>
    </xf>
    <xf numFmtId="43" fontId="4" fillId="0" borderId="13" xfId="1" applyFont="1" applyBorder="1"/>
    <xf numFmtId="43" fontId="8" fillId="2" borderId="15" xfId="2" applyNumberFormat="1" applyFont="1" applyFill="1" applyBorder="1"/>
    <xf numFmtId="43" fontId="4" fillId="3" borderId="6" xfId="1" applyFont="1" applyFill="1" applyBorder="1"/>
    <xf numFmtId="43" fontId="3" fillId="0" borderId="6" xfId="1" applyFont="1" applyFill="1" applyBorder="1" applyAlignment="1">
      <alignment horizontal="center" vertical="center" wrapText="1"/>
    </xf>
    <xf numFmtId="166" fontId="3" fillId="2" borderId="6" xfId="1" applyNumberFormat="1" applyFont="1" applyFill="1" applyBorder="1" applyAlignment="1">
      <alignment horizontal="right" vertical="center" indent="1"/>
    </xf>
    <xf numFmtId="4" fontId="5" fillId="3" borderId="6" xfId="1" applyNumberFormat="1" applyFont="1" applyFill="1" applyBorder="1" applyAlignment="1">
      <alignment horizontal="right" vertical="center" indent="1"/>
    </xf>
    <xf numFmtId="4" fontId="18" fillId="3" borderId="6" xfId="1" applyNumberFormat="1" applyFont="1" applyFill="1" applyBorder="1" applyAlignment="1">
      <alignment horizontal="right" vertical="center" indent="1"/>
    </xf>
    <xf numFmtId="4" fontId="3" fillId="3" borderId="6" xfId="1" applyNumberFormat="1" applyFont="1" applyFill="1" applyBorder="1" applyAlignment="1">
      <alignment horizontal="right" vertical="center" indent="1"/>
    </xf>
    <xf numFmtId="166" fontId="4" fillId="3" borderId="6" xfId="0" applyNumberFormat="1" applyFont="1" applyFill="1" applyBorder="1"/>
    <xf numFmtId="43" fontId="7" fillId="2" borderId="6" xfId="1" applyFont="1" applyFill="1" applyBorder="1"/>
    <xf numFmtId="43" fontId="7" fillId="2" borderId="15" xfId="1" applyFont="1" applyFill="1" applyBorder="1"/>
    <xf numFmtId="166" fontId="19" fillId="3" borderId="6" xfId="0" applyNumberFormat="1" applyFont="1" applyFill="1" applyBorder="1"/>
    <xf numFmtId="0" fontId="10" fillId="0" borderId="6" xfId="0" applyFont="1" applyBorder="1"/>
    <xf numFmtId="43" fontId="10" fillId="3" borderId="6" xfId="0" applyNumberFormat="1" applyFont="1" applyFill="1" applyBorder="1"/>
    <xf numFmtId="3" fontId="7" fillId="2" borderId="6" xfId="0" applyNumberFormat="1" applyFont="1" applyFill="1" applyBorder="1"/>
    <xf numFmtId="43" fontId="10" fillId="3" borderId="6" xfId="1" applyFont="1" applyFill="1" applyBorder="1"/>
    <xf numFmtId="43" fontId="7" fillId="2" borderId="15" xfId="0" applyNumberFormat="1" applyFont="1" applyFill="1" applyBorder="1"/>
    <xf numFmtId="0" fontId="56" fillId="0" borderId="0" xfId="0" applyFont="1" applyAlignment="1">
      <alignment horizontal="center"/>
    </xf>
    <xf numFmtId="0" fontId="10" fillId="0" borderId="6" xfId="0" applyFont="1" applyBorder="1" applyAlignment="1">
      <alignment vertical="center" wrapText="1"/>
    </xf>
    <xf numFmtId="0" fontId="5" fillId="0" borderId="6" xfId="0" applyFont="1" applyBorder="1" applyAlignment="1">
      <alignment horizontal="center" vertical="center"/>
    </xf>
    <xf numFmtId="0" fontId="10" fillId="0" borderId="6" xfId="0" applyFont="1" applyBorder="1" applyAlignment="1">
      <alignment horizontal="center" vertical="center" wrapText="1"/>
    </xf>
    <xf numFmtId="4" fontId="10" fillId="0" borderId="6" xfId="0" applyNumberFormat="1" applyFont="1" applyBorder="1" applyAlignment="1">
      <alignment vertical="center"/>
    </xf>
    <xf numFmtId="0" fontId="56" fillId="0" borderId="0" xfId="0" applyFont="1" applyAlignment="1">
      <alignment horizontal="center" vertical="center"/>
    </xf>
    <xf numFmtId="0" fontId="16" fillId="0" borderId="0" xfId="0" applyFont="1" applyAlignment="1">
      <alignment vertical="center"/>
    </xf>
    <xf numFmtId="0" fontId="5" fillId="0" borderId="6" xfId="0" applyFont="1" applyBorder="1" applyAlignment="1">
      <alignment horizontal="center" vertical="center" wrapText="1"/>
    </xf>
    <xf numFmtId="0" fontId="10" fillId="0" borderId="6" xfId="0" applyFont="1" applyBorder="1" applyAlignment="1">
      <alignment horizontal="center" vertical="center"/>
    </xf>
    <xf numFmtId="165" fontId="10" fillId="0" borderId="6" xfId="1" applyNumberFormat="1" applyFont="1" applyFill="1" applyBorder="1" applyAlignment="1">
      <alignment horizontal="right" vertical="center" wrapText="1"/>
    </xf>
    <xf numFmtId="0" fontId="0" fillId="0" borderId="0" xfId="0" applyAlignment="1">
      <alignment vertical="center"/>
    </xf>
    <xf numFmtId="44" fontId="57" fillId="0" borderId="6" xfId="3" applyFont="1" applyFill="1" applyBorder="1" applyAlignment="1">
      <alignment horizontal="right" vertical="center"/>
    </xf>
    <xf numFmtId="0" fontId="0" fillId="0" borderId="0" xfId="0" applyAlignment="1">
      <alignment horizontal="center"/>
    </xf>
    <xf numFmtId="4" fontId="0" fillId="0" borderId="0" xfId="0" applyNumberFormat="1" applyAlignment="1">
      <alignment horizontal="right"/>
    </xf>
    <xf numFmtId="43" fontId="10" fillId="3" borderId="6" xfId="1" applyFont="1" applyFill="1" applyBorder="1" applyAlignment="1">
      <alignment horizontal="left"/>
    </xf>
    <xf numFmtId="169" fontId="60" fillId="0" borderId="6" xfId="1" applyNumberFormat="1" applyFont="1" applyFill="1" applyBorder="1" applyAlignment="1" applyProtection="1">
      <alignment horizontal="left" vertical="center" wrapText="1"/>
    </xf>
    <xf numFmtId="169" fontId="60" fillId="0" borderId="6" xfId="1" applyNumberFormat="1" applyFont="1" applyFill="1" applyBorder="1" applyAlignment="1" applyProtection="1">
      <alignment horizontal="center" vertical="center" wrapText="1"/>
    </xf>
    <xf numFmtId="0" fontId="60" fillId="0" borderId="6" xfId="0" applyFont="1" applyBorder="1" applyAlignment="1">
      <alignment horizontal="center" vertical="center" wrapText="1"/>
    </xf>
    <xf numFmtId="0" fontId="60" fillId="0" borderId="6" xfId="0" applyFont="1" applyBorder="1" applyAlignment="1">
      <alignment horizontal="center" vertical="center"/>
    </xf>
    <xf numFmtId="44" fontId="60" fillId="0" borderId="6" xfId="3" applyFont="1" applyFill="1" applyBorder="1" applyAlignment="1" applyProtection="1">
      <alignment horizontal="right" vertical="center"/>
    </xf>
    <xf numFmtId="44" fontId="60" fillId="0" borderId="6" xfId="0" applyNumberFormat="1" applyFont="1" applyBorder="1" applyAlignment="1">
      <alignment vertical="center"/>
    </xf>
    <xf numFmtId="4" fontId="5" fillId="0" borderId="6" xfId="0" applyNumberFormat="1" applyFont="1" applyBorder="1" applyAlignment="1">
      <alignment vertical="center"/>
    </xf>
    <xf numFmtId="0" fontId="61" fillId="0" borderId="0" xfId="0" applyFont="1" applyAlignment="1">
      <alignment horizontal="center" vertical="center"/>
    </xf>
    <xf numFmtId="0" fontId="62" fillId="0" borderId="0" xfId="0" applyFont="1" applyAlignment="1">
      <alignment vertical="center"/>
    </xf>
    <xf numFmtId="44" fontId="62" fillId="0" borderId="0" xfId="3" applyFont="1" applyFill="1" applyAlignment="1">
      <alignment vertical="center"/>
    </xf>
    <xf numFmtId="0" fontId="5" fillId="0" borderId="6" xfId="0" applyFont="1" applyBorder="1" applyAlignment="1">
      <alignment vertical="center" wrapText="1"/>
    </xf>
    <xf numFmtId="0" fontId="5" fillId="0" borderId="6" xfId="0" applyFont="1" applyBorder="1" applyAlignment="1">
      <alignment horizontal="left" vertical="center" wrapText="1"/>
    </xf>
    <xf numFmtId="44" fontId="5" fillId="0" borderId="6" xfId="0" applyNumberFormat="1" applyFont="1" applyBorder="1" applyAlignment="1">
      <alignment vertical="center"/>
    </xf>
    <xf numFmtId="165" fontId="5" fillId="0" borderId="6" xfId="1" applyNumberFormat="1" applyFont="1" applyFill="1" applyBorder="1" applyAlignment="1">
      <alignment horizontal="center" vertical="center"/>
    </xf>
    <xf numFmtId="165" fontId="5" fillId="0" borderId="6" xfId="1" applyNumberFormat="1" applyFont="1" applyFill="1" applyBorder="1" applyAlignment="1">
      <alignment horizontal="center" vertical="center" wrapText="1"/>
    </xf>
    <xf numFmtId="0" fontId="2" fillId="3" borderId="0" xfId="0" applyFont="1" applyFill="1" applyAlignment="1">
      <alignment horizontal="center"/>
    </xf>
    <xf numFmtId="0" fontId="6" fillId="3" borderId="0" xfId="0" applyFont="1" applyFill="1" applyAlignment="1">
      <alignment horizontal="center" wrapText="1"/>
    </xf>
    <xf numFmtId="0" fontId="14" fillId="3" borderId="0" xfId="0" applyFont="1" applyFill="1" applyAlignment="1">
      <alignment horizontal="center"/>
    </xf>
    <xf numFmtId="0" fontId="3" fillId="2" borderId="12" xfId="0" applyFont="1" applyFill="1" applyBorder="1" applyAlignment="1">
      <alignment horizontal="center" vertical="center"/>
    </xf>
    <xf numFmtId="43" fontId="5" fillId="7" borderId="13" xfId="1" applyFont="1" applyFill="1" applyBorder="1"/>
    <xf numFmtId="4" fontId="3" fillId="3" borderId="0" xfId="0" applyNumberFormat="1" applyFont="1" applyFill="1" applyAlignment="1">
      <alignment horizontal="center" vertical="center" wrapText="1"/>
    </xf>
    <xf numFmtId="4" fontId="5" fillId="3" borderId="0" xfId="0" applyNumberFormat="1" applyFont="1" applyFill="1" applyAlignment="1">
      <alignment horizontal="center" vertical="center" wrapText="1"/>
    </xf>
    <xf numFmtId="43" fontId="0" fillId="3" borderId="0" xfId="1" applyFont="1" applyFill="1" applyAlignment="1">
      <alignment horizontal="center"/>
    </xf>
    <xf numFmtId="0" fontId="0" fillId="3" borderId="0" xfId="0" applyFill="1" applyAlignment="1">
      <alignment horizontal="center"/>
    </xf>
    <xf numFmtId="0" fontId="59" fillId="9" borderId="22" xfId="0" applyFont="1" applyFill="1" applyBorder="1" applyAlignment="1">
      <alignment horizontal="center" vertical="center" wrapText="1"/>
    </xf>
    <xf numFmtId="0" fontId="7" fillId="9" borderId="22" xfId="0" applyFont="1" applyFill="1" applyBorder="1" applyAlignment="1">
      <alignment horizontal="center" vertical="center" wrapText="1"/>
    </xf>
    <xf numFmtId="8" fontId="60" fillId="0" borderId="6" xfId="0" applyNumberFormat="1" applyFont="1" applyBorder="1" applyAlignment="1">
      <alignment vertical="center"/>
    </xf>
    <xf numFmtId="0" fontId="63" fillId="0" borderId="6" xfId="0" applyFont="1" applyBorder="1" applyAlignment="1">
      <alignment horizontal="left" vertical="center" wrapText="1"/>
    </xf>
    <xf numFmtId="0" fontId="63" fillId="0" borderId="6" xfId="0" applyFont="1" applyBorder="1" applyAlignment="1">
      <alignment horizontal="center" vertical="center" wrapText="1"/>
    </xf>
    <xf numFmtId="44" fontId="63" fillId="0" borderId="6" xfId="0" applyNumberFormat="1" applyFont="1" applyBorder="1" applyAlignment="1">
      <alignment vertical="center"/>
    </xf>
    <xf numFmtId="44" fontId="64" fillId="0" borderId="6" xfId="3" applyFont="1" applyFill="1" applyBorder="1" applyAlignment="1">
      <alignment horizontal="right" vertical="center"/>
    </xf>
    <xf numFmtId="4" fontId="7" fillId="0" borderId="6" xfId="0" applyNumberFormat="1" applyFont="1" applyBorder="1" applyAlignment="1">
      <alignment vertical="center"/>
    </xf>
    <xf numFmtId="4" fontId="10" fillId="0" borderId="6" xfId="0" applyNumberFormat="1" applyFont="1" applyBorder="1" applyAlignment="1">
      <alignment horizontal="right" vertical="center"/>
    </xf>
    <xf numFmtId="0" fontId="12" fillId="3" borderId="0" xfId="0" applyFont="1" applyFill="1" applyAlignment="1">
      <alignment horizontal="center"/>
    </xf>
    <xf numFmtId="4" fontId="1" fillId="3" borderId="5" xfId="1" applyNumberFormat="1" applyFont="1" applyFill="1" applyBorder="1"/>
    <xf numFmtId="43" fontId="11" fillId="3" borderId="0" xfId="1" applyFont="1" applyFill="1" applyAlignment="1">
      <alignment horizontal="center"/>
    </xf>
    <xf numFmtId="4" fontId="4" fillId="0" borderId="13" xfId="1" applyNumberFormat="1" applyFont="1" applyFill="1" applyBorder="1"/>
    <xf numFmtId="4" fontId="4" fillId="0" borderId="13" xfId="0" applyNumberFormat="1" applyFont="1" applyBorder="1"/>
    <xf numFmtId="43" fontId="5" fillId="0" borderId="6" xfId="1" applyFont="1" applyFill="1" applyBorder="1" applyAlignment="1">
      <alignment horizontal="left"/>
    </xf>
    <xf numFmtId="43" fontId="19" fillId="3" borderId="6" xfId="1" applyFont="1" applyFill="1" applyBorder="1"/>
    <xf numFmtId="43" fontId="4" fillId="4" borderId="0" xfId="1" applyFont="1" applyFill="1"/>
    <xf numFmtId="43" fontId="19" fillId="4" borderId="0" xfId="1" applyFont="1" applyFill="1"/>
    <xf numFmtId="43" fontId="19" fillId="4" borderId="0" xfId="0" applyNumberFormat="1" applyFont="1" applyFill="1"/>
    <xf numFmtId="43" fontId="7" fillId="4" borderId="0" xfId="0" applyNumberFormat="1" applyFont="1" applyFill="1"/>
    <xf numFmtId="43" fontId="3" fillId="4" borderId="0" xfId="0" applyNumberFormat="1" applyFont="1" applyFill="1"/>
    <xf numFmtId="0" fontId="45" fillId="3" borderId="0" xfId="0" applyFont="1" applyFill="1" applyAlignment="1">
      <alignment horizontal="center" vertical="center"/>
    </xf>
    <xf numFmtId="0" fontId="58" fillId="3" borderId="0" xfId="0" applyFont="1" applyFill="1" applyAlignment="1">
      <alignment horizontal="center" vertical="center" wrapText="1"/>
    </xf>
    <xf numFmtId="0" fontId="39" fillId="4" borderId="0" xfId="0" applyFont="1" applyFill="1" applyAlignment="1">
      <alignment horizontal="left" vertical="center" wrapText="1"/>
    </xf>
    <xf numFmtId="0" fontId="15" fillId="3" borderId="0" xfId="0" applyFont="1" applyFill="1" applyAlignment="1">
      <alignment horizontal="center"/>
    </xf>
    <xf numFmtId="0" fontId="12" fillId="3" borderId="0" xfId="0" applyFont="1" applyFill="1" applyAlignment="1">
      <alignment horizontal="center"/>
    </xf>
    <xf numFmtId="0" fontId="17" fillId="3" borderId="0" xfId="0" applyFont="1" applyFill="1" applyAlignment="1">
      <alignment horizontal="center" wrapText="1"/>
    </xf>
    <xf numFmtId="0" fontId="17" fillId="3" borderId="0" xfId="0" applyFont="1" applyFill="1" applyAlignment="1">
      <alignment horizontal="center"/>
    </xf>
    <xf numFmtId="0" fontId="3" fillId="2" borderId="1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6" fillId="2" borderId="0" xfId="0" applyFont="1" applyFill="1" applyAlignment="1">
      <alignment horizontal="center"/>
    </xf>
    <xf numFmtId="0" fontId="6" fillId="2" borderId="0" xfId="0" applyFont="1" applyFill="1" applyAlignment="1">
      <alignment horizontal="center" wrapText="1"/>
    </xf>
    <xf numFmtId="0" fontId="2" fillId="2" borderId="0" xfId="0" applyFont="1" applyFill="1" applyAlignment="1">
      <alignment horizontal="center"/>
    </xf>
    <xf numFmtId="0" fontId="2" fillId="3" borderId="0" xfId="0" applyFont="1" applyFill="1" applyAlignment="1">
      <alignment horizont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3" borderId="0" xfId="0" applyFont="1" applyFill="1" applyAlignment="1">
      <alignment horizontal="center" wrapText="1"/>
    </xf>
    <xf numFmtId="0" fontId="6" fillId="3" borderId="0" xfId="0" applyFont="1" applyFill="1" applyAlignment="1">
      <alignment horizontal="center"/>
    </xf>
    <xf numFmtId="0" fontId="14" fillId="3" borderId="0" xfId="0" applyFont="1" applyFill="1" applyAlignment="1">
      <alignment horizontal="center"/>
    </xf>
    <xf numFmtId="6" fontId="14" fillId="2" borderId="0" xfId="0" applyNumberFormat="1" applyFont="1" applyFill="1" applyAlignment="1">
      <alignment horizontal="center"/>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1" fillId="3" borderId="0" xfId="0" applyFont="1" applyFill="1" applyAlignment="1">
      <alignment horizontal="center"/>
    </xf>
    <xf numFmtId="0" fontId="12" fillId="2" borderId="0" xfId="0" applyFont="1" applyFill="1" applyAlignment="1">
      <alignment horizontal="center"/>
    </xf>
    <xf numFmtId="0" fontId="12" fillId="2" borderId="0" xfId="0" applyFont="1" applyFill="1" applyAlignment="1">
      <alignment horizontal="center" wrapText="1"/>
    </xf>
    <xf numFmtId="0" fontId="11" fillId="3" borderId="0" xfId="0" applyFont="1" applyFill="1" applyAlignment="1">
      <alignment horizontal="center" wrapText="1"/>
    </xf>
    <xf numFmtId="0" fontId="8" fillId="0" borderId="0" xfId="0" applyFont="1" applyAlignment="1">
      <alignment horizontal="left" wrapText="1"/>
    </xf>
    <xf numFmtId="0" fontId="11" fillId="2" borderId="0" xfId="0" applyFont="1" applyFill="1" applyAlignment="1">
      <alignment horizontal="center"/>
    </xf>
    <xf numFmtId="0" fontId="15" fillId="2" borderId="0" xfId="0" applyFont="1" applyFill="1" applyAlignment="1">
      <alignment horizontal="center"/>
    </xf>
    <xf numFmtId="0" fontId="17" fillId="2" borderId="0" xfId="0" applyFont="1" applyFill="1" applyAlignment="1">
      <alignment horizontal="center" wrapText="1"/>
    </xf>
    <xf numFmtId="0" fontId="17" fillId="2" borderId="0" xfId="0" applyFont="1" applyFill="1" applyAlignment="1">
      <alignment horizontal="center"/>
    </xf>
    <xf numFmtId="0" fontId="3" fillId="2" borderId="47"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4" fillId="0" borderId="40" xfId="0" applyFont="1" applyBorder="1" applyAlignment="1">
      <alignment horizontal="justify" vertical="top" wrapText="1"/>
    </xf>
    <xf numFmtId="0" fontId="14" fillId="0" borderId="41" xfId="0" applyFont="1" applyBorder="1" applyAlignment="1">
      <alignment horizontal="justify" vertical="top" wrapText="1"/>
    </xf>
    <xf numFmtId="0" fontId="14" fillId="0" borderId="42" xfId="0" applyFont="1" applyBorder="1" applyAlignment="1">
      <alignment horizontal="justify" vertical="top" wrapText="1"/>
    </xf>
    <xf numFmtId="0" fontId="49" fillId="0" borderId="0" xfId="0" applyFont="1" applyAlignment="1">
      <alignment horizontal="center"/>
    </xf>
    <xf numFmtId="4" fontId="51" fillId="0" borderId="0" xfId="0" applyNumberFormat="1" applyFont="1" applyAlignment="1">
      <alignment horizontal="center"/>
    </xf>
    <xf numFmtId="0" fontId="49" fillId="0" borderId="37" xfId="0" applyFont="1" applyBorder="1" applyAlignment="1">
      <alignment horizontal="center" vertical="center" wrapText="1"/>
    </xf>
    <xf numFmtId="0" fontId="49" fillId="0" borderId="38" xfId="0" applyFont="1" applyBorder="1" applyAlignment="1">
      <alignment horizontal="center" vertical="center" wrapText="1"/>
    </xf>
    <xf numFmtId="1" fontId="49" fillId="0" borderId="18" xfId="0" applyNumberFormat="1" applyFont="1" applyBorder="1" applyAlignment="1">
      <alignment horizontal="center" vertical="center"/>
    </xf>
    <xf numFmtId="1" fontId="49" fillId="0" borderId="8" xfId="0" applyNumberFormat="1" applyFont="1" applyBorder="1" applyAlignment="1">
      <alignment horizontal="center" vertical="center"/>
    </xf>
    <xf numFmtId="0" fontId="53" fillId="0" borderId="0" xfId="0" applyFont="1" applyAlignment="1">
      <alignment horizontal="center" wrapText="1"/>
    </xf>
    <xf numFmtId="0" fontId="14" fillId="0" borderId="0" xfId="0" applyFont="1" applyAlignment="1">
      <alignment horizontal="center"/>
    </xf>
    <xf numFmtId="1" fontId="49" fillId="0" borderId="40" xfId="0" applyNumberFormat="1" applyFont="1" applyBorder="1" applyAlignment="1">
      <alignment horizontal="center" vertical="center"/>
    </xf>
    <xf numFmtId="1" fontId="49" fillId="0" borderId="41" xfId="0" applyNumberFormat="1" applyFont="1" applyBorder="1" applyAlignment="1">
      <alignment horizontal="center" vertical="center"/>
    </xf>
    <xf numFmtId="1" fontId="49" fillId="0" borderId="42" xfId="0" applyNumberFormat="1" applyFont="1" applyBorder="1" applyAlignment="1">
      <alignment horizontal="center" vertical="center"/>
    </xf>
    <xf numFmtId="0" fontId="14" fillId="0" borderId="0" xfId="0" applyFont="1" applyAlignment="1">
      <alignment horizontal="left"/>
    </xf>
    <xf numFmtId="0" fontId="12" fillId="0" borderId="0" xfId="0" applyFont="1" applyAlignment="1">
      <alignment horizont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43" fontId="0" fillId="0" borderId="0" xfId="1" applyFont="1" applyAlignment="1">
      <alignment horizontal="center"/>
    </xf>
  </cellXfs>
  <cellStyles count="6">
    <cellStyle name="Hipervínculo" xfId="5" builtinId="8"/>
    <cellStyle name="Millares" xfId="1" builtinId="3"/>
    <cellStyle name="Moneda" xfId="3" builtinId="4"/>
    <cellStyle name="Normal" xfId="0" builtinId="0"/>
    <cellStyle name="Normal 3" xfId="4" xr:uid="{00000000-0005-0000-0000-000004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85726</xdr:rowOff>
    </xdr:from>
    <xdr:to>
      <xdr:col>0</xdr:col>
      <xdr:colOff>1152525</xdr:colOff>
      <xdr:row>2</xdr:row>
      <xdr:rowOff>28575</xdr:rowOff>
    </xdr:to>
    <xdr:pic>
      <xdr:nvPicPr>
        <xdr:cNvPr id="2" name="Imagen 1" descr="iMacc:Users:imacc:Documents:ESTEFANIA:Identidad Gobierno del Estado:Secretarias:15 Organismos:Comision del Agua:Hojas membretadas Carta:Cea Hermosillo.pdf">
          <a:extLst>
            <a:ext uri="{FF2B5EF4-FFF2-40B4-BE49-F238E27FC236}">
              <a16:creationId xmlns:a16="http://schemas.microsoft.com/office/drawing/2014/main" id="{94854B4F-7731-48AA-AD6F-3FDAB8DB3C0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997" t="2436" r="41881" b="82606"/>
        <a:stretch/>
      </xdr:blipFill>
      <xdr:spPr bwMode="auto">
        <a:xfrm>
          <a:off x="0" y="85726"/>
          <a:ext cx="1152525" cy="962024"/>
        </a:xfrm>
        <a:prstGeom prst="rect">
          <a:avLst/>
        </a:prstGeom>
        <a:noFill/>
        <a:ln>
          <a:noFill/>
        </a:ln>
        <a:extLst>
          <a:ext uri="{53640926-AAD7-44D8-BBD7-CCE9431645EC}">
            <a14:shadowObscured xmlns:a14="http://schemas.microsoft.com/office/drawing/2010/main"/>
          </a:ex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ve="http://schemas.openxmlformats.org/markup-compatibility/2006"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editAs="oneCell">
    <xdr:from>
      <xdr:col>4</xdr:col>
      <xdr:colOff>800100</xdr:colOff>
      <xdr:row>0</xdr:row>
      <xdr:rowOff>219075</xdr:rowOff>
    </xdr:from>
    <xdr:to>
      <xdr:col>5</xdr:col>
      <xdr:colOff>1113790</xdr:colOff>
      <xdr:row>1</xdr:row>
      <xdr:rowOff>180975</xdr:rowOff>
    </xdr:to>
    <xdr:pic>
      <xdr:nvPicPr>
        <xdr:cNvPr id="3" name="Imagen 2">
          <a:extLst>
            <a:ext uri="{FF2B5EF4-FFF2-40B4-BE49-F238E27FC236}">
              <a16:creationId xmlns:a16="http://schemas.microsoft.com/office/drawing/2014/main" id="{6D214670-91CB-4FEB-9E1B-F0C528C65A6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5486"/>
        <a:stretch/>
      </xdr:blipFill>
      <xdr:spPr bwMode="auto">
        <a:xfrm>
          <a:off x="6686550" y="219075"/>
          <a:ext cx="1656715" cy="438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171450</xdr:rowOff>
    </xdr:from>
    <xdr:to>
      <xdr:col>0</xdr:col>
      <xdr:colOff>1181100</xdr:colOff>
      <xdr:row>3</xdr:row>
      <xdr:rowOff>266699</xdr:rowOff>
    </xdr:to>
    <xdr:pic>
      <xdr:nvPicPr>
        <xdr:cNvPr id="2" name="Imagen 1" descr="iMacc:Users:imacc:Documents:ESTEFANIA:Identidad Gobierno del Estado:Secretarias:15 Organismos:Comision del Agua:Hojas membretadas Carta:Cea Hermosillo.pdf">
          <a:extLst>
            <a:ext uri="{FF2B5EF4-FFF2-40B4-BE49-F238E27FC236}">
              <a16:creationId xmlns:a16="http://schemas.microsoft.com/office/drawing/2014/main" id="{288D8834-F84A-48C7-8B7C-B35A98492B8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997" t="2436" r="41881" b="82606"/>
        <a:stretch/>
      </xdr:blipFill>
      <xdr:spPr bwMode="auto">
        <a:xfrm>
          <a:off x="28575" y="171450"/>
          <a:ext cx="1152525" cy="962024"/>
        </a:xfrm>
        <a:prstGeom prst="rect">
          <a:avLst/>
        </a:prstGeom>
        <a:noFill/>
        <a:ln>
          <a:noFill/>
        </a:ln>
        <a:extLst>
          <a:ext uri="{53640926-AAD7-44D8-BBD7-CCE9431645EC}">
            <a14:shadowObscured xmlns:a14="http://schemas.microsoft.com/office/drawing/2010/main"/>
          </a:ex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ve="http://schemas.openxmlformats.org/markup-compatibility/2006"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editAs="oneCell">
    <xdr:from>
      <xdr:col>6</xdr:col>
      <xdr:colOff>419100</xdr:colOff>
      <xdr:row>1</xdr:row>
      <xdr:rowOff>0</xdr:rowOff>
    </xdr:from>
    <xdr:to>
      <xdr:col>7</xdr:col>
      <xdr:colOff>1047115</xdr:colOff>
      <xdr:row>2</xdr:row>
      <xdr:rowOff>171450</xdr:rowOff>
    </xdr:to>
    <xdr:pic>
      <xdr:nvPicPr>
        <xdr:cNvPr id="3" name="Imagen 2">
          <a:extLst>
            <a:ext uri="{FF2B5EF4-FFF2-40B4-BE49-F238E27FC236}">
              <a16:creationId xmlns:a16="http://schemas.microsoft.com/office/drawing/2014/main" id="{D3017720-8916-46F9-9A6A-D49693F1AAF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5486"/>
        <a:stretch/>
      </xdr:blipFill>
      <xdr:spPr bwMode="auto">
        <a:xfrm>
          <a:off x="8258175" y="333375"/>
          <a:ext cx="1656715" cy="438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733425</xdr:colOff>
      <xdr:row>1</xdr:row>
      <xdr:rowOff>104775</xdr:rowOff>
    </xdr:to>
    <xdr:pic>
      <xdr:nvPicPr>
        <xdr:cNvPr id="2" name="Imagen 1" descr="iMacc:Users:imacc:Documents:ESTEFANIA:Identidad Gobierno del Estado:Secretarias:15 Organismos:Comision del Agua:Hojas membretadas Carta:Cea Hermosillo.pdf">
          <a:extLst>
            <a:ext uri="{FF2B5EF4-FFF2-40B4-BE49-F238E27FC236}">
              <a16:creationId xmlns:a16="http://schemas.microsoft.com/office/drawing/2014/main" id="{EA2716A5-A41E-4098-B562-2504E00D4E0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997" t="2436" r="41881" b="82606"/>
        <a:stretch/>
      </xdr:blipFill>
      <xdr:spPr bwMode="auto">
        <a:xfrm>
          <a:off x="1" y="0"/>
          <a:ext cx="733424" cy="438150"/>
        </a:xfrm>
        <a:prstGeom prst="rect">
          <a:avLst/>
        </a:prstGeom>
        <a:noFill/>
        <a:ln>
          <a:noFill/>
        </a:ln>
        <a:extLst>
          <a:ext uri="{53640926-AAD7-44D8-BBD7-CCE9431645EC}">
            <a14:shadowObscured xmlns:a14="http://schemas.microsoft.com/office/drawing/2010/main"/>
          </a:ex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ve="http://schemas.openxmlformats.org/markup-compatibility/2006"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28</xdr:row>
      <xdr:rowOff>9525</xdr:rowOff>
    </xdr:from>
    <xdr:to>
      <xdr:col>0</xdr:col>
      <xdr:colOff>3086100</xdr:colOff>
      <xdr:row>31</xdr:row>
      <xdr:rowOff>161925</xdr:rowOff>
    </xdr:to>
    <xdr:pic>
      <xdr:nvPicPr>
        <xdr:cNvPr id="2" name="2 Imagen">
          <a:extLst>
            <a:ext uri="{FF2B5EF4-FFF2-40B4-BE49-F238E27FC236}">
              <a16:creationId xmlns:a16="http://schemas.microsoft.com/office/drawing/2014/main" id="{65C6620C-E577-40E0-ABEB-D182EBB91E0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53550"/>
          <a:ext cx="3086100" cy="7239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os/Desktop/SWGUIMIENTO%20AL%20EJERCIDO/Base_de_datos_obras_AL%20%2018%20AGO%202011_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Rios\Desktop\SWGUIMIENTO%20AL%20EJERCIDO\Base_de_datos_obras_AL%20%2018%20AGO%202011_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022\PRESUPUESTO\ORIGINAL%20PRESUPUESTO%202022\GENERAL%20CON%20AJUS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Tabla Dinámica"/>
      <sheetName val="Listado de Obras"/>
      <sheetName val="Hoja1"/>
      <sheetName val="Hoja2"/>
    </sheetNames>
    <sheetDataSet>
      <sheetData sheetId="0">
        <row r="3">
          <cell r="B3" t="str">
            <v>ACUEDUCTO INDEPENDENCIA</v>
          </cell>
          <cell r="C3" t="str">
            <v>CECOP</v>
          </cell>
          <cell r="E3" t="str">
            <v>ACONCHI</v>
          </cell>
        </row>
        <row r="4">
          <cell r="B4" t="str">
            <v>AGUA LIMPIA</v>
          </cell>
          <cell r="C4" t="str">
            <v>CEDES</v>
          </cell>
          <cell r="E4" t="str">
            <v>AGUA PRIETA</v>
          </cell>
        </row>
        <row r="5">
          <cell r="B5" t="str">
            <v>APAZU</v>
          </cell>
          <cell r="C5" t="str">
            <v>ECONOMIA</v>
          </cell>
          <cell r="E5" t="str">
            <v xml:space="preserve">ALAMOS </v>
          </cell>
        </row>
        <row r="6">
          <cell r="B6" t="str">
            <v>CDI</v>
          </cell>
          <cell r="C6" t="str">
            <v>HACIENDA</v>
          </cell>
          <cell r="E6" t="str">
            <v>ALTAR</v>
          </cell>
        </row>
        <row r="7">
          <cell r="B7" t="str">
            <v>CECOP</v>
          </cell>
          <cell r="C7" t="str">
            <v>ISAF</v>
          </cell>
          <cell r="E7" t="str">
            <v>ARIVECHI</v>
          </cell>
        </row>
        <row r="8">
          <cell r="B8" t="str">
            <v>CONVENIOS DE EDUCACION MEDIA SUPERIOR</v>
          </cell>
          <cell r="C8" t="str">
            <v>JUNTA DE CAMINOS</v>
          </cell>
          <cell r="E8" t="str">
            <v>ARIZPE</v>
          </cell>
        </row>
        <row r="9">
          <cell r="B9" t="str">
            <v>CONADE</v>
          </cell>
        </row>
        <row r="10">
          <cell r="B10" t="str">
            <v>PSP</v>
          </cell>
        </row>
        <row r="12">
          <cell r="B12" t="str">
            <v>SCT-EMPALME</v>
          </cell>
        </row>
        <row r="13">
          <cell r="B13" t="str">
            <v>COTAS</v>
          </cell>
          <cell r="C13" t="str">
            <v>MUNICIPIOS</v>
          </cell>
          <cell r="E13" t="str">
            <v>ATIL</v>
          </cell>
        </row>
        <row r="14">
          <cell r="B14" t="str">
            <v>CULTURA DEL AGUA</v>
          </cell>
          <cell r="C14" t="str">
            <v>PGJE</v>
          </cell>
          <cell r="E14" t="str">
            <v>BACADEHUACHI</v>
          </cell>
        </row>
        <row r="15">
          <cell r="B15" t="str">
            <v>FAFEF 2007</v>
          </cell>
          <cell r="C15" t="str">
            <v>SAGARHPA</v>
          </cell>
          <cell r="E15" t="str">
            <v>BACANORA</v>
          </cell>
        </row>
        <row r="16">
          <cell r="B16" t="str">
            <v>FAFEF 2008</v>
          </cell>
          <cell r="C16" t="str">
            <v>SALUD</v>
          </cell>
          <cell r="E16" t="str">
            <v>BACERAC</v>
          </cell>
        </row>
        <row r="17">
          <cell r="B17" t="str">
            <v>FAFEF 2009</v>
          </cell>
          <cell r="C17" t="str">
            <v>SEC</v>
          </cell>
          <cell r="E17" t="str">
            <v>BACOACHI</v>
          </cell>
        </row>
        <row r="18">
          <cell r="B18" t="str">
            <v>FAFEF 2010</v>
          </cell>
          <cell r="C18" t="str">
            <v>SEDESSON</v>
          </cell>
          <cell r="E18" t="str">
            <v>BACUM</v>
          </cell>
        </row>
        <row r="19">
          <cell r="B19" t="str">
            <v>FAFEF 2011</v>
          </cell>
          <cell r="C19" t="str">
            <v>SEGOB</v>
          </cell>
          <cell r="E19" t="str">
            <v>BANAMICHI</v>
          </cell>
        </row>
        <row r="20">
          <cell r="B20" t="str">
            <v>FAMEB</v>
          </cell>
        </row>
        <row r="21">
          <cell r="B21" t="str">
            <v>FAMEB 2009</v>
          </cell>
        </row>
        <row r="22">
          <cell r="B22" t="str">
            <v>FAMEB 2010</v>
          </cell>
          <cell r="C22" t="str">
            <v>SEGURIDAD PUBLICA</v>
          </cell>
          <cell r="E22" t="str">
            <v>BAVIACORA</v>
          </cell>
        </row>
        <row r="23">
          <cell r="B23" t="str">
            <v>FAMEB 2011</v>
          </cell>
          <cell r="C23" t="str">
            <v>SIDUR</v>
          </cell>
          <cell r="E23" t="str">
            <v>BAVISPE</v>
          </cell>
        </row>
        <row r="24">
          <cell r="B24" t="str">
            <v>FAMES 2010</v>
          </cell>
          <cell r="C24" t="str">
            <v>SUPREMO TRIBUNAL DE JUSTICIA</v>
          </cell>
          <cell r="E24" t="str">
            <v>BENITO JUAREZ</v>
          </cell>
        </row>
        <row r="25">
          <cell r="B25" t="str">
            <v>FAMES 2011</v>
          </cell>
          <cell r="E25" t="str">
            <v>BENJAMIN HILL</v>
          </cell>
        </row>
        <row r="26">
          <cell r="B26" t="str">
            <v>FASP 2009</v>
          </cell>
          <cell r="E26" t="str">
            <v>CABORCA</v>
          </cell>
        </row>
        <row r="27">
          <cell r="B27" t="str">
            <v>FASP 2010</v>
          </cell>
          <cell r="E27" t="str">
            <v>CAJEME</v>
          </cell>
        </row>
        <row r="28">
          <cell r="B28" t="str">
            <v>FASP 2011</v>
          </cell>
          <cell r="E28" t="str">
            <v>CANANEA</v>
          </cell>
        </row>
        <row r="29">
          <cell r="B29" t="str">
            <v>FIEF 2010</v>
          </cell>
        </row>
        <row r="30">
          <cell r="B30" t="str">
            <v>FIEF 2011</v>
          </cell>
          <cell r="E30" t="str">
            <v>CARBO</v>
          </cell>
        </row>
        <row r="31">
          <cell r="B31" t="str">
            <v>FISE 2011</v>
          </cell>
          <cell r="E31" t="str">
            <v>LA COLORADA</v>
          </cell>
        </row>
        <row r="32">
          <cell r="B32" t="str">
            <v>FOPREDEN</v>
          </cell>
          <cell r="E32" t="str">
            <v>CUCURPE</v>
          </cell>
        </row>
        <row r="33">
          <cell r="B33" t="str">
            <v>PROSSAPYS</v>
          </cell>
          <cell r="E33" t="str">
            <v>CUMPAS</v>
          </cell>
        </row>
        <row r="34">
          <cell r="B34" t="str">
            <v>PROYECTOS DE INVERSION PARA FORTALECER LOS SERVICIOS DE SALUD</v>
          </cell>
          <cell r="E34" t="str">
            <v>DIVISADEROS</v>
          </cell>
        </row>
        <row r="35">
          <cell r="B35" t="str">
            <v>PUENTE COLORADO</v>
          </cell>
          <cell r="E35" t="str">
            <v>EMPALME</v>
          </cell>
        </row>
        <row r="36">
          <cell r="B36" t="str">
            <v>RAMO 23 600 MDP</v>
          </cell>
          <cell r="E36" t="str">
            <v>ETCHOJOA</v>
          </cell>
        </row>
        <row r="37">
          <cell r="B37" t="str">
            <v>RAMO 23 312 MDP</v>
          </cell>
        </row>
        <row r="38">
          <cell r="B38" t="str">
            <v>RAMO 23 DRS 2010</v>
          </cell>
        </row>
        <row r="39">
          <cell r="B39" t="str">
            <v>RECURSOS PROPIOS</v>
          </cell>
          <cell r="E39" t="str">
            <v>FRONTERAS</v>
          </cell>
        </row>
        <row r="40">
          <cell r="B40" t="str">
            <v>SECTUR</v>
          </cell>
          <cell r="E40" t="str">
            <v>GRAL. PLUTARCO ELIAS CALLES</v>
          </cell>
        </row>
        <row r="41">
          <cell r="B41" t="str">
            <v>UNEMES</v>
          </cell>
          <cell r="E41" t="str">
            <v>GRANADOS</v>
          </cell>
        </row>
        <row r="42">
          <cell r="E42" t="str">
            <v>GUAYMAS</v>
          </cell>
        </row>
        <row r="43">
          <cell r="E43" t="str">
            <v>HERMOSILLO</v>
          </cell>
        </row>
        <row r="44">
          <cell r="E44" t="str">
            <v>HUACHINERA</v>
          </cell>
        </row>
        <row r="45">
          <cell r="E45" t="str">
            <v>HUASABAS</v>
          </cell>
        </row>
        <row r="46">
          <cell r="E46" t="str">
            <v>HUATABAMPO</v>
          </cell>
        </row>
        <row r="47">
          <cell r="E47" t="str">
            <v>HUEPAC</v>
          </cell>
        </row>
        <row r="48">
          <cell r="E48" t="str">
            <v>IMURIS</v>
          </cell>
        </row>
        <row r="49">
          <cell r="E49" t="str">
            <v>MAGDALENA</v>
          </cell>
        </row>
        <row r="50">
          <cell r="E50" t="str">
            <v>MAZATAN</v>
          </cell>
        </row>
        <row r="51">
          <cell r="E51" t="str">
            <v>MOCTEZUMA</v>
          </cell>
        </row>
        <row r="52">
          <cell r="E52" t="str">
            <v>NACO</v>
          </cell>
        </row>
        <row r="53">
          <cell r="E53" t="str">
            <v>NACORI CHICO</v>
          </cell>
        </row>
        <row r="54">
          <cell r="E54" t="str">
            <v>NACOZARI</v>
          </cell>
        </row>
        <row r="55">
          <cell r="E55" t="str">
            <v>NAVOJOA</v>
          </cell>
        </row>
        <row r="56">
          <cell r="E56" t="str">
            <v>NOGALES</v>
          </cell>
        </row>
        <row r="57">
          <cell r="E57" t="str">
            <v>ONAVAS</v>
          </cell>
        </row>
        <row r="58">
          <cell r="E58" t="str">
            <v>OPODEPE</v>
          </cell>
        </row>
        <row r="59">
          <cell r="E59" t="str">
            <v>OQUITOA</v>
          </cell>
        </row>
        <row r="60">
          <cell r="E60" t="str">
            <v>PITIQUITO</v>
          </cell>
        </row>
        <row r="61">
          <cell r="E61" t="str">
            <v>PUERTO PEÑASCO</v>
          </cell>
        </row>
        <row r="62">
          <cell r="E62" t="str">
            <v>QUIRIEGO</v>
          </cell>
        </row>
        <row r="63">
          <cell r="E63" t="str">
            <v>RAYON</v>
          </cell>
        </row>
        <row r="64">
          <cell r="E64" t="str">
            <v>ROSARIO</v>
          </cell>
        </row>
        <row r="65">
          <cell r="E65" t="str">
            <v>SAHUARIPA</v>
          </cell>
        </row>
        <row r="66">
          <cell r="E66" t="str">
            <v>SAN FELIPE DE JESUS</v>
          </cell>
        </row>
        <row r="67">
          <cell r="E67" t="str">
            <v>SAN IGNACIO RIO MUERTO</v>
          </cell>
        </row>
        <row r="68">
          <cell r="E68" t="str">
            <v>SAN JAVIER</v>
          </cell>
        </row>
        <row r="69">
          <cell r="E69" t="str">
            <v>SAN LUIS RIO COLORADO</v>
          </cell>
        </row>
        <row r="70">
          <cell r="E70" t="str">
            <v>SAN MIGUEL DE HORCASITAS</v>
          </cell>
        </row>
        <row r="71">
          <cell r="E71" t="str">
            <v>SAN PEDRO DE LA CUEVA</v>
          </cell>
        </row>
        <row r="72">
          <cell r="E72" t="str">
            <v>SANTA ANA</v>
          </cell>
        </row>
        <row r="73">
          <cell r="E73" t="str">
            <v>SANTA CRUZ</v>
          </cell>
        </row>
        <row r="74">
          <cell r="E74" t="str">
            <v>SARIC</v>
          </cell>
        </row>
        <row r="75">
          <cell r="E75" t="str">
            <v>SOYOPA</v>
          </cell>
        </row>
        <row r="76">
          <cell r="E76" t="str">
            <v>SUAQUI GRANDE</v>
          </cell>
        </row>
        <row r="77">
          <cell r="E77" t="str">
            <v>TEPACHE</v>
          </cell>
        </row>
        <row r="78">
          <cell r="E78" t="str">
            <v>TRINCHERAS</v>
          </cell>
        </row>
        <row r="79">
          <cell r="E79" t="str">
            <v>TUBUTAMA</v>
          </cell>
        </row>
        <row r="80">
          <cell r="E80" t="str">
            <v>URES</v>
          </cell>
        </row>
        <row r="81">
          <cell r="E81" t="str">
            <v>VILLA HIDALGO</v>
          </cell>
        </row>
        <row r="82">
          <cell r="E82" t="str">
            <v>VILLA PESQUEIRA</v>
          </cell>
        </row>
        <row r="83">
          <cell r="E83" t="str">
            <v>YECORA</v>
          </cell>
        </row>
        <row r="84">
          <cell r="E84" t="str">
            <v>VARIOS</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Tabla Dinámica"/>
      <sheetName val="Listado de Obras"/>
      <sheetName val="Hoja1"/>
      <sheetName val="Hoja2"/>
    </sheetNames>
    <sheetDataSet>
      <sheetData sheetId="0">
        <row r="3">
          <cell r="B3" t="str">
            <v>ACUEDUCTO INDEPENDENCIA</v>
          </cell>
          <cell r="C3" t="str">
            <v>CECOP</v>
          </cell>
          <cell r="E3" t="str">
            <v>ACONCHI</v>
          </cell>
        </row>
        <row r="4">
          <cell r="B4" t="str">
            <v>AGUA LIMPIA</v>
          </cell>
          <cell r="C4" t="str">
            <v>CEDES</v>
          </cell>
          <cell r="E4" t="str">
            <v>AGUA PRIETA</v>
          </cell>
        </row>
        <row r="5">
          <cell r="B5" t="str">
            <v>APAZU</v>
          </cell>
          <cell r="C5" t="str">
            <v>ECONOMIA</v>
          </cell>
          <cell r="E5" t="str">
            <v xml:space="preserve">ALAMOS </v>
          </cell>
        </row>
        <row r="6">
          <cell r="B6" t="str">
            <v>CDI</v>
          </cell>
          <cell r="C6" t="str">
            <v>HACIENDA</v>
          </cell>
          <cell r="E6" t="str">
            <v>ALTAR</v>
          </cell>
        </row>
        <row r="7">
          <cell r="B7" t="str">
            <v>CECOP</v>
          </cell>
          <cell r="C7" t="str">
            <v>ISAF</v>
          </cell>
          <cell r="E7" t="str">
            <v>ARIVECHI</v>
          </cell>
        </row>
        <row r="8">
          <cell r="B8" t="str">
            <v>CONVENIOS DE EDUCACION MEDIA SUPERIOR</v>
          </cell>
          <cell r="C8" t="str">
            <v>JUNTA DE CAMINOS</v>
          </cell>
          <cell r="E8" t="str">
            <v>ARIZPE</v>
          </cell>
        </row>
        <row r="9">
          <cell r="B9" t="str">
            <v>CONADE</v>
          </cell>
        </row>
        <row r="10">
          <cell r="B10" t="str">
            <v>PSP</v>
          </cell>
        </row>
        <row r="12">
          <cell r="B12" t="str">
            <v>SCT-EMPALME</v>
          </cell>
        </row>
        <row r="13">
          <cell r="B13" t="str">
            <v>COTAS</v>
          </cell>
          <cell r="C13" t="str">
            <v>MUNICIPIOS</v>
          </cell>
          <cell r="E13" t="str">
            <v>ATIL</v>
          </cell>
        </row>
        <row r="14">
          <cell r="B14" t="str">
            <v>CULTURA DEL AGUA</v>
          </cell>
          <cell r="C14" t="str">
            <v>PGJE</v>
          </cell>
          <cell r="E14" t="str">
            <v>BACADEHUACHI</v>
          </cell>
        </row>
        <row r="15">
          <cell r="B15" t="str">
            <v>FAFEF 2007</v>
          </cell>
          <cell r="C15" t="str">
            <v>SAGARHPA</v>
          </cell>
          <cell r="E15" t="str">
            <v>BACANORA</v>
          </cell>
        </row>
        <row r="16">
          <cell r="B16" t="str">
            <v>FAFEF 2008</v>
          </cell>
          <cell r="C16" t="str">
            <v>SALUD</v>
          </cell>
          <cell r="E16" t="str">
            <v>BACERAC</v>
          </cell>
        </row>
        <row r="17">
          <cell r="B17" t="str">
            <v>FAFEF 2009</v>
          </cell>
          <cell r="C17" t="str">
            <v>SEC</v>
          </cell>
          <cell r="E17" t="str">
            <v>BACOACHI</v>
          </cell>
        </row>
        <row r="18">
          <cell r="B18" t="str">
            <v>FAFEF 2010</v>
          </cell>
          <cell r="C18" t="str">
            <v>SEDESSON</v>
          </cell>
          <cell r="E18" t="str">
            <v>BACUM</v>
          </cell>
        </row>
        <row r="19">
          <cell r="B19" t="str">
            <v>FAFEF 2011</v>
          </cell>
          <cell r="C19" t="str">
            <v>SEGOB</v>
          </cell>
          <cell r="E19" t="str">
            <v>BANAMICHI</v>
          </cell>
        </row>
        <row r="20">
          <cell r="B20" t="str">
            <v>FAMEB</v>
          </cell>
        </row>
        <row r="21">
          <cell r="B21" t="str">
            <v>FAMEB 2009</v>
          </cell>
        </row>
        <row r="22">
          <cell r="B22" t="str">
            <v>FAMEB 2010</v>
          </cell>
          <cell r="C22" t="str">
            <v>SEGURIDAD PUBLICA</v>
          </cell>
          <cell r="E22" t="str">
            <v>BAVIACORA</v>
          </cell>
        </row>
        <row r="23">
          <cell r="B23" t="str">
            <v>FAMEB 2011</v>
          </cell>
          <cell r="C23" t="str">
            <v>SIDUR</v>
          </cell>
          <cell r="E23" t="str">
            <v>BAVISPE</v>
          </cell>
        </row>
        <row r="24">
          <cell r="B24" t="str">
            <v>FAMES 2010</v>
          </cell>
          <cell r="C24" t="str">
            <v>SUPREMO TRIBUNAL DE JUSTICIA</v>
          </cell>
          <cell r="E24" t="str">
            <v>BENITO JUAREZ</v>
          </cell>
        </row>
        <row r="25">
          <cell r="B25" t="str">
            <v>FAMES 2011</v>
          </cell>
          <cell r="E25" t="str">
            <v>BENJAMIN HILL</v>
          </cell>
        </row>
        <row r="26">
          <cell r="B26" t="str">
            <v>FASP 2009</v>
          </cell>
          <cell r="E26" t="str">
            <v>CABORCA</v>
          </cell>
        </row>
        <row r="27">
          <cell r="B27" t="str">
            <v>FASP 2010</v>
          </cell>
          <cell r="E27" t="str">
            <v>CAJEME</v>
          </cell>
        </row>
        <row r="28">
          <cell r="B28" t="str">
            <v>FASP 2011</v>
          </cell>
          <cell r="E28" t="str">
            <v>CANANEA</v>
          </cell>
        </row>
        <row r="29">
          <cell r="B29" t="str">
            <v>FIEF 2010</v>
          </cell>
        </row>
        <row r="30">
          <cell r="B30" t="str">
            <v>FIEF 2011</v>
          </cell>
          <cell r="E30" t="str">
            <v>CARBO</v>
          </cell>
        </row>
        <row r="31">
          <cell r="B31" t="str">
            <v>FISE 2011</v>
          </cell>
          <cell r="E31" t="str">
            <v>LA COLORADA</v>
          </cell>
        </row>
        <row r="32">
          <cell r="B32" t="str">
            <v>FOPREDEN</v>
          </cell>
          <cell r="E32" t="str">
            <v>CUCURPE</v>
          </cell>
        </row>
        <row r="33">
          <cell r="B33" t="str">
            <v>PROSSAPYS</v>
          </cell>
          <cell r="E33" t="str">
            <v>CUMPAS</v>
          </cell>
        </row>
        <row r="34">
          <cell r="B34" t="str">
            <v>PROYECTOS DE INVERSION PARA FORTALECER LOS SERVICIOS DE SALUD</v>
          </cell>
          <cell r="E34" t="str">
            <v>DIVISADEROS</v>
          </cell>
        </row>
        <row r="35">
          <cell r="B35" t="str">
            <v>PUENTE COLORADO</v>
          </cell>
          <cell r="E35" t="str">
            <v>EMPALME</v>
          </cell>
        </row>
        <row r="36">
          <cell r="B36" t="str">
            <v>RAMO 23 600 MDP</v>
          </cell>
          <cell r="E36" t="str">
            <v>ETCHOJOA</v>
          </cell>
        </row>
        <row r="37">
          <cell r="B37" t="str">
            <v>RAMO 23 312 MDP</v>
          </cell>
        </row>
        <row r="38">
          <cell r="B38" t="str">
            <v>RAMO 23 DRS 2010</v>
          </cell>
        </row>
        <row r="39">
          <cell r="B39" t="str">
            <v>RECURSOS PROPIOS</v>
          </cell>
          <cell r="E39" t="str">
            <v>FRONTERAS</v>
          </cell>
        </row>
        <row r="40">
          <cell r="B40" t="str">
            <v>SECTUR</v>
          </cell>
          <cell r="E40" t="str">
            <v>GRAL. PLUTARCO ELIAS CALLES</v>
          </cell>
        </row>
        <row r="41">
          <cell r="B41" t="str">
            <v>UNEMES</v>
          </cell>
          <cell r="E41" t="str">
            <v>GRANADOS</v>
          </cell>
        </row>
        <row r="42">
          <cell r="E42" t="str">
            <v>GUAYMAS</v>
          </cell>
        </row>
        <row r="43">
          <cell r="E43" t="str">
            <v>HERMOSILLO</v>
          </cell>
        </row>
        <row r="44">
          <cell r="E44" t="str">
            <v>HUACHINERA</v>
          </cell>
        </row>
        <row r="45">
          <cell r="E45" t="str">
            <v>HUASABAS</v>
          </cell>
        </row>
        <row r="46">
          <cell r="E46" t="str">
            <v>HUATABAMPO</v>
          </cell>
        </row>
        <row r="47">
          <cell r="E47" t="str">
            <v>HUEPAC</v>
          </cell>
        </row>
        <row r="48">
          <cell r="E48" t="str">
            <v>IMURIS</v>
          </cell>
        </row>
        <row r="49">
          <cell r="E49" t="str">
            <v>MAGDALENA</v>
          </cell>
        </row>
        <row r="50">
          <cell r="E50" t="str">
            <v>MAZATAN</v>
          </cell>
        </row>
        <row r="51">
          <cell r="E51" t="str">
            <v>MOCTEZUMA</v>
          </cell>
        </row>
        <row r="52">
          <cell r="E52" t="str">
            <v>NACO</v>
          </cell>
        </row>
        <row r="53">
          <cell r="E53" t="str">
            <v>NACORI CHICO</v>
          </cell>
        </row>
        <row r="54">
          <cell r="E54" t="str">
            <v>NACOZARI</v>
          </cell>
        </row>
        <row r="55">
          <cell r="E55" t="str">
            <v>NAVOJOA</v>
          </cell>
        </row>
        <row r="56">
          <cell r="E56" t="str">
            <v>NOGALES</v>
          </cell>
        </row>
        <row r="57">
          <cell r="E57" t="str">
            <v>ONAVAS</v>
          </cell>
        </row>
        <row r="58">
          <cell r="E58" t="str">
            <v>OPODEPE</v>
          </cell>
        </row>
        <row r="59">
          <cell r="E59" t="str">
            <v>OQUITOA</v>
          </cell>
        </row>
        <row r="60">
          <cell r="E60" t="str">
            <v>PITIQUITO</v>
          </cell>
        </row>
        <row r="61">
          <cell r="E61" t="str">
            <v>PUERTO PEÑASCO</v>
          </cell>
        </row>
        <row r="62">
          <cell r="E62" t="str">
            <v>QUIRIEGO</v>
          </cell>
        </row>
        <row r="63">
          <cell r="E63" t="str">
            <v>RAYON</v>
          </cell>
        </row>
        <row r="64">
          <cell r="E64" t="str">
            <v>ROSARIO</v>
          </cell>
        </row>
        <row r="65">
          <cell r="E65" t="str">
            <v>SAHUARIPA</v>
          </cell>
        </row>
        <row r="66">
          <cell r="E66" t="str">
            <v>SAN FELIPE DE JESUS</v>
          </cell>
        </row>
        <row r="67">
          <cell r="E67" t="str">
            <v>SAN IGNACIO RIO MUERTO</v>
          </cell>
        </row>
        <row r="68">
          <cell r="E68" t="str">
            <v>SAN JAVIER</v>
          </cell>
        </row>
        <row r="69">
          <cell r="E69" t="str">
            <v>SAN LUIS RIO COLORADO</v>
          </cell>
        </row>
        <row r="70">
          <cell r="E70" t="str">
            <v>SAN MIGUEL DE HORCASITAS</v>
          </cell>
        </row>
        <row r="71">
          <cell r="E71" t="str">
            <v>SAN PEDRO DE LA CUEVA</v>
          </cell>
        </row>
        <row r="72">
          <cell r="E72" t="str">
            <v>SANTA ANA</v>
          </cell>
        </row>
        <row r="73">
          <cell r="E73" t="str">
            <v>SANTA CRUZ</v>
          </cell>
        </row>
        <row r="74">
          <cell r="E74" t="str">
            <v>SARIC</v>
          </cell>
        </row>
        <row r="75">
          <cell r="E75" t="str">
            <v>SOYOPA</v>
          </cell>
        </row>
        <row r="76">
          <cell r="E76" t="str">
            <v>SUAQUI GRANDE</v>
          </cell>
        </row>
        <row r="77">
          <cell r="E77" t="str">
            <v>TEPACHE</v>
          </cell>
        </row>
        <row r="78">
          <cell r="E78" t="str">
            <v>TRINCHERAS</v>
          </cell>
        </row>
        <row r="79">
          <cell r="E79" t="str">
            <v>TUBUTAMA</v>
          </cell>
        </row>
        <row r="80">
          <cell r="E80" t="str">
            <v>URES</v>
          </cell>
        </row>
        <row r="81">
          <cell r="E81" t="str">
            <v>VILLA HIDALGO</v>
          </cell>
        </row>
        <row r="82">
          <cell r="E82" t="str">
            <v>VILLA PESQUEIRA</v>
          </cell>
        </row>
        <row r="83">
          <cell r="E83" t="str">
            <v>YECORA</v>
          </cell>
        </row>
        <row r="84">
          <cell r="E84" t="str">
            <v>VARIOS</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CON AJUSTES EN 3 EMPLEADOS"/>
      <sheetName val="CON AJUSTES EN 3 EMPL Y JAQUIE"/>
      <sheetName val="FILTRO"/>
      <sheetName val="DIR GRAL"/>
      <sheetName val="DAF"/>
      <sheetName val="FORT"/>
      <sheetName val="DIHU"/>
      <sheetName val="HIDRO"/>
      <sheetName val="JURIDICO"/>
      <sheetName val="COS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4">
          <cell r="G94">
            <v>2635263.5999999996</v>
          </cell>
          <cell r="H94">
            <v>141480</v>
          </cell>
          <cell r="K94">
            <v>75168</v>
          </cell>
          <cell r="L94">
            <v>202309.90999999997</v>
          </cell>
          <cell r="M94">
            <v>83484</v>
          </cell>
          <cell r="O94">
            <v>34800</v>
          </cell>
          <cell r="P94">
            <v>39035.279999999999</v>
          </cell>
          <cell r="Q94">
            <v>41796</v>
          </cell>
          <cell r="R94">
            <v>961047.66666666686</v>
          </cell>
          <cell r="Y94">
            <v>753380.4</v>
          </cell>
          <cell r="Z94">
            <v>2440</v>
          </cell>
          <cell r="AA94">
            <v>4980</v>
          </cell>
          <cell r="AB94">
            <v>16200</v>
          </cell>
          <cell r="AC94">
            <v>31680</v>
          </cell>
          <cell r="AD94">
            <v>40210.260000000009</v>
          </cell>
          <cell r="AE94">
            <v>66306.39</v>
          </cell>
          <cell r="AF94">
            <v>5670</v>
          </cell>
          <cell r="AG94">
            <v>8430</v>
          </cell>
          <cell r="AH94">
            <v>29757</v>
          </cell>
          <cell r="AI94">
            <v>37640.399999999994</v>
          </cell>
          <cell r="AJ94">
            <v>1703994</v>
          </cell>
          <cell r="AK94">
            <v>6328.3200000000015</v>
          </cell>
          <cell r="AL94">
            <v>648</v>
          </cell>
          <cell r="AM94">
            <v>3696</v>
          </cell>
        </row>
      </sheetData>
      <sheetData sheetId="8" refreshError="1">
        <row r="94">
          <cell r="G94">
            <v>2698637.04</v>
          </cell>
          <cell r="H94">
            <v>82530</v>
          </cell>
          <cell r="I94">
            <v>20640</v>
          </cell>
          <cell r="K94">
            <v>43848</v>
          </cell>
          <cell r="L94">
            <v>387826.65749999997</v>
          </cell>
          <cell r="M94">
            <v>48699</v>
          </cell>
          <cell r="O94">
            <v>34800</v>
          </cell>
          <cell r="P94">
            <v>95325.359999999986</v>
          </cell>
          <cell r="Q94">
            <v>24381</v>
          </cell>
          <cell r="R94">
            <v>995477.87833333341</v>
          </cell>
          <cell r="Y94">
            <v>733576.44000000006</v>
          </cell>
          <cell r="Z94">
            <v>2440</v>
          </cell>
          <cell r="AA94">
            <v>1660</v>
          </cell>
          <cell r="AB94">
            <v>11250</v>
          </cell>
          <cell r="AC94">
            <v>18480</v>
          </cell>
          <cell r="AD94">
            <v>24897.200000000004</v>
          </cell>
          <cell r="AE94">
            <v>41495.337500000009</v>
          </cell>
          <cell r="AF94">
            <v>3307.5</v>
          </cell>
          <cell r="AG94">
            <v>5620</v>
          </cell>
          <cell r="AH94">
            <v>26037.375</v>
          </cell>
          <cell r="AI94">
            <v>32935.35</v>
          </cell>
          <cell r="AJ94">
            <v>1682289.9</v>
          </cell>
          <cell r="AK94">
            <v>7468.68</v>
          </cell>
          <cell r="AL94">
            <v>364.5</v>
          </cell>
          <cell r="AM94">
            <v>3234</v>
          </cell>
        </row>
        <row r="95">
          <cell r="S95">
            <v>266712</v>
          </cell>
        </row>
      </sheetData>
      <sheetData sheetId="9" refreshError="1"/>
      <sheetData sheetId="10" refreshError="1">
        <row r="94">
          <cell r="G94">
            <v>1187161.44</v>
          </cell>
          <cell r="H94">
            <v>0</v>
          </cell>
          <cell r="K94">
            <v>0</v>
          </cell>
          <cell r="L94">
            <v>288111.20999999996</v>
          </cell>
          <cell r="M94">
            <v>0</v>
          </cell>
          <cell r="O94">
            <v>28800</v>
          </cell>
          <cell r="R94">
            <v>438949.26</v>
          </cell>
          <cell r="Y94">
            <v>296274.71999999997</v>
          </cell>
          <cell r="Z94">
            <v>0</v>
          </cell>
          <cell r="AD94">
            <v>0</v>
          </cell>
          <cell r="AE94">
            <v>0</v>
          </cell>
          <cell r="AG94">
            <v>0</v>
          </cell>
          <cell r="AH94">
            <v>10627.5</v>
          </cell>
          <cell r="AI94">
            <v>13443.000000000002</v>
          </cell>
          <cell r="AJ94">
            <v>689428.8</v>
          </cell>
          <cell r="AK94">
            <v>0</v>
          </cell>
          <cell r="AL94">
            <v>0</v>
          </cell>
          <cell r="AM94">
            <v>1320</v>
          </cell>
        </row>
        <row r="95">
          <cell r="S95">
            <v>107332.56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roma_rangel@hotmail.com" TargetMode="External"/><Relationship Id="rId1" Type="http://schemas.openxmlformats.org/officeDocument/2006/relationships/hyperlink" Target="mailto:rrangel@haciendasonora.gob.mx"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F4BBD-97FE-43D1-B329-8F5F9EA0F76D}">
  <sheetPr>
    <tabColor rgb="FF92D050"/>
  </sheetPr>
  <dimension ref="A1:H25"/>
  <sheetViews>
    <sheetView tabSelected="1" view="pageBreakPreview" zoomScaleNormal="100" zoomScaleSheetLayoutView="100" workbookViewId="0">
      <selection activeCell="D16" activeCellId="5" sqref="E18 D18 D17 E17 E16 D16"/>
    </sheetView>
  </sheetViews>
  <sheetFormatPr baseColWidth="10" defaultRowHeight="15"/>
  <cols>
    <col min="1" max="1" width="32.42578125" customWidth="1"/>
    <col min="2" max="2" width="15.140625" customWidth="1"/>
    <col min="3" max="3" width="22.85546875" customWidth="1"/>
    <col min="4" max="4" width="17.85546875" bestFit="1" customWidth="1"/>
    <col min="5" max="5" width="20.140625" bestFit="1" customWidth="1"/>
    <col min="6" max="6" width="17.85546875" bestFit="1" customWidth="1"/>
    <col min="8" max="8" width="16.85546875" bestFit="1" customWidth="1"/>
  </cols>
  <sheetData>
    <row r="1" spans="1:8" ht="37.5" customHeight="1">
      <c r="A1" s="391" t="s">
        <v>166</v>
      </c>
      <c r="B1" s="391"/>
      <c r="C1" s="391"/>
      <c r="D1" s="391"/>
      <c r="E1" s="391"/>
      <c r="F1" s="391"/>
    </row>
    <row r="2" spans="1:8" ht="42.75" customHeight="1">
      <c r="A2" s="392" t="s">
        <v>599</v>
      </c>
      <c r="B2" s="392"/>
      <c r="C2" s="392"/>
      <c r="D2" s="392"/>
      <c r="E2" s="392"/>
      <c r="F2" s="392"/>
    </row>
    <row r="3" spans="1:8" ht="16.5" thickBot="1">
      <c r="A3" s="279"/>
      <c r="B3" s="279"/>
      <c r="C3" s="280"/>
      <c r="D3" s="280"/>
      <c r="E3" s="280"/>
      <c r="F3" s="280"/>
    </row>
    <row r="4" spans="1:8" ht="21.75" customHeight="1" thickBot="1">
      <c r="A4" s="299" t="s">
        <v>203</v>
      </c>
      <c r="B4" s="299" t="s">
        <v>204</v>
      </c>
      <c r="C4" s="300" t="s">
        <v>104</v>
      </c>
      <c r="D4" s="301" t="s">
        <v>205</v>
      </c>
      <c r="E4" s="300" t="s">
        <v>206</v>
      </c>
      <c r="F4" s="300" t="s">
        <v>207</v>
      </c>
    </row>
    <row r="5" spans="1:8" ht="18.75">
      <c r="A5" s="281"/>
      <c r="B5" s="282"/>
      <c r="C5" s="283"/>
      <c r="D5" s="283"/>
      <c r="E5" s="283"/>
      <c r="F5" s="284"/>
    </row>
    <row r="6" spans="1:8" ht="30.75" customHeight="1">
      <c r="A6" s="133" t="s">
        <v>175</v>
      </c>
      <c r="B6" s="134"/>
      <c r="C6" s="135">
        <f>+C7+C8</f>
        <v>830409410.4671185</v>
      </c>
      <c r="D6" s="135">
        <f>SUM(D7:D13)</f>
        <v>291545412.47461849</v>
      </c>
      <c r="E6" s="135">
        <f>+E8</f>
        <v>400155406.99250001</v>
      </c>
      <c r="F6" s="136">
        <f>+F8</f>
        <v>138708591</v>
      </c>
    </row>
    <row r="7" spans="1:8" ht="22.5">
      <c r="A7" s="274" t="s">
        <v>208</v>
      </c>
      <c r="B7" s="275"/>
      <c r="C7" s="127">
        <f>SUM(D7:F7)</f>
        <v>291545412.47461849</v>
      </c>
      <c r="D7" s="128">
        <f>'DETALLADO 2022 AUT.'!B10+'DETALLADO 2022 AUT.'!C10+'DETALLADO 2022 AUT.'!D10+'DETALLADO 2022 AUT.'!E10+'DETALLADO 2022 AUT.'!F10</f>
        <v>291545412.47461849</v>
      </c>
      <c r="E7" s="128"/>
      <c r="F7" s="137"/>
    </row>
    <row r="8" spans="1:8" ht="22.5">
      <c r="A8" s="274" t="s">
        <v>583</v>
      </c>
      <c r="B8" s="275"/>
      <c r="C8" s="127">
        <f>SUM(C9:C13)</f>
        <v>538863997.99250007</v>
      </c>
      <c r="D8" s="128"/>
      <c r="E8" s="127">
        <f>SUM(E9:E13)</f>
        <v>400155406.99250001</v>
      </c>
      <c r="F8" s="138">
        <f>SUM(F13)</f>
        <v>138708591</v>
      </c>
    </row>
    <row r="9" spans="1:8" ht="37.5">
      <c r="A9" s="139" t="s">
        <v>209</v>
      </c>
      <c r="B9" s="276"/>
      <c r="C9" s="127">
        <f>SUM(D9:F9)</f>
        <v>106999999.99999999</v>
      </c>
      <c r="D9" s="128"/>
      <c r="E9" s="128">
        <f>'DETALLADO 2022 AUT.'!B30+'DETALLADO 2022 AUT.'!C30+'DETALLADO 2022 AUT.'!E30+'DETALLADO 2022 AUT.'!F30</f>
        <v>106999999.99999999</v>
      </c>
      <c r="F9" s="137"/>
    </row>
    <row r="10" spans="1:8" ht="18.75">
      <c r="A10" s="139" t="s">
        <v>210</v>
      </c>
      <c r="B10" s="276"/>
      <c r="C10" s="127">
        <f>SUM(D10:F10)</f>
        <v>107951116</v>
      </c>
      <c r="D10" s="128"/>
      <c r="E10" s="128">
        <f>'DETALLADO 2022 AUT.'!B31</f>
        <v>107951116</v>
      </c>
      <c r="F10" s="137"/>
    </row>
    <row r="11" spans="1:8" ht="18.75">
      <c r="A11" s="139" t="s">
        <v>211</v>
      </c>
      <c r="B11" s="276"/>
      <c r="C11" s="127">
        <f>SUM(D11:F11)</f>
        <v>54204290.9925</v>
      </c>
      <c r="D11" s="128"/>
      <c r="E11" s="128">
        <f>'DETALLADO 2022 AUT.'!G24+'DETALLADO 2022 AUT.'!G27+'DETALLADO 2022 AUT.'!G30</f>
        <v>54204290.9925</v>
      </c>
      <c r="F11" s="137"/>
    </row>
    <row r="12" spans="1:8" ht="37.5">
      <c r="A12" s="139" t="s">
        <v>609</v>
      </c>
      <c r="B12" s="276"/>
      <c r="C12" s="127">
        <f>SUM(D12:F12)</f>
        <v>0</v>
      </c>
      <c r="D12" s="129"/>
      <c r="E12" s="161">
        <v>0</v>
      </c>
      <c r="F12" s="137"/>
    </row>
    <row r="13" spans="1:8" ht="22.5">
      <c r="A13" s="277" t="s">
        <v>212</v>
      </c>
      <c r="B13" s="278"/>
      <c r="C13" s="140">
        <f>SUM(D13:F13)</f>
        <v>269708591</v>
      </c>
      <c r="D13" s="141"/>
      <c r="E13" s="142">
        <v>131000000</v>
      </c>
      <c r="F13" s="143">
        <f>15000000+73533038+50175553</f>
        <v>138708591</v>
      </c>
    </row>
    <row r="14" spans="1:8" ht="23.25" customHeight="1">
      <c r="A14" s="285"/>
      <c r="B14" s="286"/>
      <c r="C14" s="287"/>
      <c r="D14" s="287"/>
      <c r="E14" s="287"/>
      <c r="F14" s="288"/>
    </row>
    <row r="15" spans="1:8" ht="22.5">
      <c r="A15" s="133" t="s">
        <v>185</v>
      </c>
      <c r="B15" s="134" t="s">
        <v>204</v>
      </c>
      <c r="C15" s="135">
        <f>SUM(C16:C22)</f>
        <v>830409410.4671185</v>
      </c>
      <c r="D15" s="135">
        <f>SUM(D16:D22)</f>
        <v>291545412.47461849</v>
      </c>
      <c r="E15" s="135">
        <f>SUM(E16:E22)</f>
        <v>400155406.99250001</v>
      </c>
      <c r="F15" s="136">
        <f>SUM(F16:F22)</f>
        <v>138708591</v>
      </c>
    </row>
    <row r="16" spans="1:8" ht="19.5">
      <c r="A16" s="144" t="s">
        <v>213</v>
      </c>
      <c r="B16" s="98">
        <v>1000</v>
      </c>
      <c r="C16" s="130">
        <f>D16+E16+F16</f>
        <v>246614917.43994898</v>
      </c>
      <c r="D16" s="131">
        <f>'DETALLADO 2022 AUT.'!B24+'DETALLADO 2022 AUT.'!C24+'DETALLADO 2022 AUT.'!D24+'DETALLADO 2022 AUT.'!E24+'DETALLADO 2022 AUT.'!F24</f>
        <v>198410626.44494897</v>
      </c>
      <c r="E16" s="131">
        <f>'DETALLADO 2022 AUT.'!G24</f>
        <v>48204290.994999997</v>
      </c>
      <c r="F16" s="145"/>
      <c r="H16" s="1"/>
    </row>
    <row r="17" spans="1:7" ht="39">
      <c r="A17" s="144" t="s">
        <v>214</v>
      </c>
      <c r="B17" s="98">
        <v>2000</v>
      </c>
      <c r="C17" s="130">
        <f>D17+E17+F17</f>
        <v>36132325.124952674</v>
      </c>
      <c r="D17" s="131">
        <f>'DETALLADO 2022 AUT.'!B27+'DETALLADO 2022 AUT.'!C27+'DETALLADO 2022 AUT.'!D27+'DETALLADO 2022 AUT.'!E27+'DETALLADO 2022 AUT.'!F27</f>
        <v>35132325.127452672</v>
      </c>
      <c r="E17" s="131">
        <f>'DETALLADO 2022 AUT.'!G27</f>
        <v>999999.99750000006</v>
      </c>
      <c r="F17" s="145"/>
      <c r="G17" s="80"/>
    </row>
    <row r="18" spans="1:7" ht="19.5">
      <c r="A18" s="144" t="s">
        <v>215</v>
      </c>
      <c r="B18" s="98">
        <v>3000</v>
      </c>
      <c r="C18" s="130">
        <f>D18+E18+F18</f>
        <v>277953576.90221685</v>
      </c>
      <c r="D18" s="131">
        <f>'DETALLADO 2022 AUT.'!B29+'DETALLADO 2022 AUT.'!C29+'DETALLADO 2022 AUT.'!D29+'DETALLADO 2022 AUT.'!E29+'DETALLADO 2022 AUT.'!F29</f>
        <v>58002460.902216859</v>
      </c>
      <c r="E18" s="131">
        <f>'DETALLADO 2022 AUT.'!B30+'DETALLADO 2022 AUT.'!C30+'DETALLADO 2022 AUT.'!E30+'DETALLADO 2022 AUT.'!F30+'DETALLADO 2022 AUT.'!G30+'DETALLADO 2022 AUT.'!B31</f>
        <v>219951116</v>
      </c>
      <c r="F18" s="145"/>
    </row>
    <row r="19" spans="1:7" ht="58.5">
      <c r="A19" s="144" t="s">
        <v>216</v>
      </c>
      <c r="B19" s="98">
        <v>4000</v>
      </c>
      <c r="C19" s="130"/>
      <c r="D19" s="131"/>
      <c r="E19" s="132"/>
      <c r="F19" s="145"/>
    </row>
    <row r="20" spans="1:7" ht="58.5">
      <c r="A20" s="144" t="s">
        <v>217</v>
      </c>
      <c r="B20" s="98">
        <v>5000</v>
      </c>
      <c r="C20" s="130"/>
      <c r="D20" s="131"/>
      <c r="E20" s="131"/>
      <c r="F20" s="145"/>
    </row>
    <row r="21" spans="1:7" ht="19.5">
      <c r="A21" s="144" t="s">
        <v>218</v>
      </c>
      <c r="B21" s="98">
        <v>6000</v>
      </c>
      <c r="C21" s="130">
        <f>D21+E21+F21</f>
        <v>269708591</v>
      </c>
      <c r="D21" s="131"/>
      <c r="E21" s="132">
        <v>131000000</v>
      </c>
      <c r="F21" s="146">
        <v>138708591</v>
      </c>
    </row>
    <row r="22" spans="1:7" ht="39">
      <c r="A22" s="147" t="s">
        <v>610</v>
      </c>
      <c r="B22" s="148">
        <v>9000</v>
      </c>
      <c r="C22" s="149">
        <f>D22+E22+F22</f>
        <v>0</v>
      </c>
      <c r="D22" s="150"/>
      <c r="E22" s="151"/>
      <c r="F22" s="152"/>
    </row>
    <row r="23" spans="1:7" ht="42.75" customHeight="1">
      <c r="A23" s="393" t="s">
        <v>219</v>
      </c>
      <c r="B23" s="393"/>
      <c r="C23" s="393"/>
      <c r="D23" s="393"/>
      <c r="E23" s="393"/>
      <c r="F23" s="393"/>
    </row>
    <row r="24" spans="1:7" ht="19.5">
      <c r="A24" s="98"/>
      <c r="B24" s="98"/>
      <c r="C24" s="131"/>
      <c r="D24" s="131"/>
      <c r="E24" s="99"/>
      <c r="F24" s="100"/>
    </row>
    <row r="25" spans="1:7" ht="15.75" customHeight="1">
      <c r="A25" s="230"/>
      <c r="B25" s="101"/>
      <c r="C25" s="101"/>
      <c r="D25" s="131"/>
      <c r="E25" s="131"/>
      <c r="F25" s="289"/>
    </row>
  </sheetData>
  <mergeCells count="3">
    <mergeCell ref="A1:F1"/>
    <mergeCell ref="A2:F2"/>
    <mergeCell ref="A23:F23"/>
  </mergeCells>
  <pageMargins left="1.299212598425197" right="0.70866141732283472" top="0.74803149606299213" bottom="0.74803149606299213" header="0.31496062992125984" footer="0.31496062992125984"/>
  <pageSetup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5"/>
  <sheetViews>
    <sheetView workbookViewId="0">
      <selection activeCell="A17" sqref="A17"/>
    </sheetView>
  </sheetViews>
  <sheetFormatPr baseColWidth="10" defaultRowHeight="15"/>
  <cols>
    <col min="1" max="1" width="59.42578125" bestFit="1" customWidth="1"/>
    <col min="2" max="2" width="15.7109375" style="11" hidden="1" customWidth="1"/>
    <col min="3" max="3" width="13.140625" hidden="1" customWidth="1"/>
    <col min="4" max="6" width="0" hidden="1" customWidth="1"/>
    <col min="7" max="8" width="11.5703125" hidden="1" customWidth="1"/>
    <col min="9" max="9" width="6" hidden="1" customWidth="1"/>
    <col min="10" max="11" width="11.5703125" hidden="1" customWidth="1"/>
    <col min="12" max="15" width="0" hidden="1" customWidth="1"/>
    <col min="16" max="16" width="12" hidden="1" customWidth="1"/>
  </cols>
  <sheetData>
    <row r="1" spans="1:16">
      <c r="B1" s="456" t="s">
        <v>108</v>
      </c>
      <c r="C1" s="456"/>
      <c r="D1" s="456"/>
      <c r="E1" s="456"/>
      <c r="F1" s="456"/>
      <c r="G1" s="456" t="s">
        <v>109</v>
      </c>
      <c r="H1" s="456"/>
      <c r="I1" s="456"/>
      <c r="J1" s="456"/>
      <c r="K1" s="456"/>
      <c r="L1" s="456" t="s">
        <v>110</v>
      </c>
      <c r="M1" s="456"/>
      <c r="N1" s="456"/>
      <c r="O1" s="456"/>
      <c r="P1" s="456"/>
    </row>
    <row r="2" spans="1:16">
      <c r="A2" t="s">
        <v>1</v>
      </c>
      <c r="B2" s="11">
        <v>13627.160199999998</v>
      </c>
      <c r="C2" s="11">
        <v>1215015.7120000001</v>
      </c>
      <c r="D2" s="12">
        <f>B2/C2</f>
        <v>1.1215624674983625E-2</v>
      </c>
      <c r="E2" s="11">
        <v>400000</v>
      </c>
      <c r="F2" s="13">
        <f>D2*E2</f>
        <v>4486.2498699934504</v>
      </c>
      <c r="G2" s="11">
        <v>23721.147200000007</v>
      </c>
      <c r="H2" s="11">
        <v>450760.98099999997</v>
      </c>
      <c r="I2" s="11">
        <f>G2/H2</f>
        <v>5.2624668504747993E-2</v>
      </c>
      <c r="J2" s="11">
        <v>300000</v>
      </c>
      <c r="K2" s="13">
        <f>I2*J2</f>
        <v>15787.400551424398</v>
      </c>
      <c r="L2" s="11"/>
    </row>
    <row r="3" spans="1:16">
      <c r="A3" t="s">
        <v>2</v>
      </c>
      <c r="B3" s="11">
        <v>2959.7932000000019</v>
      </c>
      <c r="C3" s="11">
        <v>1215015.7120000001</v>
      </c>
      <c r="D3" s="12">
        <f t="shared" ref="D3:D9" si="0">B3/C3</f>
        <v>2.4360122842592524E-3</v>
      </c>
      <c r="E3" s="11">
        <v>400000</v>
      </c>
      <c r="F3" s="13">
        <f t="shared" ref="F3:F9" si="1">D3*E3</f>
        <v>974.40491370370091</v>
      </c>
      <c r="G3" s="11">
        <v>4226.8500000000004</v>
      </c>
      <c r="H3" s="11">
        <v>450760.98099999997</v>
      </c>
      <c r="I3" s="11">
        <f t="shared" ref="I3:I9" si="2">G3/H3</f>
        <v>9.3771426058725359E-3</v>
      </c>
      <c r="J3" s="11">
        <v>300000</v>
      </c>
      <c r="K3" s="13">
        <f t="shared" ref="K3:K9" si="3">I3*J3</f>
        <v>2813.1427817617609</v>
      </c>
      <c r="L3" s="11"/>
    </row>
    <row r="4" spans="1:16">
      <c r="A4" t="s">
        <v>3</v>
      </c>
      <c r="B4" s="11">
        <v>791488.14160000009</v>
      </c>
      <c r="C4" s="11">
        <v>1215015.7120000001</v>
      </c>
      <c r="D4" s="12">
        <f t="shared" si="0"/>
        <v>0.65142214523066189</v>
      </c>
      <c r="E4" s="11">
        <v>400000</v>
      </c>
      <c r="F4" s="13">
        <f t="shared" si="1"/>
        <v>260568.85809226477</v>
      </c>
      <c r="G4" s="11">
        <v>285300.26879999996</v>
      </c>
      <c r="H4" s="11">
        <v>450760.98099999997</v>
      </c>
      <c r="I4" s="11">
        <f t="shared" si="2"/>
        <v>0.63293026864718793</v>
      </c>
      <c r="J4" s="11">
        <v>300000</v>
      </c>
      <c r="K4" s="13">
        <f t="shared" si="3"/>
        <v>189879.08059415637</v>
      </c>
      <c r="L4" s="11">
        <v>108436.54</v>
      </c>
      <c r="M4">
        <v>111416.79879999999</v>
      </c>
      <c r="N4" s="12">
        <f>L4/M4</f>
        <v>0.97325126164008946</v>
      </c>
      <c r="O4">
        <v>40687.64</v>
      </c>
      <c r="P4" s="12">
        <f>N4*O4</f>
        <v>39599.296963157773</v>
      </c>
    </row>
    <row r="5" spans="1:16">
      <c r="A5" t="s">
        <v>4</v>
      </c>
      <c r="B5" s="11">
        <v>247287.48480000001</v>
      </c>
      <c r="C5" s="11">
        <v>1215015.7120000001</v>
      </c>
      <c r="D5" s="12">
        <f t="shared" si="0"/>
        <v>0.20352616213739957</v>
      </c>
      <c r="E5" s="11">
        <v>400000</v>
      </c>
      <c r="F5" s="13">
        <f t="shared" si="1"/>
        <v>81410.464854959835</v>
      </c>
      <c r="G5" s="11">
        <v>102763.24840000001</v>
      </c>
      <c r="H5" s="11">
        <v>450760.98099999997</v>
      </c>
      <c r="I5" s="11">
        <f t="shared" si="2"/>
        <v>0.22797724898908234</v>
      </c>
      <c r="J5" s="11">
        <v>300000</v>
      </c>
      <c r="K5" s="13">
        <f t="shared" si="3"/>
        <v>68393.174696724702</v>
      </c>
      <c r="L5" s="11"/>
      <c r="P5" s="12">
        <f t="shared" ref="P5:P7" si="4">N5*O5</f>
        <v>0</v>
      </c>
    </row>
    <row r="6" spans="1:16">
      <c r="A6" t="s">
        <v>5</v>
      </c>
      <c r="B6" s="11">
        <v>37209.25079999998</v>
      </c>
      <c r="C6" s="11">
        <v>1215015.7120000001</v>
      </c>
      <c r="D6" s="12">
        <f t="shared" si="0"/>
        <v>3.0624501751299146E-2</v>
      </c>
      <c r="E6" s="11">
        <v>400000</v>
      </c>
      <c r="F6" s="13">
        <f t="shared" si="1"/>
        <v>12249.800700519658</v>
      </c>
      <c r="G6" s="11">
        <v>27301.494600000002</v>
      </c>
      <c r="H6" s="11">
        <v>450760.98099999997</v>
      </c>
      <c r="I6" s="11">
        <f t="shared" si="2"/>
        <v>6.0567564076714091E-2</v>
      </c>
      <c r="J6" s="11">
        <v>300000</v>
      </c>
      <c r="K6" s="13">
        <f t="shared" si="3"/>
        <v>18170.269223014227</v>
      </c>
      <c r="L6" s="11"/>
      <c r="P6" s="12">
        <f t="shared" si="4"/>
        <v>0</v>
      </c>
    </row>
    <row r="7" spans="1:16">
      <c r="A7" t="s">
        <v>6</v>
      </c>
      <c r="B7" s="11">
        <v>108752.808</v>
      </c>
      <c r="C7" s="11">
        <v>1215015.7120000001</v>
      </c>
      <c r="D7" s="12">
        <f t="shared" si="0"/>
        <v>8.9507326469865436E-2</v>
      </c>
      <c r="E7" s="11">
        <v>400000</v>
      </c>
      <c r="F7" s="13">
        <f t="shared" si="1"/>
        <v>35802.930587946175</v>
      </c>
      <c r="G7" s="11">
        <v>1654.98</v>
      </c>
      <c r="H7" s="11">
        <v>450760.98099999997</v>
      </c>
      <c r="I7" s="11">
        <f t="shared" si="2"/>
        <v>3.6715245324217627E-3</v>
      </c>
      <c r="J7" s="11">
        <v>300000</v>
      </c>
      <c r="K7" s="13">
        <f t="shared" si="3"/>
        <v>1101.4573597265289</v>
      </c>
      <c r="L7" s="11">
        <v>2980.2587999999996</v>
      </c>
      <c r="M7">
        <v>111416.79879999999</v>
      </c>
      <c r="N7" s="12">
        <f>L7/M7</f>
        <v>2.6748738359910589E-2</v>
      </c>
      <c r="O7">
        <v>40687.64</v>
      </c>
      <c r="P7" s="12">
        <f t="shared" si="4"/>
        <v>1088.3430368422326</v>
      </c>
    </row>
    <row r="8" spans="1:16">
      <c r="A8" t="s">
        <v>7</v>
      </c>
      <c r="B8" s="11">
        <v>7240.1686000000009</v>
      </c>
      <c r="C8" s="11">
        <v>1215015.7120000001</v>
      </c>
      <c r="D8" s="12">
        <f t="shared" si="0"/>
        <v>5.9589094433043846E-3</v>
      </c>
      <c r="E8" s="11">
        <v>400000</v>
      </c>
      <c r="F8" s="11">
        <f t="shared" si="1"/>
        <v>2383.5637773217541</v>
      </c>
      <c r="G8" s="11">
        <v>492.99200000000008</v>
      </c>
      <c r="H8" s="11">
        <v>450760.98099999997</v>
      </c>
      <c r="I8" s="11">
        <f t="shared" si="2"/>
        <v>1.0936882755608346E-3</v>
      </c>
      <c r="J8" s="11">
        <v>300000</v>
      </c>
      <c r="K8" s="13">
        <f t="shared" si="3"/>
        <v>328.10648266825035</v>
      </c>
      <c r="L8" s="11"/>
    </row>
    <row r="9" spans="1:16">
      <c r="A9" t="s">
        <v>107</v>
      </c>
      <c r="B9" s="11">
        <v>6450.9048000000003</v>
      </c>
      <c r="C9" s="11">
        <v>1215015.7120000001</v>
      </c>
      <c r="D9" s="12">
        <f t="shared" si="0"/>
        <v>5.3093180082267113E-3</v>
      </c>
      <c r="E9" s="11">
        <v>400000</v>
      </c>
      <c r="F9" s="13">
        <f t="shared" si="1"/>
        <v>2123.7272032906844</v>
      </c>
      <c r="G9" s="11">
        <v>5300</v>
      </c>
      <c r="H9" s="11">
        <v>450760.98099999997</v>
      </c>
      <c r="I9" s="11">
        <f t="shared" si="2"/>
        <v>1.1757894368412514E-2</v>
      </c>
      <c r="J9" s="11">
        <v>300000</v>
      </c>
      <c r="K9" s="13">
        <f t="shared" si="3"/>
        <v>3527.3683105237542</v>
      </c>
      <c r="L9" s="11"/>
    </row>
    <row r="10" spans="1:16">
      <c r="G10" s="11"/>
      <c r="H10" s="11"/>
      <c r="I10" s="11"/>
      <c r="J10" s="11"/>
      <c r="K10" s="11"/>
      <c r="L10" s="11">
        <f>SUM(L2:L8)</f>
        <v>111416.79879999999</v>
      </c>
      <c r="P10" s="12">
        <f>SUM(P4:P9)</f>
        <v>40687.640000000007</v>
      </c>
    </row>
    <row r="11" spans="1:16">
      <c r="B11" s="11">
        <f>SUM(B2:B10)</f>
        <v>1215015.7120000001</v>
      </c>
      <c r="F11" s="1">
        <f>SUM(F2:F10)</f>
        <v>399999.99999999994</v>
      </c>
      <c r="G11" s="11">
        <f>SUM(G2:G10)</f>
        <v>450760.98099999997</v>
      </c>
      <c r="H11" s="11"/>
      <c r="I11" s="11"/>
      <c r="J11" s="11"/>
      <c r="K11" s="11">
        <f>SUM(K2:K10)</f>
        <v>300000</v>
      </c>
      <c r="L11" s="11"/>
    </row>
    <row r="12" spans="1:16">
      <c r="G12" s="11"/>
      <c r="H12" s="11"/>
      <c r="I12" s="11"/>
      <c r="J12" s="11"/>
      <c r="K12" s="11"/>
      <c r="L12" s="11"/>
    </row>
    <row r="13" spans="1:16">
      <c r="G13" s="11"/>
      <c r="H13" s="11"/>
      <c r="I13" s="11"/>
      <c r="J13" s="11"/>
      <c r="K13" s="11"/>
      <c r="L13" s="11"/>
    </row>
    <row r="14" spans="1:16">
      <c r="G14" s="11"/>
      <c r="H14" s="11"/>
      <c r="I14" s="11"/>
      <c r="J14" s="11"/>
      <c r="K14" s="11"/>
      <c r="L14" s="11"/>
    </row>
    <row r="15" spans="1:16">
      <c r="G15" s="11"/>
      <c r="H15" s="11"/>
      <c r="I15" s="11"/>
      <c r="J15" s="11"/>
      <c r="K15" s="11"/>
      <c r="L15" s="11"/>
    </row>
  </sheetData>
  <mergeCells count="3">
    <mergeCell ref="B1:F1"/>
    <mergeCell ref="G1:K1"/>
    <mergeCell ref="L1:P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B65D-8D1E-4FCF-9ED2-67CFCC3743DE}">
  <sheetPr>
    <tabColor rgb="FF92D050"/>
  </sheetPr>
  <dimension ref="A1:H67"/>
  <sheetViews>
    <sheetView view="pageBreakPreview" zoomScaleNormal="100" zoomScaleSheetLayoutView="100" workbookViewId="0">
      <pane ySplit="6" topLeftCell="A7" activePane="bottomLeft" state="frozen"/>
      <selection activeCell="B25" sqref="B25"/>
      <selection pane="bottomLeft" activeCell="A21" sqref="A21"/>
    </sheetView>
  </sheetViews>
  <sheetFormatPr baseColWidth="10" defaultRowHeight="15"/>
  <cols>
    <col min="1" max="1" width="34.5703125" customWidth="1"/>
    <col min="2" max="2" width="16.42578125" customWidth="1"/>
    <col min="3" max="3" width="15.5703125" customWidth="1"/>
    <col min="4" max="5" width="16.85546875" customWidth="1"/>
    <col min="6" max="6" width="17.28515625" customWidth="1"/>
    <col min="7" max="7" width="15.42578125" customWidth="1"/>
    <col min="8" max="8" width="18.140625" customWidth="1"/>
  </cols>
  <sheetData>
    <row r="1" spans="1:8" ht="26.25">
      <c r="A1" s="394" t="s">
        <v>166</v>
      </c>
      <c r="B1" s="394"/>
      <c r="C1" s="394"/>
      <c r="D1" s="394"/>
      <c r="E1" s="394"/>
      <c r="F1" s="394"/>
      <c r="G1" s="394"/>
      <c r="H1" s="394"/>
    </row>
    <row r="2" spans="1:8" ht="21">
      <c r="A2" s="395" t="s">
        <v>600</v>
      </c>
      <c r="B2" s="395"/>
      <c r="C2" s="395"/>
      <c r="D2" s="395"/>
      <c r="E2" s="395"/>
      <c r="F2" s="395"/>
      <c r="G2" s="395"/>
      <c r="H2" s="395"/>
    </row>
    <row r="3" spans="1:8" ht="21">
      <c r="A3" s="379"/>
      <c r="B3" s="379"/>
      <c r="C3" s="379"/>
      <c r="D3" s="162" t="s">
        <v>497</v>
      </c>
      <c r="E3" s="379"/>
      <c r="F3" s="379"/>
      <c r="G3" s="379"/>
      <c r="H3" s="379"/>
    </row>
    <row r="4" spans="1:8" ht="21">
      <c r="A4" s="379"/>
      <c r="B4" s="379"/>
      <c r="C4" s="379"/>
      <c r="D4" s="381"/>
      <c r="E4" s="379"/>
      <c r="F4" s="379"/>
      <c r="G4" s="379"/>
      <c r="H4" s="379"/>
    </row>
    <row r="5" spans="1:8">
      <c r="A5" s="27"/>
      <c r="B5" s="66"/>
      <c r="C5" s="66"/>
      <c r="D5" s="66"/>
      <c r="E5" s="66"/>
      <c r="F5" s="66"/>
      <c r="G5" s="27"/>
      <c r="H5" s="67"/>
    </row>
    <row r="6" spans="1:8">
      <c r="A6" s="126" t="s">
        <v>167</v>
      </c>
      <c r="B6" s="126" t="s">
        <v>170</v>
      </c>
      <c r="C6" s="126" t="s">
        <v>169</v>
      </c>
      <c r="D6" s="126" t="s">
        <v>171</v>
      </c>
      <c r="E6" s="126" t="s">
        <v>172</v>
      </c>
      <c r="F6" s="126" t="s">
        <v>168</v>
      </c>
      <c r="G6" s="126" t="s">
        <v>173</v>
      </c>
      <c r="H6" s="126" t="s">
        <v>174</v>
      </c>
    </row>
    <row r="7" spans="1:8">
      <c r="A7" s="68"/>
      <c r="B7" s="68"/>
      <c r="C7" s="68"/>
      <c r="D7" s="68"/>
      <c r="E7" s="68"/>
      <c r="F7" s="68"/>
      <c r="G7" s="68"/>
      <c r="H7" s="68"/>
    </row>
    <row r="8" spans="1:8" ht="18.75">
      <c r="A8" s="69" t="s">
        <v>175</v>
      </c>
      <c r="B8" s="70">
        <f t="shared" ref="B8:H8" si="0">SUM(B10:B12)</f>
        <v>320880668.34334093</v>
      </c>
      <c r="C8" s="70">
        <f t="shared" si="0"/>
        <v>74116352.146092206</v>
      </c>
      <c r="D8" s="70">
        <f t="shared" si="0"/>
        <v>46112833.253063664</v>
      </c>
      <c r="E8" s="70">
        <f t="shared" si="0"/>
        <v>3929275.2019220549</v>
      </c>
      <c r="F8" s="70">
        <f t="shared" si="0"/>
        <v>61457399.530199632</v>
      </c>
      <c r="G8" s="70">
        <f t="shared" si="0"/>
        <v>323912882</v>
      </c>
      <c r="H8" s="70">
        <f t="shared" si="0"/>
        <v>830409410.47461843</v>
      </c>
    </row>
    <row r="9" spans="1:8">
      <c r="A9" s="72"/>
      <c r="B9" s="73"/>
      <c r="C9" s="73"/>
      <c r="D9" s="73"/>
      <c r="E9" s="73"/>
      <c r="F9" s="73"/>
      <c r="G9" s="73"/>
      <c r="H9" s="73"/>
    </row>
    <row r="10" spans="1:8">
      <c r="A10" s="74" t="s">
        <v>176</v>
      </c>
      <c r="B10" s="75">
        <f>B24+B27+B29</f>
        <v>159322081.59683082</v>
      </c>
      <c r="C10" s="75">
        <f>C24+C27+C29</f>
        <v>59738432.601562247</v>
      </c>
      <c r="D10" s="75">
        <f>D24+D27+D29</f>
        <v>46112833.253063664</v>
      </c>
      <c r="E10" s="75">
        <f>E24+E27+E29</f>
        <v>2503932.1231617751</v>
      </c>
      <c r="F10" s="75">
        <f>F24+F27+F29</f>
        <v>23868132.900000002</v>
      </c>
      <c r="G10" s="75">
        <v>0</v>
      </c>
      <c r="H10" s="75">
        <f>SUM(B10:G10)</f>
        <v>291545412.47461849</v>
      </c>
    </row>
    <row r="11" spans="1:8">
      <c r="A11" s="72"/>
      <c r="B11" s="73"/>
      <c r="C11" s="73"/>
      <c r="D11" s="73"/>
      <c r="E11" s="73"/>
      <c r="F11" s="73"/>
      <c r="G11" s="73"/>
      <c r="H11" s="73"/>
    </row>
    <row r="12" spans="1:8">
      <c r="A12" s="74" t="s">
        <v>177</v>
      </c>
      <c r="B12" s="75">
        <f>SUM(B13:B19)</f>
        <v>161558586.74651012</v>
      </c>
      <c r="C12" s="75">
        <f>SUM(C13:C19)</f>
        <v>14377919.54452996</v>
      </c>
      <c r="D12" s="75">
        <f>SUM(D13:D19)</f>
        <v>0</v>
      </c>
      <c r="E12" s="75">
        <f>SUM(E13:E19)</f>
        <v>1425343.0787602798</v>
      </c>
      <c r="F12" s="75">
        <f>SUM(F13:F19)</f>
        <v>37589266.630199626</v>
      </c>
      <c r="G12" s="75">
        <f>G15+G17+G19</f>
        <v>323912882</v>
      </c>
      <c r="H12" s="75">
        <f>SUM(H13:H20)</f>
        <v>538863998</v>
      </c>
    </row>
    <row r="13" spans="1:8">
      <c r="A13" s="76" t="s">
        <v>178</v>
      </c>
      <c r="B13" s="79">
        <v>53607470.746510118</v>
      </c>
      <c r="C13" s="79">
        <v>14377919.54452996</v>
      </c>
      <c r="D13" s="103"/>
      <c r="E13" s="79">
        <v>1425343.0787602798</v>
      </c>
      <c r="F13" s="79">
        <v>37589266.630199626</v>
      </c>
      <c r="G13" s="78"/>
      <c r="H13" s="75">
        <f>SUM(B13:G13)</f>
        <v>106999999.99999999</v>
      </c>
    </row>
    <row r="14" spans="1:8">
      <c r="A14" s="76"/>
      <c r="B14" s="380"/>
      <c r="C14" s="380"/>
      <c r="D14" s="103"/>
      <c r="E14" s="380"/>
      <c r="F14" s="380"/>
      <c r="G14" s="78"/>
      <c r="H14" s="75"/>
    </row>
    <row r="15" spans="1:8">
      <c r="A15" s="76" t="s">
        <v>179</v>
      </c>
      <c r="B15" s="77"/>
      <c r="C15" s="77"/>
      <c r="D15" s="77"/>
      <c r="E15" s="77"/>
      <c r="F15" s="77"/>
      <c r="G15" s="79">
        <v>54204291</v>
      </c>
      <c r="H15" s="75">
        <f t="shared" ref="H15:H20" si="1">SUM(B15:G15)</f>
        <v>54204291</v>
      </c>
    </row>
    <row r="16" spans="1:8">
      <c r="A16" s="76" t="s">
        <v>180</v>
      </c>
      <c r="B16" s="77">
        <v>107951116</v>
      </c>
      <c r="C16" s="77"/>
      <c r="D16" s="79"/>
      <c r="E16" s="77"/>
      <c r="F16" s="77"/>
      <c r="G16" s="79"/>
      <c r="H16" s="75">
        <f t="shared" si="1"/>
        <v>107951116</v>
      </c>
    </row>
    <row r="17" spans="1:8">
      <c r="A17" s="76" t="s">
        <v>181</v>
      </c>
      <c r="B17" s="77"/>
      <c r="C17" s="77"/>
      <c r="D17" s="77"/>
      <c r="E17" s="77"/>
      <c r="F17" s="77"/>
      <c r="G17" s="79">
        <f>269708571+20</f>
        <v>269708591</v>
      </c>
      <c r="H17" s="75">
        <f t="shared" si="1"/>
        <v>269708591</v>
      </c>
    </row>
    <row r="18" spans="1:8">
      <c r="A18" s="76" t="s">
        <v>582</v>
      </c>
      <c r="B18" s="77"/>
      <c r="C18" s="77"/>
      <c r="D18" s="77"/>
      <c r="E18" s="77"/>
      <c r="F18" s="77"/>
      <c r="G18" s="77">
        <f t="shared" ref="G18" si="2">G43</f>
        <v>0</v>
      </c>
      <c r="H18" s="75">
        <f t="shared" si="1"/>
        <v>0</v>
      </c>
    </row>
    <row r="19" spans="1:8">
      <c r="A19" s="76" t="s">
        <v>183</v>
      </c>
      <c r="B19" s="77"/>
      <c r="C19" s="77"/>
      <c r="D19" s="77"/>
      <c r="E19" s="77"/>
      <c r="F19" s="77"/>
      <c r="G19" s="77"/>
      <c r="H19" s="75">
        <f t="shared" si="1"/>
        <v>0</v>
      </c>
    </row>
    <row r="20" spans="1:8">
      <c r="A20" s="76" t="s">
        <v>184</v>
      </c>
      <c r="B20" s="77"/>
      <c r="C20" s="77"/>
      <c r="D20" s="77"/>
      <c r="E20" s="77"/>
      <c r="F20" s="77"/>
      <c r="G20" s="77"/>
      <c r="H20" s="75">
        <f t="shared" si="1"/>
        <v>0</v>
      </c>
    </row>
    <row r="21" spans="1:8">
      <c r="A21" s="82"/>
      <c r="B21" s="83"/>
      <c r="C21" s="83"/>
      <c r="D21" s="83"/>
      <c r="E21" s="83"/>
      <c r="F21" s="83"/>
      <c r="G21" s="83"/>
      <c r="H21" s="83"/>
    </row>
    <row r="22" spans="1:8" ht="18.75">
      <c r="A22" s="69" t="s">
        <v>185</v>
      </c>
      <c r="B22" s="84">
        <f t="shared" ref="B22:G22" si="3">B32+B45+B60</f>
        <v>320880668.34334093</v>
      </c>
      <c r="C22" s="84">
        <f t="shared" si="3"/>
        <v>74116352.146092206</v>
      </c>
      <c r="D22" s="84">
        <f t="shared" si="3"/>
        <v>46112833.253063664</v>
      </c>
      <c r="E22" s="84">
        <f t="shared" si="3"/>
        <v>3929275.2019220549</v>
      </c>
      <c r="F22" s="84">
        <f t="shared" si="3"/>
        <v>61457399.530199632</v>
      </c>
      <c r="G22" s="84">
        <f t="shared" si="3"/>
        <v>323912881.99250001</v>
      </c>
      <c r="H22" s="84">
        <f>H32+H45+H60</f>
        <v>830409410.4671185</v>
      </c>
    </row>
    <row r="23" spans="1:8">
      <c r="A23" s="72"/>
      <c r="B23" s="77"/>
      <c r="C23" s="77"/>
      <c r="D23" s="77"/>
      <c r="E23" s="77"/>
      <c r="F23" s="77"/>
      <c r="G23" s="77"/>
      <c r="H23" s="77"/>
    </row>
    <row r="24" spans="1:8">
      <c r="A24" s="72" t="s">
        <v>186</v>
      </c>
      <c r="B24" s="77">
        <f>'ORG.OPERADORES(ING.PROPIOS)'!K13</f>
        <v>119020218.32556264</v>
      </c>
      <c r="C24" s="77">
        <f>'ORG.OPERADORES(ING.PROPIOS)'!Q13</f>
        <v>43612401.764698915</v>
      </c>
      <c r="D24" s="77">
        <f>'ORG.OPERADORES(ING.PROPIOS)'!W13</f>
        <v>21412369.687690321</v>
      </c>
      <c r="E24" s="77">
        <f>'ORG.OPERADORES(ING.PROPIOS)'!AC13</f>
        <v>1971225.3069970994</v>
      </c>
      <c r="F24" s="77">
        <f>'ORG.OPERADORES(ING.PROPIOS)'!AI13</f>
        <v>12394411.359999999</v>
      </c>
      <c r="G24" s="79">
        <f>46239780.995+1964510</f>
        <v>48204290.994999997</v>
      </c>
      <c r="H24" s="78">
        <f>SUM(B24:G24)</f>
        <v>246614917.43994898</v>
      </c>
    </row>
    <row r="25" spans="1:8">
      <c r="A25" s="72"/>
      <c r="B25" s="77"/>
      <c r="C25" s="77"/>
      <c r="D25" s="85"/>
      <c r="E25" s="77"/>
      <c r="F25" s="77"/>
      <c r="G25" s="79"/>
      <c r="H25" s="78"/>
    </row>
    <row r="26" spans="1:8">
      <c r="A26" s="72"/>
      <c r="B26" s="77"/>
      <c r="C26" s="77"/>
      <c r="D26" s="77"/>
      <c r="E26" s="77"/>
      <c r="F26" s="77"/>
      <c r="G26" s="79"/>
      <c r="H26" s="77"/>
    </row>
    <row r="27" spans="1:8">
      <c r="A27" s="72" t="s">
        <v>187</v>
      </c>
      <c r="B27" s="77">
        <f>'ORG.OPERADORES(ING.PROPIOS)'!K47</f>
        <v>17515322.131698627</v>
      </c>
      <c r="C27" s="77">
        <f>'ORG.OPERADORES(ING.PROPIOS)'!Q47</f>
        <v>7020508.4506804608</v>
      </c>
      <c r="D27" s="77">
        <f>'ORG.OPERADORES(ING.PROPIOS)'!W47</f>
        <v>7079010.5022010272</v>
      </c>
      <c r="E27" s="77">
        <f>'ORG.OPERADORES(ING.PROPIOS)'!AC47</f>
        <v>334873.84287255624</v>
      </c>
      <c r="F27" s="77">
        <f>'ORG.OPERADORES(ING.PROPIOS)'!AI47</f>
        <v>3182610.2</v>
      </c>
      <c r="G27" s="79">
        <f>' DIR.GENERAL C.2000 Y 3000'!F15</f>
        <v>999999.99750000006</v>
      </c>
      <c r="H27" s="78">
        <f>SUM(B27:G27)</f>
        <v>36132325.124952674</v>
      </c>
    </row>
    <row r="28" spans="1:8">
      <c r="A28" s="72"/>
      <c r="B28" s="77"/>
      <c r="C28" s="77"/>
      <c r="D28" s="77"/>
      <c r="E28" s="77"/>
      <c r="F28" s="77"/>
      <c r="G28" s="79"/>
      <c r="H28" s="77"/>
    </row>
    <row r="29" spans="1:8">
      <c r="A29" s="72" t="s">
        <v>188</v>
      </c>
      <c r="B29" s="77">
        <f>'ORG.OPERADORES(ING.PROPIOS)'!K84-'ORG.OPERADORES(ING.PROPIOS)'!K85-'ORG.OPERADORES(ING.PROPIOS)'!K111</f>
        <v>22786541.139569551</v>
      </c>
      <c r="C29" s="77">
        <f>'ORG.OPERADORES(ING.PROPIOS)'!Q84-'ORG.OPERADORES(ING.PROPIOS)'!Q85</f>
        <v>9105522.3861828744</v>
      </c>
      <c r="D29" s="77">
        <f>'ORG.OPERADORES(ING.PROPIOS)'!W84</f>
        <v>17621453.063172314</v>
      </c>
      <c r="E29" s="77">
        <f>'ORG.OPERADORES(ING.PROPIOS)'!AC84-'ORG.OPERADORES(ING.PROPIOS)'!AC85</f>
        <v>197832.97329211957</v>
      </c>
      <c r="F29" s="77">
        <f>'ORG.OPERADORES(ING.PROPIOS)'!AI84-'ORG.OPERADORES(ING.PROPIOS)'!AI85</f>
        <v>8291111.3400000036</v>
      </c>
      <c r="G29" s="79">
        <v>0</v>
      </c>
      <c r="H29" s="78">
        <f>SUM(B29:G29)</f>
        <v>58002460.902216859</v>
      </c>
    </row>
    <row r="30" spans="1:8" ht="30">
      <c r="A30" s="88" t="s">
        <v>189</v>
      </c>
      <c r="B30" s="79">
        <v>53607470.746510118</v>
      </c>
      <c r="C30" s="79">
        <v>14377919.54452996</v>
      </c>
      <c r="D30" s="79"/>
      <c r="E30" s="79">
        <v>1425343.0787602798</v>
      </c>
      <c r="F30" s="79">
        <v>37589266.630199626</v>
      </c>
      <c r="G30" s="79">
        <f>' DIR.GENERAL C.2000 Y 3000'!F52</f>
        <v>5000000</v>
      </c>
      <c r="H30" s="78">
        <f>SUM(B30:G30)</f>
        <v>111999999.99999999</v>
      </c>
    </row>
    <row r="31" spans="1:8" ht="30">
      <c r="A31" s="88" t="s">
        <v>601</v>
      </c>
      <c r="B31" s="79">
        <v>107951116</v>
      </c>
      <c r="C31" s="79"/>
      <c r="D31" s="79"/>
      <c r="E31" s="79"/>
      <c r="F31" s="79"/>
      <c r="G31" s="79"/>
      <c r="H31" s="78">
        <f>SUM(B31:G31)</f>
        <v>107951116</v>
      </c>
    </row>
    <row r="32" spans="1:8">
      <c r="A32" s="86" t="s">
        <v>190</v>
      </c>
      <c r="B32" s="78">
        <f>SUM(B24:B30)+B31</f>
        <v>320880668.34334093</v>
      </c>
      <c r="C32" s="78">
        <f t="shared" ref="C32:G32" si="4">SUM(C24:C30)</f>
        <v>74116352.146092206</v>
      </c>
      <c r="D32" s="78">
        <f t="shared" si="4"/>
        <v>46112833.253063664</v>
      </c>
      <c r="E32" s="78">
        <f t="shared" si="4"/>
        <v>3929275.2019220549</v>
      </c>
      <c r="F32" s="78">
        <f>SUM(F24:F30)</f>
        <v>61457399.530199632</v>
      </c>
      <c r="G32" s="78">
        <f t="shared" si="4"/>
        <v>54204290.9925</v>
      </c>
      <c r="H32" s="78">
        <f>SUM(H24:H31)</f>
        <v>560700819.4671185</v>
      </c>
    </row>
    <row r="33" spans="1:8">
      <c r="A33" s="72"/>
      <c r="B33" s="87"/>
      <c r="C33" s="87"/>
      <c r="D33" s="87"/>
      <c r="E33" s="87"/>
      <c r="F33" s="87"/>
      <c r="G33" s="87"/>
      <c r="H33" s="77"/>
    </row>
    <row r="34" spans="1:8" ht="45">
      <c r="A34" s="88" t="s">
        <v>191</v>
      </c>
      <c r="B34" s="77"/>
      <c r="C34" s="77"/>
      <c r="D34" s="77"/>
      <c r="E34" s="77"/>
      <c r="F34" s="77"/>
      <c r="G34" s="77"/>
      <c r="H34" s="77">
        <v>0</v>
      </c>
    </row>
    <row r="35" spans="1:8">
      <c r="A35" s="88"/>
      <c r="B35" s="77"/>
      <c r="C35" s="77"/>
      <c r="D35" s="77"/>
      <c r="E35" s="77"/>
      <c r="F35" s="77"/>
      <c r="G35" s="77"/>
      <c r="H35" s="77"/>
    </row>
    <row r="36" spans="1:8">
      <c r="A36" s="88" t="s">
        <v>192</v>
      </c>
      <c r="B36" s="77"/>
      <c r="C36" s="77"/>
      <c r="D36" s="77"/>
      <c r="E36" s="77"/>
      <c r="F36" s="77"/>
      <c r="G36" s="77"/>
      <c r="H36" s="77"/>
    </row>
    <row r="37" spans="1:8">
      <c r="A37" s="72"/>
      <c r="B37" s="77"/>
      <c r="C37" s="77"/>
      <c r="D37" s="77"/>
      <c r="E37" s="77"/>
      <c r="F37" s="77"/>
      <c r="G37" s="77"/>
      <c r="H37" s="77"/>
    </row>
    <row r="38" spans="1:8">
      <c r="A38" s="72" t="s">
        <v>193</v>
      </c>
      <c r="B38" s="77"/>
      <c r="C38" s="77"/>
      <c r="D38" s="77"/>
      <c r="E38" s="77"/>
      <c r="F38" s="77"/>
      <c r="G38" s="78">
        <v>269708591</v>
      </c>
      <c r="H38" s="77">
        <f>SUM(B38:G38)</f>
        <v>269708591</v>
      </c>
    </row>
    <row r="39" spans="1:8">
      <c r="A39" s="72"/>
      <c r="B39" s="77"/>
      <c r="C39" s="77"/>
      <c r="D39" s="77"/>
      <c r="E39" s="77"/>
      <c r="F39" s="77"/>
      <c r="G39" s="78"/>
      <c r="H39" s="77"/>
    </row>
    <row r="40" spans="1:8">
      <c r="A40" s="72" t="s">
        <v>194</v>
      </c>
      <c r="B40" s="77"/>
      <c r="C40" s="77"/>
      <c r="D40" s="77"/>
      <c r="E40" s="77"/>
      <c r="F40" s="77"/>
      <c r="G40" s="78"/>
      <c r="H40" s="77">
        <f>SUM(G40)</f>
        <v>0</v>
      </c>
    </row>
    <row r="41" spans="1:8">
      <c r="A41" s="72"/>
      <c r="B41" s="77"/>
      <c r="C41" s="77"/>
      <c r="D41" s="77"/>
      <c r="E41" s="77"/>
      <c r="F41" s="77"/>
      <c r="G41" s="77"/>
      <c r="H41" s="77"/>
    </row>
    <row r="42" spans="1:8">
      <c r="A42" s="72" t="s">
        <v>195</v>
      </c>
      <c r="B42" s="78">
        <f>SUM(B43:B44)</f>
        <v>0</v>
      </c>
      <c r="C42" s="78">
        <f t="shared" ref="C42:G42" si="5">SUM(C43:C44)</f>
        <v>0</v>
      </c>
      <c r="D42" s="78">
        <f t="shared" si="5"/>
        <v>0</v>
      </c>
      <c r="E42" s="78">
        <f t="shared" si="5"/>
        <v>0</v>
      </c>
      <c r="F42" s="78">
        <f t="shared" si="5"/>
        <v>0</v>
      </c>
      <c r="G42" s="78">
        <f t="shared" si="5"/>
        <v>0</v>
      </c>
      <c r="H42" s="77">
        <f>SUM(B42:G42)</f>
        <v>0</v>
      </c>
    </row>
    <row r="43" spans="1:8">
      <c r="A43" s="72" t="s">
        <v>519</v>
      </c>
      <c r="B43" s="77"/>
      <c r="C43" s="77"/>
      <c r="D43" s="77"/>
      <c r="E43" s="77"/>
      <c r="F43" s="77"/>
      <c r="G43" s="77"/>
      <c r="H43" s="77">
        <f>SUM(B43:G43)</f>
        <v>0</v>
      </c>
    </row>
    <row r="44" spans="1:8">
      <c r="A44" s="72" t="s">
        <v>520</v>
      </c>
      <c r="B44" s="77"/>
      <c r="C44" s="77"/>
      <c r="D44" s="77"/>
      <c r="E44" s="77"/>
      <c r="F44" s="77"/>
      <c r="G44" s="77"/>
      <c r="H44" s="77">
        <f>SUM(B44:G44)</f>
        <v>0</v>
      </c>
    </row>
    <row r="45" spans="1:8">
      <c r="A45" s="86" t="s">
        <v>190</v>
      </c>
      <c r="B45" s="78">
        <f>SUM(B36:B42)</f>
        <v>0</v>
      </c>
      <c r="C45" s="78">
        <f>C38+C42</f>
        <v>0</v>
      </c>
      <c r="D45" s="78">
        <f>D38+D42</f>
        <v>0</v>
      </c>
      <c r="E45" s="78">
        <f>E34+E36+E38+E40+E42</f>
        <v>0</v>
      </c>
      <c r="F45" s="78">
        <f>F38+F42</f>
        <v>0</v>
      </c>
      <c r="G45" s="78">
        <f>SUM(G40,G38)+G42</f>
        <v>269708591</v>
      </c>
      <c r="H45" s="78">
        <f>G45+F45+E45+D45+C45+B45</f>
        <v>269708591</v>
      </c>
    </row>
    <row r="46" spans="1:8">
      <c r="A46" s="72"/>
      <c r="B46" s="77"/>
      <c r="C46" s="77"/>
      <c r="D46" s="77"/>
      <c r="E46" s="77"/>
      <c r="F46" s="77"/>
      <c r="G46" s="77"/>
      <c r="H46" s="77"/>
    </row>
    <row r="47" spans="1:8" ht="15.75">
      <c r="A47" s="89" t="s">
        <v>196</v>
      </c>
      <c r="B47" s="90">
        <f t="shared" ref="B47:H47" si="6">B8-B22</f>
        <v>0</v>
      </c>
      <c r="C47" s="90">
        <f t="shared" si="6"/>
        <v>0</v>
      </c>
      <c r="D47" s="90">
        <f t="shared" si="6"/>
        <v>0</v>
      </c>
      <c r="E47" s="90">
        <f t="shared" si="6"/>
        <v>0</v>
      </c>
      <c r="F47" s="90">
        <f t="shared" si="6"/>
        <v>0</v>
      </c>
      <c r="G47" s="90">
        <f t="shared" si="6"/>
        <v>7.499992847442627E-3</v>
      </c>
      <c r="H47" s="90">
        <f t="shared" si="6"/>
        <v>7.4999332427978516E-3</v>
      </c>
    </row>
    <row r="48" spans="1:8">
      <c r="A48" s="82"/>
      <c r="B48" s="83"/>
      <c r="C48" s="83"/>
      <c r="D48" s="83"/>
      <c r="E48" s="83"/>
      <c r="F48" s="83"/>
      <c r="G48" s="83"/>
      <c r="H48" s="83"/>
    </row>
    <row r="49" spans="1:8" hidden="1">
      <c r="A49" s="27"/>
      <c r="B49" s="91"/>
      <c r="C49" s="91"/>
      <c r="D49" s="91"/>
      <c r="E49" s="91"/>
      <c r="F49" s="91"/>
      <c r="G49" s="91"/>
      <c r="H49" s="91"/>
    </row>
    <row r="50" spans="1:8" hidden="1">
      <c r="A50" s="27"/>
      <c r="B50" s="91"/>
      <c r="C50" s="91"/>
      <c r="D50" s="91"/>
      <c r="E50" s="91"/>
      <c r="F50" s="91"/>
      <c r="G50" s="91"/>
      <c r="H50" s="91"/>
    </row>
    <row r="51" spans="1:8">
      <c r="A51" s="27"/>
      <c r="B51" s="71"/>
      <c r="C51" s="71"/>
      <c r="D51" s="71"/>
      <c r="E51" s="71"/>
      <c r="F51" s="71"/>
      <c r="G51" s="71"/>
      <c r="H51" s="71"/>
    </row>
    <row r="52" spans="1:8" hidden="1">
      <c r="A52" s="92"/>
      <c r="B52" s="93"/>
      <c r="C52" s="93"/>
      <c r="D52" s="93"/>
      <c r="E52" s="93"/>
      <c r="F52" s="93"/>
      <c r="G52" s="93"/>
      <c r="H52" s="93"/>
    </row>
    <row r="53" spans="1:8" hidden="1">
      <c r="A53" s="72"/>
      <c r="B53" s="77"/>
      <c r="C53" s="77"/>
      <c r="D53" s="77"/>
      <c r="E53" s="77"/>
      <c r="F53" s="77"/>
      <c r="G53" s="77"/>
      <c r="H53" s="77"/>
    </row>
    <row r="54" spans="1:8" hidden="1">
      <c r="A54" s="94" t="s">
        <v>197</v>
      </c>
      <c r="B54" s="78">
        <v>0</v>
      </c>
      <c r="C54" s="78">
        <v>0</v>
      </c>
      <c r="D54" s="78">
        <v>0</v>
      </c>
      <c r="E54" s="78">
        <v>0</v>
      </c>
      <c r="F54" s="78">
        <v>0</v>
      </c>
      <c r="G54" s="78">
        <v>0</v>
      </c>
      <c r="H54" s="78">
        <v>0</v>
      </c>
    </row>
    <row r="55" spans="1:8" hidden="1">
      <c r="A55" s="72" t="s">
        <v>198</v>
      </c>
      <c r="B55" s="78"/>
      <c r="C55" s="79"/>
      <c r="D55" s="78"/>
      <c r="E55" s="78"/>
      <c r="F55" s="78"/>
      <c r="G55" s="78"/>
      <c r="H55" s="77">
        <v>0</v>
      </c>
    </row>
    <row r="56" spans="1:8" hidden="1">
      <c r="A56" s="72" t="s">
        <v>199</v>
      </c>
      <c r="B56" s="77"/>
      <c r="C56" s="77"/>
      <c r="D56" s="77"/>
      <c r="E56" s="77"/>
      <c r="F56" s="77"/>
      <c r="G56" s="77"/>
      <c r="H56" s="77">
        <v>0</v>
      </c>
    </row>
    <row r="57" spans="1:8" hidden="1">
      <c r="A57" s="72" t="s">
        <v>200</v>
      </c>
      <c r="B57" s="77"/>
      <c r="C57" s="77"/>
      <c r="D57" s="77"/>
      <c r="E57" s="77"/>
      <c r="F57" s="77"/>
      <c r="G57" s="77"/>
      <c r="H57" s="77">
        <v>0</v>
      </c>
    </row>
    <row r="58" spans="1:8" hidden="1">
      <c r="A58" s="72" t="s">
        <v>201</v>
      </c>
      <c r="B58" s="77"/>
      <c r="C58" s="77"/>
      <c r="D58" s="77"/>
      <c r="E58" s="77"/>
      <c r="F58" s="77"/>
      <c r="G58" s="77"/>
      <c r="H58" s="77">
        <v>0</v>
      </c>
    </row>
    <row r="59" spans="1:8" hidden="1">
      <c r="A59" s="72"/>
      <c r="B59" s="77"/>
      <c r="C59" s="77"/>
      <c r="D59" s="77"/>
      <c r="E59" s="77"/>
      <c r="F59" s="77"/>
      <c r="G59" s="77"/>
      <c r="H59" s="77"/>
    </row>
    <row r="60" spans="1:8" hidden="1">
      <c r="A60" s="94" t="s">
        <v>195</v>
      </c>
      <c r="B60" s="78">
        <f t="shared" ref="B60:G60" si="7">SUM(B61:B63)</f>
        <v>0</v>
      </c>
      <c r="C60" s="78">
        <f t="shared" si="7"/>
        <v>0</v>
      </c>
      <c r="D60" s="78">
        <f t="shared" si="7"/>
        <v>0</v>
      </c>
      <c r="E60" s="78">
        <f t="shared" si="7"/>
        <v>0</v>
      </c>
      <c r="F60" s="78">
        <f t="shared" si="7"/>
        <v>0</v>
      </c>
      <c r="G60" s="78">
        <f t="shared" si="7"/>
        <v>0</v>
      </c>
      <c r="H60" s="78">
        <f>SUM(B60:G60)</f>
        <v>0</v>
      </c>
    </row>
    <row r="61" spans="1:8" hidden="1">
      <c r="A61" s="72" t="s">
        <v>183</v>
      </c>
      <c r="B61" s="77"/>
      <c r="C61" s="77"/>
      <c r="D61" s="77"/>
      <c r="E61" s="77"/>
      <c r="F61" s="77"/>
      <c r="G61" s="77"/>
      <c r="H61" s="78">
        <f>SUM(B61:G61)</f>
        <v>0</v>
      </c>
    </row>
    <row r="62" spans="1:8" hidden="1">
      <c r="A62" s="72" t="s">
        <v>182</v>
      </c>
      <c r="B62" s="77"/>
      <c r="C62" s="77"/>
      <c r="D62" s="77"/>
      <c r="E62" s="77"/>
      <c r="F62" s="77"/>
      <c r="G62" s="77"/>
      <c r="H62" s="78"/>
    </row>
    <row r="63" spans="1:8" hidden="1">
      <c r="A63" s="82" t="s">
        <v>202</v>
      </c>
      <c r="B63" s="83"/>
      <c r="C63" s="83"/>
      <c r="D63" s="83"/>
      <c r="E63" s="83"/>
      <c r="F63" s="83"/>
      <c r="G63" s="83"/>
      <c r="H63" s="95">
        <f>SUM(B63:G63)</f>
        <v>0</v>
      </c>
    </row>
    <row r="64" spans="1:8">
      <c r="A64" s="27" t="s">
        <v>433</v>
      </c>
      <c r="B64" s="81"/>
      <c r="C64" s="81"/>
      <c r="D64" s="81"/>
      <c r="E64" s="81"/>
      <c r="F64" s="81"/>
      <c r="G64" s="81"/>
      <c r="H64" s="81"/>
    </row>
    <row r="65" spans="1:8">
      <c r="A65" s="96" t="s">
        <v>434</v>
      </c>
      <c r="B65" s="97"/>
      <c r="C65" s="97"/>
      <c r="D65" s="97"/>
      <c r="E65" s="97"/>
      <c r="F65" s="97"/>
      <c r="G65" s="97"/>
      <c r="H65" s="97"/>
    </row>
    <row r="66" spans="1:8">
      <c r="A66" s="290" t="s">
        <v>464</v>
      </c>
      <c r="B66" s="97"/>
      <c r="C66" s="97"/>
      <c r="D66" s="97"/>
      <c r="E66" s="97"/>
      <c r="F66" s="97"/>
      <c r="G66" s="97"/>
      <c r="H66" s="97"/>
    </row>
    <row r="67" spans="1:8">
      <c r="A67" s="27"/>
      <c r="B67" s="27"/>
      <c r="C67" s="27"/>
      <c r="D67" s="27"/>
      <c r="E67" s="27"/>
      <c r="F67" s="27"/>
      <c r="G67" s="27"/>
      <c r="H67" s="27"/>
    </row>
  </sheetData>
  <mergeCells count="2">
    <mergeCell ref="A1:H1"/>
    <mergeCell ref="A2:H2"/>
  </mergeCells>
  <pageMargins left="2.0866141732283467" right="0.70866141732283472" top="0.74803149606299213" bottom="0.74803149606299213" header="0.31496062992125984" footer="0.31496062992125984"/>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E153"/>
  <sheetViews>
    <sheetView view="pageBreakPreview" topLeftCell="A13" zoomScaleNormal="100" zoomScaleSheetLayoutView="100" workbookViewId="0">
      <selection activeCell="E157" sqref="E157"/>
    </sheetView>
  </sheetViews>
  <sheetFormatPr baseColWidth="10" defaultRowHeight="15"/>
  <cols>
    <col min="1" max="1" width="12.140625" customWidth="1"/>
    <col min="2" max="2" width="46.7109375" customWidth="1"/>
    <col min="3" max="3" width="14.28515625" customWidth="1"/>
    <col min="4" max="4" width="12.5703125" customWidth="1"/>
  </cols>
  <sheetData>
    <row r="1" spans="1:4" ht="26.25">
      <c r="A1" s="394" t="s">
        <v>0</v>
      </c>
      <c r="B1" s="394"/>
      <c r="C1" s="394"/>
      <c r="D1" s="27"/>
    </row>
    <row r="2" spans="1:4" ht="18.75">
      <c r="A2" s="396" t="s">
        <v>384</v>
      </c>
      <c r="B2" s="396"/>
      <c r="C2" s="396"/>
      <c r="D2" s="27"/>
    </row>
    <row r="3" spans="1:4" ht="18.75">
      <c r="A3" s="397" t="s">
        <v>300</v>
      </c>
      <c r="B3" s="397"/>
      <c r="C3" s="397"/>
      <c r="D3" s="27"/>
    </row>
    <row r="4" spans="1:4">
      <c r="A4" s="27"/>
      <c r="B4" s="27"/>
      <c r="C4" s="27"/>
      <c r="D4" s="27"/>
    </row>
    <row r="5" spans="1:4">
      <c r="A5" s="27"/>
      <c r="B5" s="27"/>
      <c r="C5" s="27"/>
      <c r="D5" s="27"/>
    </row>
    <row r="6" spans="1:4">
      <c r="A6" s="155">
        <v>1000</v>
      </c>
      <c r="B6" s="154" t="s">
        <v>235</v>
      </c>
      <c r="C6" s="298">
        <f>SUM(C7:C52)</f>
        <v>246614917.43994892</v>
      </c>
      <c r="D6" s="27"/>
    </row>
    <row r="7" spans="1:4">
      <c r="A7" s="157" t="s">
        <v>236</v>
      </c>
      <c r="B7" s="125" t="s">
        <v>237</v>
      </c>
      <c r="C7" s="193">
        <f>'DIR.GENERAL C.1000'!F10+'ORG.OPERADORES(ING.PROPIOS)'!E14</f>
        <v>76075124.937992603</v>
      </c>
      <c r="D7" s="7"/>
    </row>
    <row r="8" spans="1:4">
      <c r="A8" s="158">
        <v>11302</v>
      </c>
      <c r="B8" s="38" t="s">
        <v>301</v>
      </c>
      <c r="C8" s="193">
        <f>'ORG.OPERADORES(ING.PROPIOS)'!E15</f>
        <v>757951.83</v>
      </c>
      <c r="D8" s="7"/>
    </row>
    <row r="9" spans="1:4">
      <c r="A9" s="157" t="s">
        <v>238</v>
      </c>
      <c r="B9" s="125" t="s">
        <v>239</v>
      </c>
      <c r="C9" s="193">
        <f>'DIR.GENERAL C.1000'!F11+'ORG.OPERADORES(ING.PROPIOS)'!E16</f>
        <v>1993627.266169721</v>
      </c>
      <c r="D9" s="7"/>
    </row>
    <row r="10" spans="1:4">
      <c r="A10" s="157" t="s">
        <v>240</v>
      </c>
      <c r="B10" s="125" t="s">
        <v>241</v>
      </c>
      <c r="C10" s="193">
        <f>'DIR.GENERAL C.1000'!F12+'ORG.OPERADORES(ING.PROPIOS)'!E17</f>
        <v>0</v>
      </c>
      <c r="D10" s="7"/>
    </row>
    <row r="11" spans="1:4">
      <c r="A11" s="157" t="s">
        <v>242</v>
      </c>
      <c r="B11" s="125" t="s">
        <v>243</v>
      </c>
      <c r="C11" s="193">
        <f>'DIR.GENERAL C.1000'!F13+'ORG.OPERADORES(ING.PROPIOS)'!E18</f>
        <v>39933735.163838394</v>
      </c>
      <c r="D11" s="7"/>
    </row>
    <row r="12" spans="1:4">
      <c r="A12" s="157" t="s">
        <v>400</v>
      </c>
      <c r="B12" s="125" t="s">
        <v>302</v>
      </c>
      <c r="C12" s="193">
        <f>'DIR.GENERAL C.1000'!F14+'ORG.OPERADORES(ING.PROPIOS)'!E19</f>
        <v>11633590.08053299</v>
      </c>
      <c r="D12" s="7"/>
    </row>
    <row r="13" spans="1:4">
      <c r="A13" s="158">
        <v>11308</v>
      </c>
      <c r="B13" s="38" t="s">
        <v>303</v>
      </c>
      <c r="C13" s="295">
        <f>'ORG.OPERADORES(ING.PROPIOS)'!E20</f>
        <v>20009.357138071839</v>
      </c>
      <c r="D13" s="7"/>
    </row>
    <row r="14" spans="1:4">
      <c r="A14" s="157" t="s">
        <v>402</v>
      </c>
      <c r="B14" s="125" t="s">
        <v>304</v>
      </c>
      <c r="C14" s="193">
        <f>'DIR.GENERAL C.1000'!F15+'ORG.OPERADORES(ING.PROPIOS)'!E21</f>
        <v>7589691.7268467396</v>
      </c>
      <c r="D14" s="7"/>
    </row>
    <row r="15" spans="1:4">
      <c r="A15" s="157" t="s">
        <v>244</v>
      </c>
      <c r="B15" s="125" t="s">
        <v>442</v>
      </c>
      <c r="C15" s="193">
        <f>'DIR.GENERAL C.1000'!F16+'ORG.OPERADORES(ING.PROPIOS)'!E22</f>
        <v>2334476.3438247917</v>
      </c>
      <c r="D15" s="7"/>
    </row>
    <row r="16" spans="1:4">
      <c r="A16" s="158">
        <v>12201</v>
      </c>
      <c r="B16" s="38" t="s">
        <v>443</v>
      </c>
      <c r="C16" s="295">
        <f>'ORG.OPERADORES(ING.PROPIOS)'!E23</f>
        <v>377290.37</v>
      </c>
      <c r="D16" s="7"/>
    </row>
    <row r="17" spans="1:4">
      <c r="A17" s="157" t="s">
        <v>246</v>
      </c>
      <c r="B17" s="125" t="s">
        <v>247</v>
      </c>
      <c r="C17" s="193">
        <f>'DIR.GENERAL C.1000'!F17+'ORG.OPERADORES(ING.PROPIOS)'!E24</f>
        <v>4942051.1978756431</v>
      </c>
      <c r="D17" s="7"/>
    </row>
    <row r="18" spans="1:4">
      <c r="A18" s="157" t="s">
        <v>248</v>
      </c>
      <c r="B18" s="125" t="s">
        <v>444</v>
      </c>
      <c r="C18" s="193">
        <f>'DIR.GENERAL C.1000'!F18+'ORG.OPERADORES(ING.PROPIOS)'!E25</f>
        <v>5683465.4502978437</v>
      </c>
      <c r="D18" s="7"/>
    </row>
    <row r="19" spans="1:4">
      <c r="A19" s="157" t="s">
        <v>250</v>
      </c>
      <c r="B19" s="125" t="s">
        <v>251</v>
      </c>
      <c r="C19" s="193">
        <f>'DIR.GENERAL C.1000'!F19+'ORG.OPERADORES(ING.PROPIOS)'!E26</f>
        <v>1730302.0661871098</v>
      </c>
      <c r="D19" s="7"/>
    </row>
    <row r="20" spans="1:4">
      <c r="A20" s="157" t="s">
        <v>252</v>
      </c>
      <c r="B20" s="125" t="s">
        <v>445</v>
      </c>
      <c r="C20" s="193">
        <f>'ORG.OPERADORES(ING.PROPIOS)'!E27</f>
        <v>94140.96</v>
      </c>
      <c r="D20" s="7"/>
    </row>
    <row r="21" spans="1:4">
      <c r="A21" s="157" t="s">
        <v>254</v>
      </c>
      <c r="B21" s="125" t="s">
        <v>446</v>
      </c>
      <c r="C21" s="193">
        <f>'ORG.OPERADORES(ING.PROPIOS)'!E28</f>
        <v>88900.89</v>
      </c>
      <c r="D21" s="7"/>
    </row>
    <row r="22" spans="1:4">
      <c r="A22" s="157" t="s">
        <v>256</v>
      </c>
      <c r="B22" s="125" t="s">
        <v>257</v>
      </c>
      <c r="C22" s="193">
        <f>'ORG.OPERADORES(ING.PROPIOS)'!E29</f>
        <v>3465189.1934645185</v>
      </c>
      <c r="D22" s="7"/>
    </row>
    <row r="23" spans="1:4">
      <c r="A23" s="157" t="s">
        <v>258</v>
      </c>
      <c r="B23" s="125" t="s">
        <v>259</v>
      </c>
      <c r="C23" s="193">
        <f>'DIR.GENERAL C.1000'!F23+'ORG.OPERADORES(ING.PROPIOS)'!E30</f>
        <v>168000</v>
      </c>
      <c r="D23" s="7"/>
    </row>
    <row r="24" spans="1:4">
      <c r="A24" s="157" t="s">
        <v>260</v>
      </c>
      <c r="B24" s="125" t="s">
        <v>261</v>
      </c>
      <c r="C24" s="193">
        <f>'DIR.GENERAL C.1000'!F24</f>
        <v>0</v>
      </c>
      <c r="D24" s="7"/>
    </row>
    <row r="25" spans="1:4">
      <c r="A25" s="157" t="s">
        <v>262</v>
      </c>
      <c r="B25" s="125" t="s">
        <v>263</v>
      </c>
      <c r="C25" s="193">
        <f>'DIR.GENERAL C.1000'!F25+'ORG.OPERADORES(ING.PROPIOS)'!E31</f>
        <v>27357131.336410116</v>
      </c>
      <c r="D25" s="7"/>
    </row>
    <row r="26" spans="1:4">
      <c r="A26" s="157" t="s">
        <v>264</v>
      </c>
      <c r="B26" s="125" t="s">
        <v>447</v>
      </c>
      <c r="C26" s="193">
        <f>'DIR.GENERAL C.1000'!F26+'ORG.OPERADORES(ING.PROPIOS)'!E32</f>
        <v>13844382.145042643</v>
      </c>
      <c r="D26" s="7"/>
    </row>
    <row r="27" spans="1:4">
      <c r="A27" s="157" t="s">
        <v>266</v>
      </c>
      <c r="B27" s="125" t="s">
        <v>448</v>
      </c>
      <c r="C27" s="193">
        <f>'DIR.GENERAL C.1000'!F27+'ORG.OPERADORES(ING.PROPIOS)'!E33</f>
        <v>490721.76</v>
      </c>
      <c r="D27" s="7"/>
    </row>
    <row r="28" spans="1:4">
      <c r="A28" s="157" t="s">
        <v>268</v>
      </c>
      <c r="B28" s="125" t="s">
        <v>269</v>
      </c>
      <c r="C28" s="193">
        <f>'DIR.GENERAL C.1000'!F28+'ORG.OPERADORES(ING.PROPIOS)'!E34</f>
        <v>20130</v>
      </c>
      <c r="D28" s="7"/>
    </row>
    <row r="29" spans="1:4">
      <c r="A29" s="157" t="s">
        <v>270</v>
      </c>
      <c r="B29" s="125" t="s">
        <v>449</v>
      </c>
      <c r="C29" s="193">
        <f>'DIR.GENERAL C.1000'!F29+'ORG.OPERADORES(ING.PROPIOS)'!E35</f>
        <v>3523940.8531115321</v>
      </c>
      <c r="D29" s="7"/>
    </row>
    <row r="30" spans="1:4">
      <c r="A30" s="157" t="s">
        <v>272</v>
      </c>
      <c r="B30" s="125" t="s">
        <v>273</v>
      </c>
      <c r="C30" s="193">
        <f>'DIR.GENERAL C.1000'!F30+'ORG.OPERADORES(ING.PROPIOS)'!E36</f>
        <v>3766.5</v>
      </c>
      <c r="D30" s="7"/>
    </row>
    <row r="31" spans="1:4" ht="22.5">
      <c r="A31" s="157" t="s">
        <v>274</v>
      </c>
      <c r="B31" s="125" t="s">
        <v>275</v>
      </c>
      <c r="C31" s="193">
        <f>'DIR.GENERAL C.1000'!F31+'ORG.OPERADORES(ING.PROPIOS)'!E37</f>
        <v>7262669.5189318471</v>
      </c>
      <c r="D31" s="7"/>
    </row>
    <row r="32" spans="1:4">
      <c r="A32" s="157" t="s">
        <v>276</v>
      </c>
      <c r="B32" s="125" t="s">
        <v>277</v>
      </c>
      <c r="C32" s="193">
        <f>'DIR.GENERAL C.1000'!F32+'ORG.OPERADORES(ING.PROPIOS)'!E38</f>
        <v>0</v>
      </c>
      <c r="D32" s="7"/>
    </row>
    <row r="33" spans="1:4">
      <c r="A33" s="157" t="s">
        <v>278</v>
      </c>
      <c r="B33" s="125" t="s">
        <v>279</v>
      </c>
      <c r="C33" s="193">
        <f>'DIR.GENERAL C.1000'!F33+'ORG.OPERADORES(ING.PROPIOS)'!E39</f>
        <v>4784.7262132997321</v>
      </c>
      <c r="D33" s="7"/>
    </row>
    <row r="34" spans="1:4" ht="22.5">
      <c r="A34" s="157">
        <v>15404</v>
      </c>
      <c r="B34" s="125" t="s">
        <v>450</v>
      </c>
      <c r="C34" s="193">
        <f>'DIR.GENERAL C.1000'!F34+'ORG.OPERADORES(ING.PROPIOS)'!E40</f>
        <v>1162790.8374999999</v>
      </c>
      <c r="D34" s="7"/>
    </row>
    <row r="35" spans="1:4">
      <c r="A35" s="157">
        <v>15409</v>
      </c>
      <c r="B35" s="125" t="s">
        <v>281</v>
      </c>
      <c r="C35" s="193">
        <f>'DIR.GENERAL C.1000'!F35+'ORG.OPERADORES(ING.PROPIOS)'!E41</f>
        <v>4036010.0074017388</v>
      </c>
      <c r="D35" s="7"/>
    </row>
    <row r="36" spans="1:4">
      <c r="A36" s="157">
        <v>15413</v>
      </c>
      <c r="B36" s="125" t="s">
        <v>282</v>
      </c>
      <c r="C36" s="193">
        <f>'DIR.GENERAL C.1000'!F36</f>
        <v>16800</v>
      </c>
      <c r="D36" s="7"/>
    </row>
    <row r="37" spans="1:4">
      <c r="A37" s="157">
        <v>15416</v>
      </c>
      <c r="B37" s="125" t="s">
        <v>451</v>
      </c>
      <c r="C37" s="193">
        <f>'DIR.GENERAL C.1000'!F37</f>
        <v>28100</v>
      </c>
      <c r="D37" s="7"/>
    </row>
    <row r="38" spans="1:4">
      <c r="A38" s="157">
        <v>15417</v>
      </c>
      <c r="B38" s="125" t="s">
        <v>284</v>
      </c>
      <c r="C38" s="193">
        <f>'DIR.GENERAL C.1000'!F38</f>
        <v>361224</v>
      </c>
      <c r="D38" s="7"/>
    </row>
    <row r="39" spans="1:4">
      <c r="A39" s="157">
        <v>15418</v>
      </c>
      <c r="B39" s="125" t="s">
        <v>408</v>
      </c>
      <c r="C39" s="193">
        <f>'DIR.GENERAL C.1000'!F39</f>
        <v>176432.63</v>
      </c>
      <c r="D39" s="7"/>
    </row>
    <row r="40" spans="1:4">
      <c r="A40" s="157" t="s">
        <v>285</v>
      </c>
      <c r="B40" s="125" t="s">
        <v>286</v>
      </c>
      <c r="C40" s="193">
        <f>'DIR.GENERAL C.1000'!F40+'ORG.OPERADORES(ING.PROPIOS)'!E42</f>
        <v>908449.94656075386</v>
      </c>
      <c r="D40" s="7"/>
    </row>
    <row r="41" spans="1:4">
      <c r="A41" s="157">
        <v>15420</v>
      </c>
      <c r="B41" s="125" t="s">
        <v>287</v>
      </c>
      <c r="C41" s="193">
        <f>'DIR.GENERAL C.1000'!F41</f>
        <v>20640</v>
      </c>
      <c r="D41" s="7"/>
    </row>
    <row r="42" spans="1:4">
      <c r="A42" s="157">
        <v>15421</v>
      </c>
      <c r="B42" s="125" t="s">
        <v>409</v>
      </c>
      <c r="C42" s="193">
        <f>'DIR.GENERAL C.1000'!F42</f>
        <v>17080</v>
      </c>
      <c r="D42" s="7"/>
    </row>
    <row r="43" spans="1:4">
      <c r="A43" s="157">
        <v>15423</v>
      </c>
      <c r="B43" s="125" t="s">
        <v>305</v>
      </c>
      <c r="C43" s="193">
        <f>'DIR.GENERAL C.1000'!F43</f>
        <v>25357.5</v>
      </c>
      <c r="D43" s="7"/>
    </row>
    <row r="44" spans="1:4">
      <c r="A44" s="157">
        <v>15424</v>
      </c>
      <c r="B44" s="125" t="s">
        <v>289</v>
      </c>
      <c r="C44" s="193">
        <f>'DIR.GENERAL C.1000'!F44</f>
        <v>15770</v>
      </c>
      <c r="D44" s="7"/>
    </row>
    <row r="45" spans="1:4">
      <c r="A45" s="157">
        <v>15425</v>
      </c>
      <c r="B45" s="125" t="s">
        <v>290</v>
      </c>
      <c r="C45" s="193">
        <f>'DIR.GENERAL C.1000'!F45</f>
        <v>200853</v>
      </c>
      <c r="D45" s="7"/>
    </row>
    <row r="46" spans="1:4">
      <c r="A46" s="157">
        <v>15426</v>
      </c>
      <c r="B46" s="125" t="s">
        <v>291</v>
      </c>
      <c r="C46" s="193">
        <f>'DIR.GENERAL C.1000'!F46</f>
        <v>12360</v>
      </c>
      <c r="D46" s="7"/>
    </row>
    <row r="47" spans="1:4">
      <c r="A47" s="157">
        <v>15427</v>
      </c>
      <c r="B47" s="125" t="s">
        <v>292</v>
      </c>
      <c r="C47" s="193">
        <f>'DIR.GENERAL C.1000'!F47</f>
        <v>76050</v>
      </c>
      <c r="D47" s="7"/>
    </row>
    <row r="48" spans="1:4">
      <c r="A48" s="157" t="s">
        <v>293</v>
      </c>
      <c r="B48" s="125" t="s">
        <v>294</v>
      </c>
      <c r="C48" s="193">
        <f>'DIR.GENERAL C.1000'!F48+'ORG.OPERADORES(ING.PROPIOS)'!E43</f>
        <v>26812025.478875045</v>
      </c>
      <c r="D48" s="7"/>
    </row>
    <row r="49" spans="1:4">
      <c r="A49" s="157">
        <v>16101</v>
      </c>
      <c r="B49" s="125" t="s">
        <v>452</v>
      </c>
      <c r="C49" s="193">
        <f>'DIR.GENERAL C.1000'!F49</f>
        <v>1964510</v>
      </c>
      <c r="D49" s="7"/>
    </row>
    <row r="50" spans="1:4">
      <c r="A50" s="157" t="s">
        <v>295</v>
      </c>
      <c r="B50" s="125" t="s">
        <v>453</v>
      </c>
      <c r="C50" s="193">
        <f>'DIR.GENERAL C.1000'!F50+'ORG.OPERADORES(ING.PROPIOS)'!E44</f>
        <v>521795.04000000004</v>
      </c>
      <c r="D50" s="7"/>
    </row>
    <row r="51" spans="1:4">
      <c r="A51" s="157" t="s">
        <v>297</v>
      </c>
      <c r="B51" s="125" t="s">
        <v>298</v>
      </c>
      <c r="C51" s="193">
        <f>'DIR.GENERAL C.1000'!F51+'ORG.OPERADORES(ING.PROPIOS)'!E45</f>
        <v>627863.72573356004</v>
      </c>
      <c r="D51" s="7"/>
    </row>
    <row r="52" spans="1:4">
      <c r="A52" s="157">
        <v>17105</v>
      </c>
      <c r="B52" s="125" t="s">
        <v>299</v>
      </c>
      <c r="C52" s="193">
        <f>'DIR.GENERAL C.1000'!F52</f>
        <v>235731.59999999998</v>
      </c>
      <c r="D52" s="7"/>
    </row>
    <row r="53" spans="1:4">
      <c r="A53" s="292"/>
      <c r="B53" s="232"/>
      <c r="C53" s="233">
        <v>0</v>
      </c>
      <c r="D53" s="27"/>
    </row>
    <row r="54" spans="1:4">
      <c r="A54" s="154">
        <v>2000</v>
      </c>
      <c r="B54" s="178" t="s">
        <v>306</v>
      </c>
      <c r="C54" s="296">
        <f>SUM(C55:C90)</f>
        <v>36132325.124952666</v>
      </c>
      <c r="D54" s="7"/>
    </row>
    <row r="55" spans="1:4">
      <c r="A55" s="158">
        <v>21101</v>
      </c>
      <c r="B55" s="38" t="s">
        <v>307</v>
      </c>
      <c r="C55" s="293">
        <f>' DIR.GENERAL C.2000 Y 3000'!F16+'ORG.OPERADORES(ING.PROPIOS)'!E48</f>
        <v>1281966.0834598707</v>
      </c>
      <c r="D55" s="7"/>
    </row>
    <row r="56" spans="1:4">
      <c r="A56" s="158">
        <v>21201</v>
      </c>
      <c r="B56" s="38" t="s">
        <v>308</v>
      </c>
      <c r="C56" s="293">
        <f>' DIR.GENERAL C.2000 Y 3000'!F17+'ORG.OPERADORES(ING.PROPIOS)'!E49</f>
        <v>226760.47774044523</v>
      </c>
      <c r="D56" s="7"/>
    </row>
    <row r="57" spans="1:4" ht="22.5">
      <c r="A57" s="158">
        <v>21401</v>
      </c>
      <c r="B57" s="38" t="s">
        <v>309</v>
      </c>
      <c r="C57" s="293">
        <f>' DIR.GENERAL C.2000 Y 3000'!F18+'ORG.OPERADORES(ING.PROPIOS)'!E50</f>
        <v>388870.56830666703</v>
      </c>
      <c r="D57" s="7"/>
    </row>
    <row r="58" spans="1:4">
      <c r="A58" s="158">
        <v>21501</v>
      </c>
      <c r="B58" s="38" t="s">
        <v>310</v>
      </c>
      <c r="C58" s="293">
        <f>' DIR.GENERAL C.2000 Y 3000'!F19+'ORG.OPERADORES(ING.PROPIOS)'!E51</f>
        <v>530</v>
      </c>
      <c r="D58" s="7"/>
    </row>
    <row r="59" spans="1:4">
      <c r="A59" s="158">
        <v>21502</v>
      </c>
      <c r="B59" s="38" t="s">
        <v>454</v>
      </c>
      <c r="C59" s="345">
        <f>'ORG.OPERADORES(ING.PROPIOS)'!E52</f>
        <v>31841</v>
      </c>
      <c r="D59" s="7"/>
    </row>
    <row r="60" spans="1:4">
      <c r="A60" s="158">
        <v>21601</v>
      </c>
      <c r="B60" s="38" t="s">
        <v>311</v>
      </c>
      <c r="C60" s="293">
        <f>' DIR.GENERAL C.2000 Y 3000'!F20+'ORG.OPERADORES(ING.PROPIOS)'!E53</f>
        <v>235623.75222387936</v>
      </c>
      <c r="D60" s="7"/>
    </row>
    <row r="61" spans="1:4">
      <c r="A61" s="158">
        <v>21701</v>
      </c>
      <c r="B61" s="38" t="s">
        <v>455</v>
      </c>
      <c r="C61" s="293">
        <f>' DIR.GENERAL C.2000 Y 3000'!F21+'ORG.OPERADORES(ING.PROPIOS)'!E54</f>
        <v>0</v>
      </c>
      <c r="D61" s="7"/>
    </row>
    <row r="62" spans="1:4">
      <c r="A62" s="158">
        <v>21801</v>
      </c>
      <c r="B62" s="38" t="s">
        <v>312</v>
      </c>
      <c r="C62" s="293">
        <f>' DIR.GENERAL C.2000 Y 3000'!F22+'ORG.OPERADORES(ING.PROPIOS)'!E55</f>
        <v>243086.01848086188</v>
      </c>
      <c r="D62" s="7"/>
    </row>
    <row r="63" spans="1:4">
      <c r="A63" s="158">
        <v>21802</v>
      </c>
      <c r="B63" s="38" t="s">
        <v>456</v>
      </c>
      <c r="C63" s="293">
        <f>' DIR.GENERAL C.2000 Y 3000'!F23+'ORG.OPERADORES(ING.PROPIOS)'!E56</f>
        <v>0</v>
      </c>
      <c r="D63" s="7"/>
    </row>
    <row r="64" spans="1:4" ht="22.5">
      <c r="A64" s="158">
        <v>22101</v>
      </c>
      <c r="B64" s="38" t="s">
        <v>313</v>
      </c>
      <c r="C64" s="293">
        <f>' DIR.GENERAL C.2000 Y 3000'!F24+'ORG.OPERADORES(ING.PROPIOS)'!E57</f>
        <v>260489.93484625453</v>
      </c>
      <c r="D64" s="7"/>
    </row>
    <row r="65" spans="1:4">
      <c r="A65" s="158">
        <v>22106</v>
      </c>
      <c r="B65" s="38" t="s">
        <v>314</v>
      </c>
      <c r="C65" s="293">
        <f>' DIR.GENERAL C.2000 Y 3000'!F25+'ORG.OPERADORES(ING.PROPIOS)'!E58</f>
        <v>200463.78352842678</v>
      </c>
      <c r="D65" s="7"/>
    </row>
    <row r="66" spans="1:4">
      <c r="A66" s="158">
        <v>22301</v>
      </c>
      <c r="B66" s="38" t="s">
        <v>315</v>
      </c>
      <c r="C66" s="293">
        <f>' DIR.GENERAL C.2000 Y 3000'!F26+'ORG.OPERADORES(ING.PROPIOS)'!E59</f>
        <v>4786.4192000000003</v>
      </c>
      <c r="D66" s="7"/>
    </row>
    <row r="67" spans="1:4">
      <c r="A67" s="158">
        <v>23901</v>
      </c>
      <c r="B67" s="38" t="s">
        <v>316</v>
      </c>
      <c r="C67" s="293">
        <f>' DIR.GENERAL C.2000 Y 3000'!F27+'ORG.OPERADORES(ING.PROPIOS)'!E60</f>
        <v>7761843.4253553571</v>
      </c>
      <c r="D67" s="7"/>
    </row>
    <row r="68" spans="1:4">
      <c r="A68" s="158">
        <v>24201</v>
      </c>
      <c r="B68" s="38" t="s">
        <v>317</v>
      </c>
      <c r="C68" s="293">
        <f>' DIR.GENERAL C.2000 Y 3000'!F28+'ORG.OPERADORES(ING.PROPIOS)'!E61</f>
        <v>158731.8926156786</v>
      </c>
      <c r="D68" s="7"/>
    </row>
    <row r="69" spans="1:4">
      <c r="A69" s="158">
        <v>24301</v>
      </c>
      <c r="B69" s="38" t="s">
        <v>457</v>
      </c>
      <c r="C69" s="293">
        <f>' DIR.GENERAL C.2000 Y 3000'!F29+'ORG.OPERADORES(ING.PROPIOS)'!E62</f>
        <v>0</v>
      </c>
      <c r="D69" s="7"/>
    </row>
    <row r="70" spans="1:4">
      <c r="A70" s="158">
        <v>24401</v>
      </c>
      <c r="B70" s="38" t="s">
        <v>458</v>
      </c>
      <c r="C70" s="293">
        <f>' DIR.GENERAL C.2000 Y 3000'!F30+'ORG.OPERADORES(ING.PROPIOS)'!E63</f>
        <v>0</v>
      </c>
      <c r="D70" s="7"/>
    </row>
    <row r="71" spans="1:4">
      <c r="A71" s="158">
        <v>24501</v>
      </c>
      <c r="B71" s="38" t="s">
        <v>459</v>
      </c>
      <c r="C71" s="293">
        <f>' DIR.GENERAL C.2000 Y 3000'!F31+'ORG.OPERADORES(ING.PROPIOS)'!E64</f>
        <v>0</v>
      </c>
      <c r="D71" s="7"/>
    </row>
    <row r="72" spans="1:4">
      <c r="A72" s="158">
        <v>24601</v>
      </c>
      <c r="B72" s="38" t="s">
        <v>318</v>
      </c>
      <c r="C72" s="293">
        <f>' DIR.GENERAL C.2000 Y 3000'!F32+'ORG.OPERADORES(ING.PROPIOS)'!E65</f>
        <v>622775.35429225769</v>
      </c>
      <c r="D72" s="7"/>
    </row>
    <row r="73" spans="1:4">
      <c r="A73" s="158">
        <v>24801</v>
      </c>
      <c r="B73" s="38" t="s">
        <v>319</v>
      </c>
      <c r="C73" s="293">
        <f>' DIR.GENERAL C.2000 Y 3000'!F33+'ORG.OPERADORES(ING.PROPIOS)'!E66</f>
        <v>2000</v>
      </c>
      <c r="D73" s="7"/>
    </row>
    <row r="74" spans="1:4" ht="22.5">
      <c r="A74" s="158">
        <v>24901</v>
      </c>
      <c r="B74" s="38" t="s">
        <v>460</v>
      </c>
      <c r="C74" s="293">
        <f>' DIR.GENERAL C.2000 Y 3000'!F34+'ORG.OPERADORES(ING.PROPIOS)'!E67</f>
        <v>0</v>
      </c>
      <c r="D74" s="7"/>
    </row>
    <row r="75" spans="1:4">
      <c r="A75" s="158">
        <v>25101</v>
      </c>
      <c r="B75" s="38" t="s">
        <v>461</v>
      </c>
      <c r="C75" s="293">
        <f>' DIR.GENERAL C.2000 Y 3000'!F35+'ORG.OPERADORES(ING.PROPIOS)'!E68</f>
        <v>0</v>
      </c>
      <c r="D75" s="7"/>
    </row>
    <row r="76" spans="1:4">
      <c r="A76" s="158">
        <v>25201</v>
      </c>
      <c r="B76" s="38" t="s">
        <v>462</v>
      </c>
      <c r="C76" s="293">
        <f>' DIR.GENERAL C.2000 Y 3000'!F36+'ORG.OPERADORES(ING.PROPIOS)'!E69</f>
        <v>0</v>
      </c>
      <c r="D76" s="7"/>
    </row>
    <row r="77" spans="1:4">
      <c r="A77" s="158">
        <v>25301</v>
      </c>
      <c r="B77" s="38" t="s">
        <v>320</v>
      </c>
      <c r="C77" s="293">
        <f>' DIR.GENERAL C.2000 Y 3000'!F37+'ORG.OPERADORES(ING.PROPIOS)'!E70</f>
        <v>71301.03294985542</v>
      </c>
      <c r="D77" s="7"/>
    </row>
    <row r="78" spans="1:4">
      <c r="A78" s="158">
        <v>25501</v>
      </c>
      <c r="B78" s="38" t="s">
        <v>463</v>
      </c>
      <c r="C78" s="293">
        <f>' DIR.GENERAL C.2000 Y 3000'!F38+'ORG.OPERADORES(ING.PROPIOS)'!E71</f>
        <v>0</v>
      </c>
      <c r="D78" s="7"/>
    </row>
    <row r="79" spans="1:4">
      <c r="A79" s="158">
        <v>25901</v>
      </c>
      <c r="B79" s="38" t="s">
        <v>321</v>
      </c>
      <c r="C79" s="293">
        <f>' DIR.GENERAL C.2000 Y 3000'!F39+'ORG.OPERADORES(ING.PROPIOS)'!E72</f>
        <v>9627363.8256259467</v>
      </c>
      <c r="D79" s="7"/>
    </row>
    <row r="80" spans="1:4">
      <c r="A80" s="158">
        <v>26101</v>
      </c>
      <c r="B80" s="38" t="s">
        <v>322</v>
      </c>
      <c r="C80" s="293">
        <f>' DIR.GENERAL C.2000 Y 3000'!F40+'ORG.OPERADORES(ING.PROPIOS)'!E73</f>
        <v>8647940.8567506354</v>
      </c>
      <c r="D80" s="7"/>
    </row>
    <row r="81" spans="1:4">
      <c r="A81" s="158">
        <v>26102</v>
      </c>
      <c r="B81" s="38" t="s">
        <v>323</v>
      </c>
      <c r="C81" s="293">
        <f>' DIR.GENERAL C.2000 Y 3000'!F41+'ORG.OPERADORES(ING.PROPIOS)'!E74</f>
        <v>696973.57925771154</v>
      </c>
      <c r="D81" s="7"/>
    </row>
    <row r="82" spans="1:4">
      <c r="A82" s="158">
        <v>27101</v>
      </c>
      <c r="B82" s="38" t="s">
        <v>324</v>
      </c>
      <c r="C82" s="293">
        <f>' DIR.GENERAL C.2000 Y 3000'!F42+'ORG.OPERADORES(ING.PROPIOS)'!E75</f>
        <v>2371592.3139790259</v>
      </c>
      <c r="D82" s="7"/>
    </row>
    <row r="83" spans="1:4">
      <c r="A83" s="158">
        <v>27201</v>
      </c>
      <c r="B83" s="38" t="s">
        <v>325</v>
      </c>
      <c r="C83" s="293">
        <f>' DIR.GENERAL C.2000 Y 3000'!F43+'ORG.OPERADORES(ING.PROPIOS)'!E76</f>
        <v>204348.52726739255</v>
      </c>
      <c r="D83" s="7"/>
    </row>
    <row r="84" spans="1:4">
      <c r="A84" s="158">
        <v>29101</v>
      </c>
      <c r="B84" s="38" t="s">
        <v>326</v>
      </c>
      <c r="C84" s="293">
        <f>' DIR.GENERAL C.2000 Y 3000'!F44+'ORG.OPERADORES(ING.PROPIOS)'!E77</f>
        <v>309804.81674215884</v>
      </c>
      <c r="D84" s="7"/>
    </row>
    <row r="85" spans="1:4">
      <c r="A85" s="158">
        <v>29201</v>
      </c>
      <c r="B85" s="38" t="s">
        <v>327</v>
      </c>
      <c r="C85" s="293">
        <f>' DIR.GENERAL C.2000 Y 3000'!F45+'ORG.OPERADORES(ING.PROPIOS)'!E78</f>
        <v>23247.163893863941</v>
      </c>
      <c r="D85" s="7"/>
    </row>
    <row r="86" spans="1:4" ht="22.5">
      <c r="A86" s="158">
        <v>29301</v>
      </c>
      <c r="B86" s="38" t="s">
        <v>328</v>
      </c>
      <c r="C86" s="293">
        <f>' DIR.GENERAL C.2000 Y 3000'!F46+'ORG.OPERADORES(ING.PROPIOS)'!E79</f>
        <v>4119.7094399174557</v>
      </c>
      <c r="D86" s="7"/>
    </row>
    <row r="87" spans="1:4" ht="22.5">
      <c r="A87" s="158">
        <v>29401</v>
      </c>
      <c r="B87" s="38" t="s">
        <v>329</v>
      </c>
      <c r="C87" s="293">
        <f>' DIR.GENERAL C.2000 Y 3000'!F47+'ORG.OPERADORES(ING.PROPIOS)'!E80</f>
        <v>66161.629779351089</v>
      </c>
      <c r="D87" s="7"/>
    </row>
    <row r="88" spans="1:4">
      <c r="A88" s="158">
        <v>29501</v>
      </c>
      <c r="B88" s="38" t="s">
        <v>106</v>
      </c>
      <c r="C88" s="293">
        <f>' DIR.GENERAL C.2000 Y 3000'!F48</f>
        <v>0</v>
      </c>
      <c r="D88" s="7"/>
    </row>
    <row r="89" spans="1:4" ht="22.5">
      <c r="A89" s="158">
        <v>29601</v>
      </c>
      <c r="B89" s="38" t="s">
        <v>330</v>
      </c>
      <c r="C89" s="293">
        <f>' DIR.GENERAL C.2000 Y 3000'!F49+'ORG.OPERADORES(ING.PROPIOS)'!E81</f>
        <v>1144368.3134365038</v>
      </c>
      <c r="D89" s="7"/>
    </row>
    <row r="90" spans="1:4" ht="22.5">
      <c r="A90" s="158">
        <v>29801</v>
      </c>
      <c r="B90" s="38" t="s">
        <v>331</v>
      </c>
      <c r="C90" s="293">
        <f>' DIR.GENERAL C.2000 Y 3000'!F50+'ORG.OPERADORES(ING.PROPIOS)'!E82</f>
        <v>1545334.6457806095</v>
      </c>
      <c r="D90" s="7"/>
    </row>
    <row r="91" spans="1:4">
      <c r="A91" s="158"/>
      <c r="B91" s="38"/>
      <c r="C91" s="294"/>
      <c r="D91" s="27"/>
    </row>
    <row r="92" spans="1:4">
      <c r="A92" s="154">
        <v>3000</v>
      </c>
      <c r="B92" s="178" t="s">
        <v>332</v>
      </c>
      <c r="C92" s="297">
        <f>SUM(C93:C152)</f>
        <v>161099177.27241653</v>
      </c>
      <c r="D92" s="7"/>
    </row>
    <row r="93" spans="1:4">
      <c r="A93" s="158">
        <v>31101</v>
      </c>
      <c r="B93" s="38" t="s">
        <v>333</v>
      </c>
      <c r="C93" s="293">
        <f>' DIR.GENERAL C.2000 Y 3000'!F53+'ORG.OPERADORES(ING.PROPIOS)'!E85</f>
        <v>-1765792.6901989128</v>
      </c>
      <c r="D93" s="7"/>
    </row>
    <row r="94" spans="1:4">
      <c r="A94" s="158">
        <v>31201</v>
      </c>
      <c r="B94" s="38" t="s">
        <v>334</v>
      </c>
      <c r="C94" s="293">
        <f>' DIR.GENERAL C.2000 Y 3000'!F54+'ORG.OPERADORES(ING.PROPIOS)'!E86</f>
        <v>4156.26</v>
      </c>
      <c r="D94" s="7"/>
    </row>
    <row r="95" spans="1:4">
      <c r="A95" s="158">
        <v>31301</v>
      </c>
      <c r="B95" s="38" t="s">
        <v>226</v>
      </c>
      <c r="C95" s="293">
        <f>' DIR.GENERAL C.2000 Y 3000'!F55+'ORG.OPERADORES(ING.PROPIOS)'!E87</f>
        <v>43072</v>
      </c>
      <c r="D95" s="7"/>
    </row>
    <row r="96" spans="1:4">
      <c r="A96" s="158">
        <v>31401</v>
      </c>
      <c r="B96" s="38" t="s">
        <v>335</v>
      </c>
      <c r="C96" s="293">
        <f>' DIR.GENERAL C.2000 Y 3000'!F56+'ORG.OPERADORES(ING.PROPIOS)'!E88</f>
        <v>782380.31995214452</v>
      </c>
      <c r="D96" s="7"/>
    </row>
    <row r="97" spans="1:5">
      <c r="A97" s="158">
        <v>31501</v>
      </c>
      <c r="B97" s="38" t="s">
        <v>336</v>
      </c>
      <c r="C97" s="293">
        <f>' DIR.GENERAL C.2000 Y 3000'!F57+'ORG.OPERADORES(ING.PROPIOS)'!E89</f>
        <v>0</v>
      </c>
      <c r="D97" s="7"/>
    </row>
    <row r="98" spans="1:5">
      <c r="A98" s="158">
        <v>31601</v>
      </c>
      <c r="B98" s="38" t="s">
        <v>435</v>
      </c>
      <c r="C98" s="293">
        <f>' DIR.GENERAL C.2000 Y 3000'!F58+'ORG.OPERADORES(ING.PROPIOS)'!E90</f>
        <v>0</v>
      </c>
      <c r="D98" s="7"/>
    </row>
    <row r="99" spans="1:5" ht="22.5">
      <c r="A99" s="158">
        <v>31701</v>
      </c>
      <c r="B99" s="38" t="s">
        <v>337</v>
      </c>
      <c r="C99" s="293">
        <f>' DIR.GENERAL C.2000 Y 3000'!F59+'ORG.OPERADORES(ING.PROPIOS)'!E91</f>
        <v>328941.96295184782</v>
      </c>
      <c r="D99" s="7"/>
      <c r="E99" s="1"/>
    </row>
    <row r="100" spans="1:5">
      <c r="A100" s="158">
        <v>31801</v>
      </c>
      <c r="B100" s="38" t="s">
        <v>338</v>
      </c>
      <c r="C100" s="293">
        <f>' DIR.GENERAL C.2000 Y 3000'!F60+'ORG.OPERADORES(ING.PROPIOS)'!E92</f>
        <v>36266.848074549911</v>
      </c>
      <c r="D100" s="7"/>
      <c r="E100" s="1"/>
    </row>
    <row r="101" spans="1:5">
      <c r="A101" s="158">
        <v>32101</v>
      </c>
      <c r="B101" s="38" t="s">
        <v>339</v>
      </c>
      <c r="C101" s="293">
        <f>' DIR.GENERAL C.2000 Y 3000'!F61+'ORG.OPERADORES(ING.PROPIOS)'!E93</f>
        <v>631779.02209022106</v>
      </c>
      <c r="D101" s="7"/>
      <c r="E101" s="1"/>
    </row>
    <row r="102" spans="1:5">
      <c r="A102" s="158">
        <v>32201</v>
      </c>
      <c r="B102" s="38" t="s">
        <v>340</v>
      </c>
      <c r="C102" s="293">
        <f>' DIR.GENERAL C.2000 Y 3000'!F62+'ORG.OPERADORES(ING.PROPIOS)'!E94</f>
        <v>2339431.2326507168</v>
      </c>
      <c r="D102" s="7"/>
      <c r="E102" s="1"/>
    </row>
    <row r="103" spans="1:5">
      <c r="A103" s="158">
        <v>32301</v>
      </c>
      <c r="B103" s="38" t="s">
        <v>341</v>
      </c>
      <c r="C103" s="293">
        <f>' DIR.GENERAL C.2000 Y 3000'!F63+'ORG.OPERADORES(ING.PROPIOS)'!E95</f>
        <v>34868.187407915335</v>
      </c>
      <c r="D103" s="7"/>
      <c r="E103" s="1"/>
    </row>
    <row r="104" spans="1:5">
      <c r="A104" s="158">
        <v>32302</v>
      </c>
      <c r="B104" s="38" t="s">
        <v>342</v>
      </c>
      <c r="C104" s="293">
        <f>' DIR.GENERAL C.2000 Y 3000'!F64+'ORG.OPERADORES(ING.PROPIOS)'!E96</f>
        <v>784828.78844215767</v>
      </c>
      <c r="D104" s="7"/>
      <c r="E104" s="1"/>
    </row>
    <row r="105" spans="1:5">
      <c r="A105" s="158">
        <v>32501</v>
      </c>
      <c r="B105" s="38" t="s">
        <v>343</v>
      </c>
      <c r="C105" s="293">
        <f>' DIR.GENERAL C.2000 Y 3000'!F65+'ORG.OPERADORES(ING.PROPIOS)'!E97</f>
        <v>0</v>
      </c>
      <c r="D105" s="7"/>
      <c r="E105" s="1"/>
    </row>
    <row r="106" spans="1:5" ht="22.5">
      <c r="A106" s="158">
        <v>32601</v>
      </c>
      <c r="B106" s="38" t="s">
        <v>344</v>
      </c>
      <c r="C106" s="293">
        <f>' DIR.GENERAL C.2000 Y 3000'!F66+'ORG.OPERADORES(ING.PROPIOS)'!E98</f>
        <v>1744461.8690970615</v>
      </c>
      <c r="D106" s="7"/>
      <c r="E106" s="1"/>
    </row>
    <row r="107" spans="1:5">
      <c r="A107" s="158">
        <v>32901</v>
      </c>
      <c r="B107" s="38" t="s">
        <v>345</v>
      </c>
      <c r="C107" s="293">
        <f>' DIR.GENERAL C.2000 Y 3000'!F67+'ORG.OPERADORES(ING.PROPIOS)'!E99</f>
        <v>9494.3039245393011</v>
      </c>
      <c r="D107" s="7"/>
      <c r="E107" s="1"/>
    </row>
    <row r="108" spans="1:5" ht="22.5">
      <c r="A108" s="158">
        <v>33101</v>
      </c>
      <c r="B108" s="38" t="s">
        <v>346</v>
      </c>
      <c r="C108" s="293">
        <f>' DIR.GENERAL C.2000 Y 3000'!F68+'ORG.OPERADORES(ING.PROPIOS)'!E100</f>
        <v>2709071.2479851497</v>
      </c>
      <c r="D108" s="7"/>
      <c r="E108" s="1"/>
    </row>
    <row r="109" spans="1:5" ht="22.5">
      <c r="A109" s="158">
        <v>33201</v>
      </c>
      <c r="B109" s="38" t="s">
        <v>347</v>
      </c>
      <c r="C109" s="293">
        <f>' DIR.GENERAL C.2000 Y 3000'!F69+'ORG.OPERADORES(ING.PROPIOS)'!E101</f>
        <v>659782.0648362753</v>
      </c>
      <c r="D109" s="7"/>
      <c r="E109" s="1"/>
    </row>
    <row r="110" spans="1:5">
      <c r="A110" s="158">
        <v>33301</v>
      </c>
      <c r="B110" s="38" t="s">
        <v>348</v>
      </c>
      <c r="C110" s="293">
        <f>' DIR.GENERAL C.2000 Y 3000'!F70+'ORG.OPERADORES(ING.PROPIOS)'!E102</f>
        <v>830204.38953093067</v>
      </c>
      <c r="D110" s="7"/>
      <c r="E110" s="1"/>
    </row>
    <row r="111" spans="1:5">
      <c r="A111" s="158">
        <v>33302</v>
      </c>
      <c r="B111" s="38" t="s">
        <v>349</v>
      </c>
      <c r="C111" s="293">
        <f>' DIR.GENERAL C.2000 Y 3000'!F71+'ORG.OPERADORES(ING.PROPIOS)'!E103</f>
        <v>10000</v>
      </c>
      <c r="D111" s="7"/>
      <c r="E111" s="1"/>
    </row>
    <row r="112" spans="1:5">
      <c r="A112" s="158">
        <v>33401</v>
      </c>
      <c r="B112" s="38" t="s">
        <v>350</v>
      </c>
      <c r="C112" s="293">
        <f>' DIR.GENERAL C.2000 Y 3000'!F72+'ORG.OPERADORES(ING.PROPIOS)'!E104</f>
        <v>165845.2995651738</v>
      </c>
      <c r="D112" s="7"/>
      <c r="E112" s="1"/>
    </row>
    <row r="113" spans="1:5">
      <c r="A113" s="158">
        <v>33601</v>
      </c>
      <c r="B113" s="38" t="s">
        <v>436</v>
      </c>
      <c r="C113" s="293">
        <f>' DIR.GENERAL C.2000 Y 3000'!F73+'ORG.OPERADORES(ING.PROPIOS)'!E105</f>
        <v>0</v>
      </c>
      <c r="D113" s="7"/>
      <c r="E113" s="1"/>
    </row>
    <row r="114" spans="1:5">
      <c r="A114" s="158">
        <v>33603</v>
      </c>
      <c r="B114" s="38" t="s">
        <v>351</v>
      </c>
      <c r="C114" s="293">
        <f>' DIR.GENERAL C.2000 Y 3000'!F74+'ORG.OPERADORES(ING.PROPIOS)'!E106</f>
        <v>1485810.1675816318</v>
      </c>
      <c r="D114" s="7"/>
      <c r="E114" s="1"/>
    </row>
    <row r="115" spans="1:5">
      <c r="A115" s="158">
        <v>33605</v>
      </c>
      <c r="B115" s="38" t="s">
        <v>352</v>
      </c>
      <c r="C115" s="293">
        <f>' DIR.GENERAL C.2000 Y 3000'!F75+'ORG.OPERADORES(ING.PROPIOS)'!E107</f>
        <v>350000</v>
      </c>
      <c r="D115" s="7"/>
      <c r="E115" s="1"/>
    </row>
    <row r="116" spans="1:5" ht="22.5">
      <c r="A116" s="158">
        <v>33608</v>
      </c>
      <c r="B116" s="38" t="s">
        <v>353</v>
      </c>
      <c r="C116" s="293">
        <f>' DIR.GENERAL C.2000 Y 3000'!F76+'ORG.OPERADORES(ING.PROPIOS)'!E108</f>
        <v>75000</v>
      </c>
      <c r="D116" s="7"/>
      <c r="E116" s="1"/>
    </row>
    <row r="117" spans="1:5">
      <c r="A117" s="158">
        <v>33801</v>
      </c>
      <c r="B117" s="38" t="s">
        <v>354</v>
      </c>
      <c r="C117" s="293">
        <f>' DIR.GENERAL C.2000 Y 3000'!F77+'ORG.OPERADORES(ING.PROPIOS)'!E109</f>
        <v>1653863.6520571313</v>
      </c>
      <c r="D117" s="7"/>
      <c r="E117" s="1"/>
    </row>
    <row r="118" spans="1:5" ht="22.5">
      <c r="A118" s="158">
        <v>33901</v>
      </c>
      <c r="B118" s="38" t="s">
        <v>355</v>
      </c>
      <c r="C118" s="293">
        <f>' DIR.GENERAL C.2000 Y 3000'!F78+'ORG.OPERADORES(ING.PROPIOS)'!E110</f>
        <v>950040</v>
      </c>
      <c r="D118" s="7"/>
      <c r="E118" s="1"/>
    </row>
    <row r="119" spans="1:5" ht="23.25">
      <c r="A119" s="338">
        <v>33902</v>
      </c>
      <c r="B119" s="48" t="s">
        <v>356</v>
      </c>
      <c r="C119" s="384">
        <f>' DIR.GENERAL C.2000 Y 3000'!F79+'ORG.OPERADORES(ING.PROPIOS)'!E111</f>
        <v>107951116</v>
      </c>
      <c r="D119" s="106" t="s">
        <v>518</v>
      </c>
      <c r="E119" s="1"/>
    </row>
    <row r="120" spans="1:5">
      <c r="A120" s="158">
        <v>34101</v>
      </c>
      <c r="B120" s="38" t="s">
        <v>357</v>
      </c>
      <c r="C120" s="293">
        <f>' DIR.GENERAL C.2000 Y 3000'!F80+'ORG.OPERADORES(ING.PROPIOS)'!E112</f>
        <v>693244.06503353757</v>
      </c>
      <c r="D120" s="7"/>
      <c r="E120" s="1"/>
    </row>
    <row r="121" spans="1:5" ht="22.5">
      <c r="A121" s="158">
        <v>34301</v>
      </c>
      <c r="B121" s="38" t="s">
        <v>358</v>
      </c>
      <c r="C121" s="293">
        <f>' DIR.GENERAL C.2000 Y 3000'!F81+'ORG.OPERADORES(ING.PROPIOS)'!E113</f>
        <v>12427186.269148566</v>
      </c>
      <c r="D121" s="7"/>
      <c r="E121" s="1"/>
    </row>
    <row r="122" spans="1:5">
      <c r="A122" s="158">
        <v>34401</v>
      </c>
      <c r="B122" s="38" t="s">
        <v>359</v>
      </c>
      <c r="C122" s="293">
        <f>' DIR.GENERAL C.2000 Y 3000'!F82+'ORG.OPERADORES(ING.PROPIOS)'!E114</f>
        <v>2028743.8174188109</v>
      </c>
      <c r="D122" s="7"/>
      <c r="E122" s="1"/>
    </row>
    <row r="123" spans="1:5">
      <c r="A123" s="158">
        <v>34701</v>
      </c>
      <c r="B123" s="38" t="s">
        <v>360</v>
      </c>
      <c r="C123" s="293">
        <f>' DIR.GENERAL C.2000 Y 3000'!F83+'ORG.OPERADORES(ING.PROPIOS)'!E115</f>
        <v>47125.429591599917</v>
      </c>
      <c r="D123" s="7"/>
      <c r="E123" s="1"/>
    </row>
    <row r="124" spans="1:5">
      <c r="A124" s="158">
        <v>35101</v>
      </c>
      <c r="B124" s="38" t="s">
        <v>361</v>
      </c>
      <c r="C124" s="293">
        <f>' DIR.GENERAL C.2000 Y 3000'!F84+'ORG.OPERADORES(ING.PROPIOS)'!E116</f>
        <v>330959.55310174741</v>
      </c>
      <c r="D124" s="7"/>
      <c r="E124" s="1"/>
    </row>
    <row r="125" spans="1:5">
      <c r="A125" s="158">
        <v>35201</v>
      </c>
      <c r="B125" s="38" t="s">
        <v>362</v>
      </c>
      <c r="C125" s="293">
        <f>' DIR.GENERAL C.2000 Y 3000'!F85+'ORG.OPERADORES(ING.PROPIOS)'!E117</f>
        <v>89709.697232631443</v>
      </c>
      <c r="D125" s="7"/>
      <c r="E125" s="1"/>
    </row>
    <row r="126" spans="1:5">
      <c r="A126" s="158">
        <v>35301</v>
      </c>
      <c r="B126" s="38" t="s">
        <v>437</v>
      </c>
      <c r="C126" s="293">
        <f>' DIR.GENERAL C.2000 Y 3000'!F86+'ORG.OPERADORES(ING.PROPIOS)'!E118</f>
        <v>0</v>
      </c>
      <c r="D126" s="7"/>
      <c r="E126" s="1"/>
    </row>
    <row r="127" spans="1:5">
      <c r="A127" s="158">
        <v>35302</v>
      </c>
      <c r="B127" s="38" t="s">
        <v>363</v>
      </c>
      <c r="C127" s="293">
        <f>' DIR.GENERAL C.2000 Y 3000'!F87+'ORG.OPERADORES(ING.PROPIOS)'!E119</f>
        <v>25909.721083247816</v>
      </c>
      <c r="D127" s="7"/>
      <c r="E127" s="1"/>
    </row>
    <row r="128" spans="1:5" ht="22.5">
      <c r="A128" s="158">
        <v>35501</v>
      </c>
      <c r="B128" s="38" t="s">
        <v>364</v>
      </c>
      <c r="C128" s="293">
        <f>' DIR.GENERAL C.2000 Y 3000'!F88+'ORG.OPERADORES(ING.PROPIOS)'!E120</f>
        <v>1593143.0353945114</v>
      </c>
      <c r="D128" s="7"/>
      <c r="E128" s="1"/>
    </row>
    <row r="129" spans="1:5">
      <c r="A129" s="158">
        <v>35701</v>
      </c>
      <c r="B129" s="38" t="s">
        <v>365</v>
      </c>
      <c r="C129" s="293">
        <f>' DIR.GENERAL C.2000 Y 3000'!F89+'ORG.OPERADORES(ING.PROPIOS)'!E121</f>
        <v>5767700.4233012721</v>
      </c>
      <c r="D129" s="7"/>
      <c r="E129" s="1"/>
    </row>
    <row r="130" spans="1:5" ht="22.5">
      <c r="A130" s="158">
        <v>35702</v>
      </c>
      <c r="B130" s="38" t="s">
        <v>438</v>
      </c>
      <c r="C130" s="293">
        <f>' DIR.GENERAL C.2000 Y 3000'!F90+'ORG.OPERADORES(ING.PROPIOS)'!E122</f>
        <v>0</v>
      </c>
      <c r="D130" s="7"/>
      <c r="E130" s="1"/>
    </row>
    <row r="131" spans="1:5">
      <c r="A131" s="158">
        <v>35801</v>
      </c>
      <c r="B131" s="38" t="s">
        <v>366</v>
      </c>
      <c r="C131" s="293">
        <f>' DIR.GENERAL C.2000 Y 3000'!F91+'ORG.OPERADORES(ING.PROPIOS)'!E123</f>
        <v>223172.91638960896</v>
      </c>
      <c r="D131" s="7"/>
      <c r="E131" s="1"/>
    </row>
    <row r="132" spans="1:5">
      <c r="A132" s="158">
        <v>35901</v>
      </c>
      <c r="B132" s="38" t="s">
        <v>367</v>
      </c>
      <c r="C132" s="293">
        <f>' DIR.GENERAL C.2000 Y 3000'!F92+'ORG.OPERADORES(ING.PROPIOS)'!E124</f>
        <v>29788.041226618196</v>
      </c>
      <c r="D132" s="7"/>
      <c r="E132" s="1"/>
    </row>
    <row r="133" spans="1:5" ht="33.75">
      <c r="A133" s="158">
        <v>36101</v>
      </c>
      <c r="B133" s="38" t="s">
        <v>368</v>
      </c>
      <c r="C133" s="293">
        <f>' DIR.GENERAL C.2000 Y 3000'!F93+'ORG.OPERADORES(ING.PROPIOS)'!E125</f>
        <v>1391462.7501331232</v>
      </c>
      <c r="D133" s="7"/>
      <c r="E133" s="1"/>
    </row>
    <row r="134" spans="1:5">
      <c r="A134" s="158">
        <v>36401</v>
      </c>
      <c r="B134" s="38" t="s">
        <v>369</v>
      </c>
      <c r="C134" s="293">
        <f>' DIR.GENERAL C.2000 Y 3000'!F94+'ORG.OPERADORES(ING.PROPIOS)'!E126</f>
        <v>492.54174416429987</v>
      </c>
      <c r="D134" s="7"/>
      <c r="E134" s="1"/>
    </row>
    <row r="135" spans="1:5">
      <c r="A135" s="158">
        <v>36501</v>
      </c>
      <c r="B135" s="38" t="s">
        <v>87</v>
      </c>
      <c r="C135" s="293">
        <f>' DIR.GENERAL C.2000 Y 3000'!F95+'ORG.OPERADORES(ING.PROPIOS)'!E127</f>
        <v>25401.200000000001</v>
      </c>
      <c r="D135" s="7"/>
      <c r="E135" s="1"/>
    </row>
    <row r="136" spans="1:5">
      <c r="A136" s="158">
        <v>36901</v>
      </c>
      <c r="B136" s="38" t="s">
        <v>370</v>
      </c>
      <c r="C136" s="293">
        <f>' DIR.GENERAL C.2000 Y 3000'!F96+'ORG.OPERADORES(ING.PROPIOS)'!E128</f>
        <v>198113.25082831018</v>
      </c>
      <c r="D136" s="7"/>
      <c r="E136" s="1"/>
    </row>
    <row r="137" spans="1:5">
      <c r="A137" s="158">
        <v>37101</v>
      </c>
      <c r="B137" s="38" t="s">
        <v>371</v>
      </c>
      <c r="C137" s="293">
        <f>' DIR.GENERAL C.2000 Y 3000'!F97+'ORG.OPERADORES(ING.PROPIOS)'!E129</f>
        <v>115357.34479025874</v>
      </c>
      <c r="D137" s="7"/>
      <c r="E137" s="1"/>
    </row>
    <row r="138" spans="1:5">
      <c r="A138" s="158">
        <v>37104</v>
      </c>
      <c r="B138" s="38" t="s">
        <v>439</v>
      </c>
      <c r="C138" s="293">
        <f>' DIR.GENERAL C.2000 Y 3000'!F98+'ORG.OPERADORES(ING.PROPIOS)'!E130</f>
        <v>0</v>
      </c>
      <c r="D138" s="7"/>
      <c r="E138" s="1"/>
    </row>
    <row r="139" spans="1:5">
      <c r="A139" s="158">
        <v>37201</v>
      </c>
      <c r="B139" s="38" t="s">
        <v>372</v>
      </c>
      <c r="C139" s="293">
        <f>' DIR.GENERAL C.2000 Y 3000'!F99+'ORG.OPERADORES(ING.PROPIOS)'!E131</f>
        <v>11360</v>
      </c>
      <c r="D139" s="7"/>
      <c r="E139" s="1"/>
    </row>
    <row r="140" spans="1:5">
      <c r="A140" s="158">
        <v>37501</v>
      </c>
      <c r="B140" s="38" t="s">
        <v>373</v>
      </c>
      <c r="C140" s="293">
        <f>' DIR.GENERAL C.2000 Y 3000'!F100+'ORG.OPERADORES(ING.PROPIOS)'!E132</f>
        <v>1138793.2258438892</v>
      </c>
      <c r="D140" s="7"/>
      <c r="E140" s="1"/>
    </row>
    <row r="141" spans="1:5">
      <c r="A141" s="158">
        <v>37502</v>
      </c>
      <c r="B141" s="38" t="s">
        <v>374</v>
      </c>
      <c r="C141" s="293">
        <f>' DIR.GENERAL C.2000 Y 3000'!F101+'ORG.OPERADORES(ING.PROPIOS)'!E133</f>
        <v>445136.71969536174</v>
      </c>
      <c r="D141" s="7"/>
      <c r="E141" s="1"/>
    </row>
    <row r="142" spans="1:5">
      <c r="A142" s="158">
        <v>37601</v>
      </c>
      <c r="B142" s="38" t="s">
        <v>375</v>
      </c>
      <c r="C142" s="293">
        <f>' DIR.GENERAL C.2000 Y 3000'!F102+'ORG.OPERADORES(ING.PROPIOS)'!E134</f>
        <v>30000</v>
      </c>
      <c r="D142" s="7"/>
      <c r="E142" s="1"/>
    </row>
    <row r="143" spans="1:5">
      <c r="A143" s="158">
        <v>37801</v>
      </c>
      <c r="B143" s="38" t="s">
        <v>376</v>
      </c>
      <c r="C143" s="293">
        <f>' DIR.GENERAL C.2000 Y 3000'!F103+'ORG.OPERADORES(ING.PROPIOS)'!E135</f>
        <v>0</v>
      </c>
      <c r="D143" s="7"/>
      <c r="E143" s="1"/>
    </row>
    <row r="144" spans="1:5">
      <c r="A144" s="158">
        <v>37901</v>
      </c>
      <c r="B144" s="38" t="s">
        <v>377</v>
      </c>
      <c r="C144" s="293">
        <f>' DIR.GENERAL C.2000 Y 3000'!F104+'ORG.OPERADORES(ING.PROPIOS)'!E136</f>
        <v>27899.66</v>
      </c>
      <c r="D144" s="7"/>
      <c r="E144" s="1"/>
    </row>
    <row r="145" spans="1:5">
      <c r="A145" s="158">
        <v>38101</v>
      </c>
      <c r="B145" s="38" t="s">
        <v>378</v>
      </c>
      <c r="C145" s="293">
        <f>' DIR.GENERAL C.2000 Y 3000'!F105+'ORG.OPERADORES(ING.PROPIOS)'!E137</f>
        <v>0</v>
      </c>
      <c r="D145" s="7"/>
      <c r="E145" s="1"/>
    </row>
    <row r="146" spans="1:5">
      <c r="A146" s="158">
        <v>38201</v>
      </c>
      <c r="B146" s="38" t="s">
        <v>440</v>
      </c>
      <c r="C146" s="293">
        <f>' DIR.GENERAL C.2000 Y 3000'!F106+'ORG.OPERADORES(ING.PROPIOS)'!E138</f>
        <v>0</v>
      </c>
      <c r="D146" s="7"/>
      <c r="E146" s="1"/>
    </row>
    <row r="147" spans="1:5">
      <c r="A147" s="158">
        <v>38301</v>
      </c>
      <c r="B147" s="38" t="s">
        <v>379</v>
      </c>
      <c r="C147" s="293">
        <f>' DIR.GENERAL C.2000 Y 3000'!F107+'ORG.OPERADORES(ING.PROPIOS)'!E139</f>
        <v>30000</v>
      </c>
      <c r="D147" s="7"/>
      <c r="E147" s="1"/>
    </row>
    <row r="148" spans="1:5">
      <c r="A148" s="158">
        <v>38501</v>
      </c>
      <c r="B148" s="38" t="s">
        <v>441</v>
      </c>
      <c r="C148" s="293">
        <f>' DIR.GENERAL C.2000 Y 3000'!F108+'ORG.OPERADORES(ING.PROPIOS)'!E140</f>
        <v>0</v>
      </c>
      <c r="D148" s="7"/>
      <c r="E148" s="1"/>
    </row>
    <row r="149" spans="1:5">
      <c r="A149" s="158">
        <v>39201</v>
      </c>
      <c r="B149" s="38" t="s">
        <v>380</v>
      </c>
      <c r="C149" s="293">
        <f>' DIR.GENERAL C.2000 Y 3000'!F109+'ORG.OPERADORES(ING.PROPIOS)'!E141</f>
        <v>8602894.7167907786</v>
      </c>
      <c r="D149" s="7"/>
      <c r="E149" s="1"/>
    </row>
    <row r="150" spans="1:5">
      <c r="A150" s="158">
        <v>39501</v>
      </c>
      <c r="B150" s="38" t="s">
        <v>381</v>
      </c>
      <c r="C150" s="293">
        <f>' DIR.GENERAL C.2000 Y 3000'!F110+'ORG.OPERADORES(ING.PROPIOS)'!E142</f>
        <v>1346247.8840763778</v>
      </c>
      <c r="D150" s="7"/>
      <c r="E150" s="1"/>
    </row>
    <row r="151" spans="1:5">
      <c r="A151" s="158">
        <v>39601</v>
      </c>
      <c r="B151" s="38" t="s">
        <v>382</v>
      </c>
      <c r="C151" s="293">
        <f>' DIR.GENERAL C.2000 Y 3000'!F111+'ORG.OPERADORES(ING.PROPIOS)'!E143</f>
        <v>9175.5168435972409</v>
      </c>
      <c r="D151" s="7"/>
      <c r="E151" s="1"/>
    </row>
    <row r="152" spans="1:5">
      <c r="A152" s="158">
        <v>39801</v>
      </c>
      <c r="B152" s="38" t="s">
        <v>383</v>
      </c>
      <c r="C152" s="293">
        <f>' DIR.GENERAL C.2000 Y 3000'!F112+'ORG.OPERADORES(ING.PROPIOS)'!E144</f>
        <v>2655538.5668000001</v>
      </c>
      <c r="D152" s="7"/>
      <c r="E152" s="1"/>
    </row>
    <row r="153" spans="1:5">
      <c r="A153" s="291"/>
      <c r="B153" s="291" t="s">
        <v>104</v>
      </c>
      <c r="C153" s="296">
        <f>C92+C54+C6</f>
        <v>443846419.83731812</v>
      </c>
      <c r="D153" s="27"/>
    </row>
  </sheetData>
  <mergeCells count="3">
    <mergeCell ref="A1:C1"/>
    <mergeCell ref="A2:C2"/>
    <mergeCell ref="A3:C3"/>
  </mergeCells>
  <pageMargins left="1.2204724409448819" right="0.23622047244094491" top="0.74803149606299213" bottom="0.74803149606299213" header="0.31496062992125984" footer="0.31496062992125984"/>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BD55"/>
  <sheetViews>
    <sheetView view="pageBreakPreview" zoomScale="76" zoomScaleNormal="80" zoomScaleSheetLayoutView="76" workbookViewId="0">
      <pane ySplit="7" topLeftCell="A8" activePane="bottomLeft" state="frozen"/>
      <selection activeCell="E157" sqref="E157"/>
      <selection pane="bottomLeft" activeCell="E157" sqref="E157"/>
    </sheetView>
  </sheetViews>
  <sheetFormatPr baseColWidth="10" defaultRowHeight="15"/>
  <cols>
    <col min="1" max="1" width="14.28515625" customWidth="1"/>
    <col min="2" max="2" width="25.7109375" customWidth="1"/>
    <col min="3" max="3" width="16.7109375" customWidth="1"/>
    <col min="4" max="4" width="18.28515625" customWidth="1"/>
    <col min="5" max="5" width="14.5703125" customWidth="1"/>
    <col min="6" max="6" width="17.7109375" customWidth="1"/>
    <col min="7" max="7" width="15.42578125" style="27" customWidth="1"/>
    <col min="8" max="8" width="14.28515625" customWidth="1"/>
    <col min="9" max="9" width="30" customWidth="1"/>
    <col min="10" max="10" width="16.140625" customWidth="1"/>
    <col min="11" max="11" width="18.42578125" customWidth="1"/>
    <col min="12" max="12" width="14.7109375" customWidth="1"/>
    <col min="13" max="13" width="17" customWidth="1"/>
    <col min="14" max="14" width="9.42578125" style="27" customWidth="1"/>
    <col min="15" max="15" width="14.28515625" customWidth="1"/>
    <col min="16" max="16" width="25.7109375" customWidth="1"/>
    <col min="17" max="17" width="15.5703125" bestFit="1" customWidth="1"/>
    <col min="18" max="18" width="17.7109375" customWidth="1"/>
    <col min="19" max="19" width="15" customWidth="1"/>
    <col min="20" max="20" width="17.42578125" customWidth="1"/>
    <col min="21" max="21" width="11.42578125" style="27"/>
    <col min="22" max="22" width="15.42578125" customWidth="1"/>
    <col min="23" max="23" width="25.7109375" customWidth="1"/>
    <col min="24" max="24" width="16.140625" style="343" customWidth="1"/>
    <col min="25" max="25" width="17.140625" style="343" customWidth="1"/>
    <col min="26" max="26" width="14.42578125" style="343" customWidth="1"/>
    <col min="27" max="27" width="18.140625" style="343" customWidth="1"/>
    <col min="28" max="28" width="14.140625" style="27" bestFit="1" customWidth="1"/>
    <col min="29" max="29" width="15.5703125" customWidth="1"/>
    <col min="30" max="30" width="23.42578125" customWidth="1"/>
    <col min="31" max="34" width="17.28515625" customWidth="1"/>
    <col min="35" max="35" width="17.28515625" style="27" customWidth="1"/>
    <col min="36" max="36" width="15.5703125" customWidth="1"/>
    <col min="37" max="37" width="25.7109375" customWidth="1"/>
    <col min="38" max="38" width="15.7109375" customWidth="1"/>
    <col min="39" max="39" width="18.85546875" customWidth="1"/>
    <col min="40" max="40" width="13.7109375" customWidth="1"/>
    <col min="41" max="41" width="17.7109375" customWidth="1"/>
    <col min="42" max="42" width="13.140625" style="28" bestFit="1" customWidth="1"/>
    <col min="43" max="43" width="16" customWidth="1"/>
    <col min="44" max="44" width="31" customWidth="1"/>
    <col min="45" max="45" width="15.28515625" bestFit="1" customWidth="1"/>
    <col min="46" max="46" width="17.5703125" customWidth="1"/>
    <col min="47" max="47" width="13.85546875" customWidth="1"/>
    <col min="48" max="48" width="17" customWidth="1"/>
    <col min="49" max="49" width="11.42578125" style="27"/>
    <col min="50" max="50" width="15.85546875" customWidth="1"/>
    <col min="51" max="51" width="32.7109375" customWidth="1"/>
    <col min="52" max="52" width="14.42578125" customWidth="1"/>
    <col min="53" max="53" width="17.42578125" customWidth="1"/>
    <col min="54" max="54" width="13.28515625" customWidth="1"/>
    <col min="55" max="55" width="17.5703125" customWidth="1"/>
  </cols>
  <sheetData>
    <row r="1" spans="1:56" s="122" customFormat="1" ht="23.25">
      <c r="A1" s="402" t="s">
        <v>0</v>
      </c>
      <c r="B1" s="402"/>
      <c r="C1" s="402"/>
      <c r="D1" s="402"/>
      <c r="E1" s="402"/>
      <c r="F1" s="402"/>
      <c r="G1" s="172"/>
      <c r="H1" s="403" t="s">
        <v>0</v>
      </c>
      <c r="I1" s="403"/>
      <c r="J1" s="403"/>
      <c r="K1" s="403"/>
      <c r="L1" s="403"/>
      <c r="M1" s="403"/>
      <c r="N1" s="172"/>
      <c r="O1" s="403" t="s">
        <v>0</v>
      </c>
      <c r="P1" s="403"/>
      <c r="Q1" s="403"/>
      <c r="R1" s="403"/>
      <c r="S1" s="403"/>
      <c r="T1" s="403"/>
      <c r="U1" s="172"/>
      <c r="V1" s="403" t="s">
        <v>0</v>
      </c>
      <c r="W1" s="403"/>
      <c r="X1" s="403"/>
      <c r="Y1" s="403"/>
      <c r="Z1" s="403"/>
      <c r="AA1" s="403"/>
      <c r="AB1" s="172"/>
      <c r="AC1" s="403" t="s">
        <v>0</v>
      </c>
      <c r="AD1" s="403"/>
      <c r="AE1" s="403"/>
      <c r="AF1" s="403"/>
      <c r="AG1" s="403"/>
      <c r="AH1" s="403"/>
      <c r="AI1" s="361"/>
      <c r="AJ1" s="403" t="s">
        <v>0</v>
      </c>
      <c r="AK1" s="403"/>
      <c r="AL1" s="403"/>
      <c r="AM1" s="403"/>
      <c r="AN1" s="403"/>
      <c r="AO1" s="403"/>
      <c r="AP1" s="173"/>
      <c r="AQ1" s="403" t="s">
        <v>0</v>
      </c>
      <c r="AR1" s="403"/>
      <c r="AS1" s="403"/>
      <c r="AT1" s="403"/>
      <c r="AU1" s="403"/>
      <c r="AV1" s="403"/>
      <c r="AW1" s="172"/>
      <c r="AX1" s="403" t="s">
        <v>0</v>
      </c>
      <c r="AY1" s="403"/>
      <c r="AZ1" s="403"/>
      <c r="BA1" s="403"/>
      <c r="BB1" s="403"/>
      <c r="BC1" s="403"/>
    </row>
    <row r="2" spans="1:56" s="65" customFormat="1" ht="12.75" customHeight="1">
      <c r="A2" s="401" t="s">
        <v>385</v>
      </c>
      <c r="B2" s="401"/>
      <c r="C2" s="401"/>
      <c r="D2" s="401"/>
      <c r="E2" s="401"/>
      <c r="F2" s="401"/>
      <c r="G2" s="120"/>
      <c r="H2" s="414" t="s">
        <v>385</v>
      </c>
      <c r="I2" s="414"/>
      <c r="J2" s="414"/>
      <c r="K2" s="414"/>
      <c r="L2" s="414"/>
      <c r="M2" s="414"/>
      <c r="N2" s="120"/>
      <c r="O2" s="414" t="s">
        <v>385</v>
      </c>
      <c r="P2" s="414"/>
      <c r="Q2" s="414"/>
      <c r="R2" s="414"/>
      <c r="S2" s="414"/>
      <c r="T2" s="414"/>
      <c r="U2" s="120"/>
      <c r="V2" s="414" t="s">
        <v>385</v>
      </c>
      <c r="W2" s="414"/>
      <c r="X2" s="414"/>
      <c r="Y2" s="414"/>
      <c r="Z2" s="414"/>
      <c r="AA2" s="414"/>
      <c r="AB2" s="120"/>
      <c r="AC2" s="414" t="s">
        <v>385</v>
      </c>
      <c r="AD2" s="414"/>
      <c r="AE2" s="414"/>
      <c r="AF2" s="414"/>
      <c r="AG2" s="414"/>
      <c r="AH2" s="414"/>
      <c r="AI2" s="362"/>
      <c r="AJ2" s="414" t="s">
        <v>385</v>
      </c>
      <c r="AK2" s="414"/>
      <c r="AL2" s="414"/>
      <c r="AM2" s="414"/>
      <c r="AN2" s="414"/>
      <c r="AO2" s="414"/>
      <c r="AP2" s="174"/>
      <c r="AQ2" s="414" t="s">
        <v>385</v>
      </c>
      <c r="AR2" s="414"/>
      <c r="AS2" s="414"/>
      <c r="AT2" s="414"/>
      <c r="AU2" s="414"/>
      <c r="AV2" s="414"/>
      <c r="AW2" s="120"/>
      <c r="AX2" s="414" t="s">
        <v>385</v>
      </c>
      <c r="AY2" s="414"/>
      <c r="AZ2" s="414"/>
      <c r="BA2" s="414"/>
      <c r="BB2" s="414"/>
      <c r="BC2" s="414"/>
    </row>
    <row r="3" spans="1:56" s="65" customFormat="1" ht="12.75">
      <c r="A3" s="400" t="s">
        <v>234</v>
      </c>
      <c r="B3" s="400"/>
      <c r="C3" s="400"/>
      <c r="D3" s="400"/>
      <c r="E3" s="400"/>
      <c r="F3" s="400"/>
      <c r="G3" s="120"/>
      <c r="H3" s="415" t="s">
        <v>586</v>
      </c>
      <c r="I3" s="415"/>
      <c r="J3" s="415"/>
      <c r="K3" s="415"/>
      <c r="L3" s="415"/>
      <c r="M3" s="415"/>
      <c r="N3" s="120"/>
      <c r="O3" s="415" t="s">
        <v>585</v>
      </c>
      <c r="P3" s="415"/>
      <c r="Q3" s="415"/>
      <c r="R3" s="415"/>
      <c r="S3" s="415"/>
      <c r="T3" s="415"/>
      <c r="U3" s="120"/>
      <c r="V3" s="415" t="s">
        <v>587</v>
      </c>
      <c r="W3" s="415"/>
      <c r="X3" s="415"/>
      <c r="Y3" s="415"/>
      <c r="Z3" s="415"/>
      <c r="AA3" s="415"/>
      <c r="AB3" s="120"/>
      <c r="AC3" s="415" t="s">
        <v>589</v>
      </c>
      <c r="AD3" s="415"/>
      <c r="AE3" s="415"/>
      <c r="AF3" s="415"/>
      <c r="AG3" s="415"/>
      <c r="AH3" s="415"/>
      <c r="AI3" s="164"/>
      <c r="AJ3" s="415" t="s">
        <v>590</v>
      </c>
      <c r="AK3" s="415"/>
      <c r="AL3" s="415"/>
      <c r="AM3" s="415"/>
      <c r="AN3" s="415"/>
      <c r="AO3" s="415"/>
      <c r="AP3" s="174"/>
      <c r="AQ3" s="415" t="s">
        <v>588</v>
      </c>
      <c r="AR3" s="415"/>
      <c r="AS3" s="415"/>
      <c r="AT3" s="415"/>
      <c r="AU3" s="415"/>
      <c r="AV3" s="415"/>
      <c r="AW3" s="120"/>
      <c r="AX3" s="415" t="s">
        <v>591</v>
      </c>
      <c r="AY3" s="415"/>
      <c r="AZ3" s="415"/>
      <c r="BA3" s="415"/>
      <c r="BB3" s="415"/>
      <c r="BC3" s="415"/>
    </row>
    <row r="4" spans="1:56" ht="15.75" thickBot="1">
      <c r="A4" s="417" t="s">
        <v>500</v>
      </c>
      <c r="B4" s="417"/>
      <c r="C4" s="417"/>
      <c r="D4" s="417"/>
      <c r="E4" s="417"/>
      <c r="F4" s="417"/>
      <c r="H4" s="416">
        <v>21121215010</v>
      </c>
      <c r="I4" s="416"/>
      <c r="J4" s="416"/>
      <c r="K4" s="416"/>
      <c r="L4" s="416"/>
      <c r="M4" s="416"/>
      <c r="O4" s="416">
        <v>21121215710</v>
      </c>
      <c r="P4" s="416"/>
      <c r="Q4" s="416"/>
      <c r="R4" s="416"/>
      <c r="S4" s="416"/>
      <c r="T4" s="416"/>
      <c r="V4" s="416">
        <v>21121215110</v>
      </c>
      <c r="W4" s="416"/>
      <c r="X4" s="416"/>
      <c r="Y4" s="416"/>
      <c r="Z4" s="416"/>
      <c r="AA4" s="416"/>
      <c r="AC4" s="416">
        <v>21121215310</v>
      </c>
      <c r="AD4" s="416"/>
      <c r="AE4" s="416"/>
      <c r="AF4" s="416"/>
      <c r="AG4" s="416"/>
      <c r="AH4" s="416"/>
      <c r="AI4" s="363"/>
      <c r="AJ4" s="416">
        <v>21121215410</v>
      </c>
      <c r="AK4" s="416"/>
      <c r="AL4" s="416"/>
      <c r="AM4" s="416"/>
      <c r="AN4" s="416"/>
      <c r="AO4" s="416"/>
      <c r="AQ4" s="416">
        <v>21121215210</v>
      </c>
      <c r="AR4" s="416"/>
      <c r="AS4" s="416"/>
      <c r="AT4" s="416"/>
      <c r="AU4" s="416"/>
      <c r="AV4" s="416"/>
      <c r="AX4" s="416">
        <v>21121215510</v>
      </c>
      <c r="AY4" s="416"/>
      <c r="AZ4" s="416"/>
      <c r="BA4" s="416"/>
      <c r="BB4" s="416"/>
      <c r="BC4" s="416"/>
    </row>
    <row r="5" spans="1:56" ht="15.75" thickBot="1">
      <c r="A5" s="27"/>
      <c r="B5" s="27"/>
      <c r="C5" s="28"/>
      <c r="D5" s="175"/>
      <c r="E5" s="175"/>
      <c r="F5" s="175"/>
      <c r="H5" s="27"/>
      <c r="I5" s="27"/>
      <c r="J5" s="28"/>
      <c r="K5" s="28"/>
      <c r="L5" s="28"/>
      <c r="M5" s="28"/>
      <c r="N5" s="176"/>
      <c r="O5" s="27"/>
      <c r="P5" s="27"/>
      <c r="Q5" s="28"/>
      <c r="R5" s="28"/>
      <c r="S5" s="28"/>
      <c r="T5" s="28"/>
      <c r="V5" s="27"/>
      <c r="W5" s="27"/>
      <c r="X5" s="368"/>
      <c r="Y5" s="368"/>
      <c r="Z5" s="368"/>
      <c r="AA5" s="368"/>
      <c r="AB5" s="177"/>
      <c r="AC5" s="27"/>
      <c r="AD5" s="27"/>
      <c r="AE5" s="28"/>
      <c r="AF5" s="28"/>
      <c r="AG5" s="28"/>
      <c r="AH5" s="28"/>
      <c r="AI5" s="28"/>
      <c r="AJ5" s="27"/>
      <c r="AK5" s="27"/>
      <c r="AL5" s="28"/>
      <c r="AM5" s="28"/>
      <c r="AN5" s="28"/>
      <c r="AO5" s="28"/>
      <c r="AQ5" s="27"/>
      <c r="AR5" s="27"/>
      <c r="AS5" s="28"/>
      <c r="AT5" s="28"/>
      <c r="AU5" s="28"/>
      <c r="AV5" s="28"/>
      <c r="AX5" s="27"/>
      <c r="AY5" s="27"/>
      <c r="AZ5" s="28"/>
      <c r="BA5" s="27"/>
      <c r="BB5" s="27"/>
      <c r="BC5" s="27"/>
    </row>
    <row r="6" spans="1:56" s="6" customFormat="1" ht="15" customHeight="1">
      <c r="A6" s="406" t="s">
        <v>8</v>
      </c>
      <c r="B6" s="408" t="s">
        <v>9</v>
      </c>
      <c r="C6" s="404" t="s">
        <v>406</v>
      </c>
      <c r="D6" s="410" t="s">
        <v>407</v>
      </c>
      <c r="E6" s="410" t="s">
        <v>410</v>
      </c>
      <c r="F6" s="410" t="s">
        <v>498</v>
      </c>
      <c r="G6" s="10"/>
      <c r="H6" s="406" t="s">
        <v>8</v>
      </c>
      <c r="I6" s="408" t="s">
        <v>9</v>
      </c>
      <c r="J6" s="404" t="s">
        <v>406</v>
      </c>
      <c r="K6" s="398" t="s">
        <v>407</v>
      </c>
      <c r="L6" s="410" t="s">
        <v>410</v>
      </c>
      <c r="M6" s="412" t="s">
        <v>498</v>
      </c>
      <c r="N6" s="60"/>
      <c r="O6" s="406" t="s">
        <v>8</v>
      </c>
      <c r="P6" s="408" t="s">
        <v>9</v>
      </c>
      <c r="Q6" s="404" t="s">
        <v>406</v>
      </c>
      <c r="R6" s="398" t="s">
        <v>407</v>
      </c>
      <c r="S6" s="410" t="s">
        <v>410</v>
      </c>
      <c r="T6" s="412" t="s">
        <v>498</v>
      </c>
      <c r="U6" s="10"/>
      <c r="V6" s="406" t="s">
        <v>8</v>
      </c>
      <c r="W6" s="408" t="s">
        <v>9</v>
      </c>
      <c r="X6" s="404" t="s">
        <v>406</v>
      </c>
      <c r="Y6" s="398" t="s">
        <v>407</v>
      </c>
      <c r="Z6" s="410" t="s">
        <v>410</v>
      </c>
      <c r="AA6" s="412" t="s">
        <v>498</v>
      </c>
      <c r="AB6" s="60"/>
      <c r="AC6" s="406" t="s">
        <v>8</v>
      </c>
      <c r="AD6" s="408" t="s">
        <v>9</v>
      </c>
      <c r="AE6" s="404" t="s">
        <v>406</v>
      </c>
      <c r="AF6" s="398" t="s">
        <v>407</v>
      </c>
      <c r="AG6" s="410" t="s">
        <v>410</v>
      </c>
      <c r="AH6" s="412" t="s">
        <v>498</v>
      </c>
      <c r="AI6" s="3"/>
      <c r="AJ6" s="406" t="s">
        <v>8</v>
      </c>
      <c r="AK6" s="408" t="s">
        <v>9</v>
      </c>
      <c r="AL6" s="404" t="s">
        <v>406</v>
      </c>
      <c r="AM6" s="398" t="s">
        <v>407</v>
      </c>
      <c r="AN6" s="410" t="s">
        <v>410</v>
      </c>
      <c r="AO6" s="412" t="s">
        <v>498</v>
      </c>
      <c r="AP6" s="7"/>
      <c r="AQ6" s="406" t="s">
        <v>8</v>
      </c>
      <c r="AR6" s="408" t="s">
        <v>9</v>
      </c>
      <c r="AS6" s="404" t="s">
        <v>406</v>
      </c>
      <c r="AT6" s="398" t="s">
        <v>407</v>
      </c>
      <c r="AU6" s="410" t="s">
        <v>410</v>
      </c>
      <c r="AV6" s="412" t="s">
        <v>498</v>
      </c>
      <c r="AW6" s="10"/>
      <c r="AX6" s="406" t="s">
        <v>8</v>
      </c>
      <c r="AY6" s="408" t="s">
        <v>9</v>
      </c>
      <c r="AZ6" s="404" t="s">
        <v>406</v>
      </c>
      <c r="BA6" s="398" t="s">
        <v>407</v>
      </c>
      <c r="BB6" s="410" t="s">
        <v>410</v>
      </c>
      <c r="BC6" s="412" t="s">
        <v>498</v>
      </c>
    </row>
    <row r="7" spans="1:56" s="6" customFormat="1" ht="39.75" customHeight="1" thickBot="1">
      <c r="A7" s="407"/>
      <c r="B7" s="409"/>
      <c r="C7" s="405"/>
      <c r="D7" s="411"/>
      <c r="E7" s="411"/>
      <c r="F7" s="411"/>
      <c r="G7" s="10"/>
      <c r="H7" s="407"/>
      <c r="I7" s="409"/>
      <c r="J7" s="405"/>
      <c r="K7" s="399"/>
      <c r="L7" s="411"/>
      <c r="M7" s="413"/>
      <c r="N7" s="10"/>
      <c r="O7" s="407"/>
      <c r="P7" s="409"/>
      <c r="Q7" s="405"/>
      <c r="R7" s="399"/>
      <c r="S7" s="411"/>
      <c r="T7" s="413"/>
      <c r="U7" s="10"/>
      <c r="V7" s="407"/>
      <c r="W7" s="409"/>
      <c r="X7" s="405"/>
      <c r="Y7" s="399"/>
      <c r="Z7" s="411"/>
      <c r="AA7" s="413"/>
      <c r="AB7" s="10"/>
      <c r="AC7" s="407"/>
      <c r="AD7" s="409"/>
      <c r="AE7" s="405"/>
      <c r="AF7" s="399"/>
      <c r="AG7" s="411"/>
      <c r="AH7" s="413"/>
      <c r="AI7" s="3"/>
      <c r="AJ7" s="407"/>
      <c r="AK7" s="409"/>
      <c r="AL7" s="405"/>
      <c r="AM7" s="399"/>
      <c r="AN7" s="411"/>
      <c r="AO7" s="413"/>
      <c r="AP7" s="7"/>
      <c r="AQ7" s="407"/>
      <c r="AR7" s="409"/>
      <c r="AS7" s="405"/>
      <c r="AT7" s="399"/>
      <c r="AU7" s="411"/>
      <c r="AV7" s="413"/>
      <c r="AW7" s="10"/>
      <c r="AX7" s="407"/>
      <c r="AY7" s="409"/>
      <c r="AZ7" s="405"/>
      <c r="BA7" s="399"/>
      <c r="BB7" s="411"/>
      <c r="BC7" s="413"/>
    </row>
    <row r="8" spans="1:56" s="10" customFormat="1" ht="21" customHeight="1">
      <c r="A8" s="198"/>
      <c r="B8" s="170"/>
      <c r="C8" s="170"/>
      <c r="D8" s="170"/>
      <c r="E8" s="170"/>
      <c r="F8" s="171"/>
      <c r="H8" s="198"/>
      <c r="I8" s="170"/>
      <c r="J8" s="170"/>
      <c r="K8" s="170"/>
      <c r="L8" s="170"/>
      <c r="M8" s="171"/>
      <c r="O8" s="198"/>
      <c r="P8" s="170"/>
      <c r="Q8" s="170"/>
      <c r="R8" s="170"/>
      <c r="S8" s="170"/>
      <c r="T8" s="171"/>
      <c r="V8" s="198"/>
      <c r="W8" s="170"/>
      <c r="X8" s="170"/>
      <c r="Y8" s="170"/>
      <c r="Z8" s="170"/>
      <c r="AA8" s="171"/>
      <c r="AC8" s="198"/>
      <c r="AD8" s="170"/>
      <c r="AE8" s="170"/>
      <c r="AF8" s="170"/>
      <c r="AG8" s="170"/>
      <c r="AH8" s="171"/>
      <c r="AI8" s="3"/>
      <c r="AJ8" s="198"/>
      <c r="AK8" s="170"/>
      <c r="AL8" s="170"/>
      <c r="AM8" s="170"/>
      <c r="AN8" s="170"/>
      <c r="AO8" s="171"/>
      <c r="AP8" s="7"/>
      <c r="AQ8" s="198"/>
      <c r="AR8" s="170"/>
      <c r="AS8" s="170"/>
      <c r="AT8" s="170"/>
      <c r="AU8" s="170"/>
      <c r="AV8" s="171"/>
      <c r="AX8" s="198"/>
      <c r="AY8" s="170"/>
      <c r="AZ8" s="170"/>
      <c r="BA8" s="197"/>
      <c r="BB8" s="197"/>
      <c r="BC8" s="199"/>
    </row>
    <row r="9" spans="1:56" s="10" customFormat="1" ht="21" customHeight="1">
      <c r="A9" s="124">
        <v>1000</v>
      </c>
      <c r="B9" s="123" t="s">
        <v>235</v>
      </c>
      <c r="C9" s="156">
        <f>SUM(C10:C52)</f>
        <v>47019588.001363009</v>
      </c>
      <c r="D9" s="156">
        <f t="shared" ref="D9:F9" si="0">SUM(D10:D52)</f>
        <v>32818327.609999999</v>
      </c>
      <c r="E9" s="194">
        <f>D9/C9</f>
        <v>0.69797139883592041</v>
      </c>
      <c r="F9" s="181">
        <f t="shared" si="0"/>
        <v>48204290.995000005</v>
      </c>
      <c r="G9" s="7"/>
      <c r="H9" s="124">
        <v>1000</v>
      </c>
      <c r="I9" s="123" t="s">
        <v>235</v>
      </c>
      <c r="J9" s="178">
        <f t="shared" ref="J9:K9" si="1">SUM(J10:J53)</f>
        <v>2810098.1901984075</v>
      </c>
      <c r="K9" s="178">
        <f t="shared" si="1"/>
        <v>2066803.6404570399</v>
      </c>
      <c r="L9" s="194">
        <f>K9/J9</f>
        <v>0.7354916093914543</v>
      </c>
      <c r="M9" s="182">
        <f>SUM(M10:M53)</f>
        <v>4946906.1933333334</v>
      </c>
      <c r="N9" s="179"/>
      <c r="O9" s="124">
        <v>1000</v>
      </c>
      <c r="P9" s="123" t="s">
        <v>235</v>
      </c>
      <c r="Q9" s="178">
        <f t="shared" ref="Q9:R9" si="2">SUM(Q10:Q53)</f>
        <v>2081108.0078375817</v>
      </c>
      <c r="R9" s="178">
        <f t="shared" si="2"/>
        <v>1278472.5558316098</v>
      </c>
      <c r="S9" s="194">
        <f>R9/Q9</f>
        <v>0.61432301976485748</v>
      </c>
      <c r="T9" s="182">
        <f>SUM(T10:T53)</f>
        <v>2076596.2466666666</v>
      </c>
      <c r="U9" s="179"/>
      <c r="V9" s="124">
        <v>1000</v>
      </c>
      <c r="W9" s="123" t="s">
        <v>235</v>
      </c>
      <c r="X9" s="178">
        <f t="shared" ref="X9:Y9" si="3">SUM(X10:X53)</f>
        <v>16613165.03506227</v>
      </c>
      <c r="Y9" s="178">
        <f t="shared" si="3"/>
        <v>11702852.398484228</v>
      </c>
      <c r="Z9" s="194">
        <v>0.7354916093914543</v>
      </c>
      <c r="AA9" s="182">
        <f>SUM(AA10:AA53)</f>
        <v>17463591.576666664</v>
      </c>
      <c r="AB9" s="179"/>
      <c r="AC9" s="124">
        <v>1000</v>
      </c>
      <c r="AD9" s="123" t="s">
        <v>235</v>
      </c>
      <c r="AE9" s="178">
        <f t="shared" ref="AE9:AF9" si="4">SUM(AE10:AE53)</f>
        <v>9015808.3737976775</v>
      </c>
      <c r="AF9" s="178">
        <f t="shared" si="4"/>
        <v>6049212.1733930139</v>
      </c>
      <c r="AG9" s="194">
        <v>0.7354916093914543</v>
      </c>
      <c r="AH9" s="182">
        <f>SUM(AH10:AH53)</f>
        <v>7301640.666666667</v>
      </c>
      <c r="AI9" s="366"/>
      <c r="AJ9" s="124">
        <v>1000</v>
      </c>
      <c r="AK9" s="123" t="s">
        <v>235</v>
      </c>
      <c r="AL9" s="178">
        <f t="shared" ref="AL9:AM9" si="5">SUM(AL10:AL53)</f>
        <v>7038195.3271579985</v>
      </c>
      <c r="AM9" s="178">
        <f t="shared" si="5"/>
        <v>5172004.2412592079</v>
      </c>
      <c r="AN9" s="194">
        <f>AM9/AL9</f>
        <v>0.73484806841069117</v>
      </c>
      <c r="AO9" s="182">
        <f>SUM(AO10:AO53)</f>
        <v>7293933.2183333328</v>
      </c>
      <c r="AP9" s="179"/>
      <c r="AQ9" s="364">
        <v>1000</v>
      </c>
      <c r="AR9" s="154" t="s">
        <v>235</v>
      </c>
      <c r="AS9" s="241">
        <f t="shared" ref="AS9:AT9" si="6">SUM(AS10:AS53)</f>
        <v>5725895.6657485422</v>
      </c>
      <c r="AT9" s="241">
        <f t="shared" si="6"/>
        <v>4072678.7021281957</v>
      </c>
      <c r="AU9" s="194">
        <f>AT9/AS9</f>
        <v>0.71127364867829412</v>
      </c>
      <c r="AV9" s="242">
        <f>SUM(AV10:AV53)</f>
        <v>6060174.6033333326</v>
      </c>
      <c r="AW9" s="243"/>
      <c r="AX9" s="364">
        <v>1000</v>
      </c>
      <c r="AY9" s="154" t="s">
        <v>235</v>
      </c>
      <c r="AZ9" s="244">
        <f t="shared" ref="AZ9:BA9" si="7">SUM(AZ10:AZ53)</f>
        <v>3735317.4015605333</v>
      </c>
      <c r="BA9" s="244">
        <f t="shared" si="7"/>
        <v>2476303.8984467052</v>
      </c>
      <c r="BB9" s="196">
        <f>BA9/AZ9</f>
        <v>0.66294336792160147</v>
      </c>
      <c r="BC9" s="245">
        <f>SUM(BC10:BC53)</f>
        <v>3061448.49</v>
      </c>
      <c r="BD9" s="7"/>
    </row>
    <row r="10" spans="1:56" s="10" customFormat="1" ht="21" customHeight="1">
      <c r="A10" s="180" t="s">
        <v>236</v>
      </c>
      <c r="B10" s="125" t="s">
        <v>237</v>
      </c>
      <c r="C10" s="191">
        <v>12264230.531363007</v>
      </c>
      <c r="D10" s="191">
        <f t="shared" ref="D10:D52" si="8">K10+R10+Y10+AF10+AM10+AT10+BA10</f>
        <v>11230465.990000002</v>
      </c>
      <c r="E10" s="195">
        <f>D10/C10</f>
        <v>0.91570897670918816</v>
      </c>
      <c r="F10" s="234">
        <f>M10+T10+AA10+AH10+AO10+AV10+BC10</f>
        <v>16050923.279999997</v>
      </c>
      <c r="G10" s="179"/>
      <c r="H10" s="180" t="s">
        <v>236</v>
      </c>
      <c r="I10" s="125" t="s">
        <v>237</v>
      </c>
      <c r="J10" s="192">
        <v>811572.97000000009</v>
      </c>
      <c r="K10" s="15">
        <v>664386.24000000011</v>
      </c>
      <c r="L10" s="195">
        <f>K10/J10</f>
        <v>0.81864017723507976</v>
      </c>
      <c r="M10" s="235">
        <v>996579.35999999987</v>
      </c>
      <c r="N10" s="179"/>
      <c r="O10" s="180" t="s">
        <v>236</v>
      </c>
      <c r="P10" s="125" t="s">
        <v>237</v>
      </c>
      <c r="Q10" s="192">
        <v>606114.8899999999</v>
      </c>
      <c r="R10" s="15">
        <v>446832.09</v>
      </c>
      <c r="S10" s="195">
        <f>R10/Q10</f>
        <v>0.73720691798216686</v>
      </c>
      <c r="T10" s="235">
        <v>743967.36</v>
      </c>
      <c r="U10" s="179"/>
      <c r="V10" s="180" t="s">
        <v>236</v>
      </c>
      <c r="W10" s="125" t="s">
        <v>237</v>
      </c>
      <c r="X10" s="192">
        <v>3982593.4042823198</v>
      </c>
      <c r="Y10" s="15">
        <v>3743343.8000000003</v>
      </c>
      <c r="Z10" s="195">
        <f>Y10/X10</f>
        <v>0.93992617874948914</v>
      </c>
      <c r="AA10" s="235">
        <v>5677411.1999999993</v>
      </c>
      <c r="AB10" s="183"/>
      <c r="AC10" s="180" t="s">
        <v>236</v>
      </c>
      <c r="AD10" s="125" t="s">
        <v>237</v>
      </c>
      <c r="AE10" s="192">
        <v>2582158.8100000005</v>
      </c>
      <c r="AF10" s="15">
        <v>2151316.5</v>
      </c>
      <c r="AG10" s="195">
        <f>AF10/AE10</f>
        <v>0.83314647095621497</v>
      </c>
      <c r="AH10" s="235">
        <f>[3]DIHU!$G$94</f>
        <v>2635263.5999999996</v>
      </c>
      <c r="AI10" s="367"/>
      <c r="AJ10" s="180" t="s">
        <v>236</v>
      </c>
      <c r="AK10" s="125" t="s">
        <v>237</v>
      </c>
      <c r="AL10" s="192">
        <v>1643106.7827341575</v>
      </c>
      <c r="AM10" s="15">
        <v>1901436.9600000004</v>
      </c>
      <c r="AN10" s="195">
        <f>AM10/AL10</f>
        <v>1.1572205653219794</v>
      </c>
      <c r="AO10" s="235">
        <f>[3]HIDRO!$G$94</f>
        <v>2698637.04</v>
      </c>
      <c r="AP10" s="179"/>
      <c r="AQ10" s="180" t="s">
        <v>236</v>
      </c>
      <c r="AR10" s="125" t="s">
        <v>237</v>
      </c>
      <c r="AS10" s="193">
        <v>1515790.0643465295</v>
      </c>
      <c r="AT10" s="191">
        <v>1407935.5199999998</v>
      </c>
      <c r="AU10" s="195">
        <f>AT10/AS10</f>
        <v>0.92884598805374352</v>
      </c>
      <c r="AV10" s="234">
        <v>2111903.2799999998</v>
      </c>
      <c r="AW10" s="179"/>
      <c r="AX10" s="180" t="s">
        <v>236</v>
      </c>
      <c r="AY10" s="125" t="s">
        <v>237</v>
      </c>
      <c r="AZ10" s="192">
        <v>1122893.6100000001</v>
      </c>
      <c r="BA10" s="15">
        <v>915214.88</v>
      </c>
      <c r="BB10" s="195">
        <f>BA10/AZ10</f>
        <v>0.81505039466739859</v>
      </c>
      <c r="BC10" s="202">
        <f>[3]COSTOS!$G$94</f>
        <v>1187161.44</v>
      </c>
      <c r="BD10" s="7"/>
    </row>
    <row r="11" spans="1:56" s="10" customFormat="1" ht="21" customHeight="1">
      <c r="A11" s="180" t="s">
        <v>238</v>
      </c>
      <c r="B11" s="125" t="s">
        <v>239</v>
      </c>
      <c r="C11" s="191">
        <v>0</v>
      </c>
      <c r="D11" s="191">
        <f t="shared" si="8"/>
        <v>0</v>
      </c>
      <c r="E11" s="195"/>
      <c r="F11" s="234">
        <f t="shared" ref="F11:F52" si="9">M11+T11+AA11+AH11+AO11+AV11+BC11</f>
        <v>0</v>
      </c>
      <c r="G11" s="179"/>
      <c r="H11" s="180" t="s">
        <v>238</v>
      </c>
      <c r="I11" s="125" t="s">
        <v>239</v>
      </c>
      <c r="J11" s="192">
        <v>0</v>
      </c>
      <c r="K11" s="15">
        <v>0</v>
      </c>
      <c r="L11" s="195"/>
      <c r="M11" s="235"/>
      <c r="N11" s="179"/>
      <c r="O11" s="180" t="s">
        <v>238</v>
      </c>
      <c r="P11" s="125" t="s">
        <v>239</v>
      </c>
      <c r="Q11" s="192">
        <v>0</v>
      </c>
      <c r="R11" s="15">
        <v>0</v>
      </c>
      <c r="S11" s="195"/>
      <c r="T11" s="235"/>
      <c r="U11" s="185"/>
      <c r="V11" s="180" t="s">
        <v>238</v>
      </c>
      <c r="W11" s="125" t="s">
        <v>239</v>
      </c>
      <c r="X11" s="192">
        <v>0</v>
      </c>
      <c r="Y11" s="15">
        <v>0</v>
      </c>
      <c r="Z11" s="195"/>
      <c r="AA11" s="235"/>
      <c r="AB11" s="183"/>
      <c r="AC11" s="180" t="s">
        <v>238</v>
      </c>
      <c r="AD11" s="125" t="s">
        <v>239</v>
      </c>
      <c r="AE11" s="192">
        <v>0</v>
      </c>
      <c r="AF11" s="15">
        <v>0</v>
      </c>
      <c r="AG11" s="195"/>
      <c r="AH11" s="235"/>
      <c r="AI11" s="367"/>
      <c r="AJ11" s="180" t="s">
        <v>238</v>
      </c>
      <c r="AK11" s="125" t="s">
        <v>239</v>
      </c>
      <c r="AL11" s="192">
        <v>0</v>
      </c>
      <c r="AM11" s="15">
        <v>0</v>
      </c>
      <c r="AN11" s="195"/>
      <c r="AO11" s="235"/>
      <c r="AP11" s="179"/>
      <c r="AQ11" s="180" t="s">
        <v>238</v>
      </c>
      <c r="AR11" s="125" t="s">
        <v>239</v>
      </c>
      <c r="AS11" s="193">
        <v>0</v>
      </c>
      <c r="AT11" s="191">
        <v>0</v>
      </c>
      <c r="AU11" s="195"/>
      <c r="AV11" s="234"/>
      <c r="AW11" s="184"/>
      <c r="AX11" s="180" t="s">
        <v>238</v>
      </c>
      <c r="AY11" s="125" t="s">
        <v>239</v>
      </c>
      <c r="AZ11" s="192">
        <v>0</v>
      </c>
      <c r="BA11" s="15">
        <v>0</v>
      </c>
      <c r="BB11" s="195"/>
      <c r="BC11" s="202"/>
    </row>
    <row r="12" spans="1:56" s="10" customFormat="1" ht="21" customHeight="1">
      <c r="A12" s="180" t="s">
        <v>240</v>
      </c>
      <c r="B12" s="125" t="s">
        <v>241</v>
      </c>
      <c r="C12" s="191">
        <v>0</v>
      </c>
      <c r="D12" s="191">
        <f t="shared" si="8"/>
        <v>0</v>
      </c>
      <c r="E12" s="195"/>
      <c r="F12" s="234">
        <f t="shared" si="9"/>
        <v>0</v>
      </c>
      <c r="G12" s="179"/>
      <c r="H12" s="180" t="s">
        <v>240</v>
      </c>
      <c r="I12" s="125" t="s">
        <v>241</v>
      </c>
      <c r="J12" s="192">
        <v>0</v>
      </c>
      <c r="K12" s="15">
        <v>0</v>
      </c>
      <c r="L12" s="195"/>
      <c r="M12" s="235"/>
      <c r="N12" s="179"/>
      <c r="O12" s="180" t="s">
        <v>240</v>
      </c>
      <c r="P12" s="125" t="s">
        <v>241</v>
      </c>
      <c r="Q12" s="192">
        <v>0</v>
      </c>
      <c r="R12" s="15">
        <v>0</v>
      </c>
      <c r="S12" s="195"/>
      <c r="T12" s="235"/>
      <c r="U12" s="184"/>
      <c r="V12" s="180" t="s">
        <v>240</v>
      </c>
      <c r="W12" s="125" t="s">
        <v>241</v>
      </c>
      <c r="X12" s="192">
        <v>0</v>
      </c>
      <c r="Y12" s="15">
        <v>0</v>
      </c>
      <c r="Z12" s="195"/>
      <c r="AA12" s="235"/>
      <c r="AB12" s="183"/>
      <c r="AC12" s="180" t="s">
        <v>240</v>
      </c>
      <c r="AD12" s="125" t="s">
        <v>241</v>
      </c>
      <c r="AE12" s="192">
        <v>0</v>
      </c>
      <c r="AF12" s="15">
        <v>0</v>
      </c>
      <c r="AG12" s="195"/>
      <c r="AH12" s="235"/>
      <c r="AI12" s="367"/>
      <c r="AJ12" s="180" t="s">
        <v>240</v>
      </c>
      <c r="AK12" s="125" t="s">
        <v>241</v>
      </c>
      <c r="AL12" s="192">
        <v>0</v>
      </c>
      <c r="AM12" s="15">
        <v>0</v>
      </c>
      <c r="AN12" s="195"/>
      <c r="AO12" s="235"/>
      <c r="AP12" s="179"/>
      <c r="AQ12" s="180" t="s">
        <v>240</v>
      </c>
      <c r="AR12" s="125" t="s">
        <v>241</v>
      </c>
      <c r="AS12" s="193">
        <v>0</v>
      </c>
      <c r="AT12" s="191">
        <v>0</v>
      </c>
      <c r="AU12" s="195"/>
      <c r="AV12" s="234"/>
      <c r="AW12" s="184"/>
      <c r="AX12" s="180" t="s">
        <v>240</v>
      </c>
      <c r="AY12" s="125" t="s">
        <v>241</v>
      </c>
      <c r="AZ12" s="192">
        <v>0</v>
      </c>
      <c r="BA12" s="15">
        <v>0</v>
      </c>
      <c r="BB12" s="195"/>
      <c r="BC12" s="202"/>
    </row>
    <row r="13" spans="1:56" s="10" customFormat="1" ht="21" customHeight="1">
      <c r="A13" s="180" t="s">
        <v>242</v>
      </c>
      <c r="B13" s="125" t="s">
        <v>243</v>
      </c>
      <c r="C13" s="191">
        <v>6118184.7999999989</v>
      </c>
      <c r="D13" s="191">
        <f t="shared" si="8"/>
        <v>1993550.1199999999</v>
      </c>
      <c r="E13" s="195">
        <f t="shared" ref="E13:E52" si="10">D13/C13</f>
        <v>0.32584012826810987</v>
      </c>
      <c r="F13" s="234">
        <f t="shared" si="9"/>
        <v>3168412.3074999996</v>
      </c>
      <c r="G13" s="179"/>
      <c r="H13" s="180" t="s">
        <v>242</v>
      </c>
      <c r="I13" s="125" t="s">
        <v>243</v>
      </c>
      <c r="J13" s="192">
        <v>511753.22213983932</v>
      </c>
      <c r="K13" s="15">
        <v>323978.67281220906</v>
      </c>
      <c r="L13" s="195">
        <f t="shared" ref="L13:L50" si="11">K13/J13</f>
        <v>0.63307598036711554</v>
      </c>
      <c r="M13" s="235">
        <v>511892.24</v>
      </c>
      <c r="N13" s="179"/>
      <c r="O13" s="180" t="s">
        <v>242</v>
      </c>
      <c r="P13" s="125" t="s">
        <v>243</v>
      </c>
      <c r="Q13" s="192">
        <v>342790.15701773862</v>
      </c>
      <c r="R13" s="15">
        <v>155154.92680586921</v>
      </c>
      <c r="S13" s="195">
        <f t="shared" ref="S13:S51" si="12">R13/Q13</f>
        <v>0.45262363469158856</v>
      </c>
      <c r="T13" s="235">
        <v>284796.99</v>
      </c>
      <c r="U13" s="184"/>
      <c r="V13" s="180" t="s">
        <v>242</v>
      </c>
      <c r="W13" s="125" t="s">
        <v>243</v>
      </c>
      <c r="X13" s="192">
        <v>1990124.0427509211</v>
      </c>
      <c r="Y13" s="15">
        <v>575229.19964731217</v>
      </c>
      <c r="Z13" s="195">
        <f t="shared" ref="Z13:Z52" si="13">Y13/X13</f>
        <v>0.28904188246084439</v>
      </c>
      <c r="AA13" s="235">
        <v>1103495.69</v>
      </c>
      <c r="AB13" s="183"/>
      <c r="AC13" s="180" t="s">
        <v>242</v>
      </c>
      <c r="AD13" s="125" t="s">
        <v>243</v>
      </c>
      <c r="AE13" s="192">
        <v>1129872.1477009507</v>
      </c>
      <c r="AF13" s="15">
        <v>276308.34161902138</v>
      </c>
      <c r="AG13" s="195">
        <f t="shared" ref="AG13:AG52" si="14">AF13/AE13</f>
        <v>0.24454832538464641</v>
      </c>
      <c r="AH13" s="235">
        <f>[3]DIHU!$L$94</f>
        <v>202309.90999999997</v>
      </c>
      <c r="AI13" s="367"/>
      <c r="AJ13" s="180" t="s">
        <v>242</v>
      </c>
      <c r="AK13" s="125" t="s">
        <v>243</v>
      </c>
      <c r="AL13" s="192">
        <v>876638.09806690167</v>
      </c>
      <c r="AM13" s="15">
        <v>231076.31832137128</v>
      </c>
      <c r="AN13" s="195">
        <f t="shared" ref="AN13:AN52" si="15">AM13/AL13</f>
        <v>0.26359374390746182</v>
      </c>
      <c r="AO13" s="235">
        <f>[3]HIDRO!$L$94</f>
        <v>387826.65749999997</v>
      </c>
      <c r="AP13" s="179"/>
      <c r="AQ13" s="180" t="s">
        <v>242</v>
      </c>
      <c r="AR13" s="125" t="s">
        <v>243</v>
      </c>
      <c r="AS13" s="193">
        <v>773875.0172481233</v>
      </c>
      <c r="AT13" s="191">
        <v>245847.70514094213</v>
      </c>
      <c r="AU13" s="195">
        <f t="shared" ref="AU13:AU52" si="16">AT13/AS13</f>
        <v>0.31768399245548629</v>
      </c>
      <c r="AV13" s="234">
        <v>389979.61</v>
      </c>
      <c r="AW13" s="184"/>
      <c r="AX13" s="180" t="s">
        <v>242</v>
      </c>
      <c r="AY13" s="125" t="s">
        <v>243</v>
      </c>
      <c r="AZ13" s="192">
        <v>493132.11507552495</v>
      </c>
      <c r="BA13" s="15">
        <v>185954.95565327475</v>
      </c>
      <c r="BB13" s="195">
        <f t="shared" ref="BB13:BB51" si="17">BA13/AZ13</f>
        <v>0.37708952625159098</v>
      </c>
      <c r="BC13" s="202">
        <f>[3]COSTOS!$L$94</f>
        <v>288111.20999999996</v>
      </c>
    </row>
    <row r="14" spans="1:56" s="10" customFormat="1" ht="21" customHeight="1">
      <c r="A14" s="180" t="s">
        <v>400</v>
      </c>
      <c r="B14" s="125" t="s">
        <v>401</v>
      </c>
      <c r="C14" s="191">
        <v>0</v>
      </c>
      <c r="D14" s="191">
        <f t="shared" si="8"/>
        <v>0</v>
      </c>
      <c r="E14" s="195"/>
      <c r="F14" s="234">
        <f t="shared" si="9"/>
        <v>0</v>
      </c>
      <c r="G14" s="179"/>
      <c r="H14" s="180" t="s">
        <v>400</v>
      </c>
      <c r="I14" s="125" t="s">
        <v>401</v>
      </c>
      <c r="J14" s="192">
        <v>0</v>
      </c>
      <c r="K14" s="15">
        <v>0</v>
      </c>
      <c r="L14" s="195"/>
      <c r="M14" s="235"/>
      <c r="N14" s="179"/>
      <c r="O14" s="180" t="s">
        <v>400</v>
      </c>
      <c r="P14" s="125" t="s">
        <v>401</v>
      </c>
      <c r="Q14" s="192">
        <v>0</v>
      </c>
      <c r="R14" s="15">
        <v>0</v>
      </c>
      <c r="S14" s="195"/>
      <c r="T14" s="235"/>
      <c r="U14" s="184"/>
      <c r="V14" s="180" t="s">
        <v>400</v>
      </c>
      <c r="W14" s="125" t="s">
        <v>401</v>
      </c>
      <c r="X14" s="192">
        <v>0</v>
      </c>
      <c r="Y14" s="15">
        <v>0</v>
      </c>
      <c r="Z14" s="195"/>
      <c r="AA14" s="235"/>
      <c r="AB14" s="183"/>
      <c r="AC14" s="180" t="s">
        <v>400</v>
      </c>
      <c r="AD14" s="125" t="s">
        <v>401</v>
      </c>
      <c r="AE14" s="192">
        <v>0</v>
      </c>
      <c r="AF14" s="15">
        <v>0</v>
      </c>
      <c r="AG14" s="195"/>
      <c r="AH14" s="235"/>
      <c r="AI14" s="367"/>
      <c r="AJ14" s="180" t="s">
        <v>400</v>
      </c>
      <c r="AK14" s="125" t="s">
        <v>401</v>
      </c>
      <c r="AL14" s="192">
        <v>0</v>
      </c>
      <c r="AM14" s="15">
        <v>0</v>
      </c>
      <c r="AN14" s="195"/>
      <c r="AO14" s="235"/>
      <c r="AP14" s="179"/>
      <c r="AQ14" s="180" t="s">
        <v>400</v>
      </c>
      <c r="AR14" s="125" t="s">
        <v>401</v>
      </c>
      <c r="AS14" s="193">
        <v>0</v>
      </c>
      <c r="AT14" s="191">
        <v>0</v>
      </c>
      <c r="AU14" s="195"/>
      <c r="AV14" s="234"/>
      <c r="AW14" s="184"/>
      <c r="AX14" s="180" t="s">
        <v>400</v>
      </c>
      <c r="AY14" s="125" t="s">
        <v>401</v>
      </c>
      <c r="AZ14" s="192">
        <v>0</v>
      </c>
      <c r="BA14" s="15">
        <v>0</v>
      </c>
      <c r="BB14" s="195"/>
      <c r="BC14" s="202"/>
    </row>
    <row r="15" spans="1:56" s="10" customFormat="1" ht="21" customHeight="1">
      <c r="A15" s="180" t="s">
        <v>402</v>
      </c>
      <c r="B15" s="125" t="s">
        <v>403</v>
      </c>
      <c r="C15" s="191">
        <v>0</v>
      </c>
      <c r="D15" s="191">
        <f t="shared" si="8"/>
        <v>0</v>
      </c>
      <c r="E15" s="195"/>
      <c r="F15" s="234">
        <f t="shared" si="9"/>
        <v>0</v>
      </c>
      <c r="G15" s="179"/>
      <c r="H15" s="180" t="s">
        <v>402</v>
      </c>
      <c r="I15" s="125" t="s">
        <v>403</v>
      </c>
      <c r="J15" s="192">
        <v>0</v>
      </c>
      <c r="K15" s="15">
        <v>0</v>
      </c>
      <c r="L15" s="195"/>
      <c r="M15" s="235"/>
      <c r="N15" s="179"/>
      <c r="O15" s="180" t="s">
        <v>402</v>
      </c>
      <c r="P15" s="125" t="s">
        <v>403</v>
      </c>
      <c r="Q15" s="192">
        <v>0</v>
      </c>
      <c r="R15" s="15">
        <v>0</v>
      </c>
      <c r="S15" s="195"/>
      <c r="T15" s="235"/>
      <c r="U15" s="183"/>
      <c r="V15" s="180" t="s">
        <v>402</v>
      </c>
      <c r="W15" s="125" t="s">
        <v>403</v>
      </c>
      <c r="X15" s="192">
        <v>0</v>
      </c>
      <c r="Y15" s="15">
        <v>0</v>
      </c>
      <c r="Z15" s="195"/>
      <c r="AA15" s="235"/>
      <c r="AB15" s="183"/>
      <c r="AC15" s="180" t="s">
        <v>402</v>
      </c>
      <c r="AD15" s="125" t="s">
        <v>403</v>
      </c>
      <c r="AE15" s="192">
        <v>0</v>
      </c>
      <c r="AF15" s="15">
        <v>0</v>
      </c>
      <c r="AG15" s="195"/>
      <c r="AH15" s="235"/>
      <c r="AI15" s="367"/>
      <c r="AJ15" s="180" t="s">
        <v>402</v>
      </c>
      <c r="AK15" s="125" t="s">
        <v>403</v>
      </c>
      <c r="AL15" s="192">
        <v>0</v>
      </c>
      <c r="AM15" s="15">
        <v>0</v>
      </c>
      <c r="AN15" s="195"/>
      <c r="AO15" s="235"/>
      <c r="AP15" s="179"/>
      <c r="AQ15" s="180" t="s">
        <v>402</v>
      </c>
      <c r="AR15" s="125" t="s">
        <v>403</v>
      </c>
      <c r="AS15" s="193">
        <v>0</v>
      </c>
      <c r="AT15" s="191">
        <v>0</v>
      </c>
      <c r="AU15" s="195"/>
      <c r="AV15" s="234"/>
      <c r="AW15" s="185"/>
      <c r="AX15" s="180" t="s">
        <v>402</v>
      </c>
      <c r="AY15" s="125" t="s">
        <v>403</v>
      </c>
      <c r="AZ15" s="192">
        <v>0</v>
      </c>
      <c r="BA15" s="15">
        <v>0</v>
      </c>
      <c r="BB15" s="195"/>
      <c r="BC15" s="202"/>
    </row>
    <row r="16" spans="1:56" s="10" customFormat="1" ht="21" customHeight="1">
      <c r="A16" s="180" t="s">
        <v>244</v>
      </c>
      <c r="B16" s="125" t="s">
        <v>245</v>
      </c>
      <c r="C16" s="191">
        <v>0</v>
      </c>
      <c r="D16" s="191">
        <f t="shared" si="8"/>
        <v>0</v>
      </c>
      <c r="E16" s="195"/>
      <c r="F16" s="234">
        <f t="shared" si="9"/>
        <v>0</v>
      </c>
      <c r="G16" s="179"/>
      <c r="H16" s="180" t="s">
        <v>244</v>
      </c>
      <c r="I16" s="125" t="s">
        <v>245</v>
      </c>
      <c r="J16" s="192">
        <v>0</v>
      </c>
      <c r="K16" s="15">
        <v>0</v>
      </c>
      <c r="L16" s="195"/>
      <c r="M16" s="235"/>
      <c r="N16" s="179"/>
      <c r="O16" s="180" t="s">
        <v>244</v>
      </c>
      <c r="P16" s="125" t="s">
        <v>245</v>
      </c>
      <c r="Q16" s="192">
        <v>0</v>
      </c>
      <c r="R16" s="15">
        <v>0</v>
      </c>
      <c r="S16" s="195"/>
      <c r="T16" s="235"/>
      <c r="U16" s="184"/>
      <c r="V16" s="180" t="s">
        <v>244</v>
      </c>
      <c r="W16" s="125" t="s">
        <v>245</v>
      </c>
      <c r="X16" s="192">
        <v>0</v>
      </c>
      <c r="Y16" s="15">
        <v>0</v>
      </c>
      <c r="Z16" s="195"/>
      <c r="AA16" s="235"/>
      <c r="AB16" s="183"/>
      <c r="AC16" s="180" t="s">
        <v>244</v>
      </c>
      <c r="AD16" s="125" t="s">
        <v>245</v>
      </c>
      <c r="AE16" s="192">
        <v>0</v>
      </c>
      <c r="AF16" s="15">
        <v>0</v>
      </c>
      <c r="AG16" s="195"/>
      <c r="AH16" s="235"/>
      <c r="AI16" s="367"/>
      <c r="AJ16" s="180" t="s">
        <v>244</v>
      </c>
      <c r="AK16" s="125" t="s">
        <v>245</v>
      </c>
      <c r="AL16" s="192">
        <v>0</v>
      </c>
      <c r="AM16" s="15">
        <v>0</v>
      </c>
      <c r="AN16" s="195"/>
      <c r="AO16" s="235"/>
      <c r="AP16" s="179"/>
      <c r="AQ16" s="180" t="s">
        <v>244</v>
      </c>
      <c r="AR16" s="125" t="s">
        <v>245</v>
      </c>
      <c r="AS16" s="193">
        <v>0</v>
      </c>
      <c r="AT16" s="191">
        <v>0</v>
      </c>
      <c r="AU16" s="195"/>
      <c r="AV16" s="234"/>
      <c r="AW16" s="184"/>
      <c r="AX16" s="180" t="s">
        <v>244</v>
      </c>
      <c r="AY16" s="125" t="s">
        <v>245</v>
      </c>
      <c r="AZ16" s="192">
        <v>0</v>
      </c>
      <c r="BA16" s="15">
        <v>0</v>
      </c>
      <c r="BB16" s="195"/>
      <c r="BC16" s="202"/>
    </row>
    <row r="17" spans="1:55" s="10" customFormat="1" ht="21" customHeight="1">
      <c r="A17" s="180" t="s">
        <v>246</v>
      </c>
      <c r="B17" s="125" t="s">
        <v>247</v>
      </c>
      <c r="C17" s="191">
        <v>1385151.93</v>
      </c>
      <c r="D17" s="191">
        <f t="shared" si="8"/>
        <v>1211040.3499999999</v>
      </c>
      <c r="E17" s="195">
        <f t="shared" si="10"/>
        <v>0.87430145659184111</v>
      </c>
      <c r="F17" s="234">
        <f t="shared" si="9"/>
        <v>1679745.6</v>
      </c>
      <c r="G17" s="179"/>
      <c r="H17" s="180" t="s">
        <v>246</v>
      </c>
      <c r="I17" s="125" t="s">
        <v>247</v>
      </c>
      <c r="J17" s="192">
        <v>22255.53</v>
      </c>
      <c r="K17" s="15">
        <v>30642.880000000001</v>
      </c>
      <c r="L17" s="195">
        <f t="shared" si="11"/>
        <v>1.3768658845689139</v>
      </c>
      <c r="M17" s="235">
        <v>42177.120000000003</v>
      </c>
      <c r="N17" s="179"/>
      <c r="O17" s="180" t="s">
        <v>246</v>
      </c>
      <c r="P17" s="125" t="s">
        <v>247</v>
      </c>
      <c r="Q17" s="192">
        <v>39316.639999999999</v>
      </c>
      <c r="R17" s="15">
        <v>27190.679999999997</v>
      </c>
      <c r="S17" s="195">
        <f t="shared" si="12"/>
        <v>0.69158198666010107</v>
      </c>
      <c r="T17" s="235">
        <v>48157.919999999998</v>
      </c>
      <c r="U17" s="184"/>
      <c r="V17" s="180" t="s">
        <v>246</v>
      </c>
      <c r="W17" s="125" t="s">
        <v>247</v>
      </c>
      <c r="X17" s="192">
        <v>456876.72999999992</v>
      </c>
      <c r="Y17" s="15">
        <v>393766.72</v>
      </c>
      <c r="Z17" s="195">
        <f t="shared" si="13"/>
        <v>0.86186643824035436</v>
      </c>
      <c r="AA17" s="235">
        <v>590650.07999999996</v>
      </c>
      <c r="AB17" s="183"/>
      <c r="AC17" s="180" t="s">
        <v>246</v>
      </c>
      <c r="AD17" s="125" t="s">
        <v>247</v>
      </c>
      <c r="AE17" s="192">
        <v>331259.50000000006</v>
      </c>
      <c r="AF17" s="15">
        <v>296760.67</v>
      </c>
      <c r="AG17" s="195">
        <f t="shared" si="14"/>
        <v>0.89585557546274119</v>
      </c>
      <c r="AH17" s="235">
        <v>375895.43999999994</v>
      </c>
      <c r="AI17" s="367"/>
      <c r="AJ17" s="180" t="s">
        <v>246</v>
      </c>
      <c r="AK17" s="125" t="s">
        <v>247</v>
      </c>
      <c r="AL17" s="192">
        <v>217977.26999999996</v>
      </c>
      <c r="AM17" s="15">
        <v>188111.88</v>
      </c>
      <c r="AN17" s="195">
        <f t="shared" si="15"/>
        <v>0.86298851251784203</v>
      </c>
      <c r="AO17" s="235">
        <f>[3]HIDRO!$S$95</f>
        <v>266712</v>
      </c>
      <c r="AP17" s="179"/>
      <c r="AQ17" s="180" t="s">
        <v>246</v>
      </c>
      <c r="AR17" s="125" t="s">
        <v>247</v>
      </c>
      <c r="AS17" s="193">
        <v>185180.09999999998</v>
      </c>
      <c r="AT17" s="191">
        <v>165880.32000000004</v>
      </c>
      <c r="AU17" s="195">
        <f t="shared" si="16"/>
        <v>0.89577832607283425</v>
      </c>
      <c r="AV17" s="234">
        <v>248820.47999999998</v>
      </c>
      <c r="AW17" s="184"/>
      <c r="AX17" s="180" t="s">
        <v>246</v>
      </c>
      <c r="AY17" s="125" t="s">
        <v>247</v>
      </c>
      <c r="AZ17" s="192">
        <v>132286.16</v>
      </c>
      <c r="BA17" s="15">
        <v>108687.19999999998</v>
      </c>
      <c r="BB17" s="195">
        <f t="shared" si="17"/>
        <v>0.82160673497514769</v>
      </c>
      <c r="BC17" s="202">
        <f>[3]COSTOS!$S$95</f>
        <v>107332.56</v>
      </c>
    </row>
    <row r="18" spans="1:55" s="10" customFormat="1" ht="21" customHeight="1">
      <c r="A18" s="180" t="s">
        <v>248</v>
      </c>
      <c r="B18" s="125" t="s">
        <v>249</v>
      </c>
      <c r="C18" s="191">
        <v>128084.25</v>
      </c>
      <c r="D18" s="191">
        <f t="shared" si="8"/>
        <v>86082.75</v>
      </c>
      <c r="E18" s="195">
        <f t="shared" si="10"/>
        <v>0.67207911979810164</v>
      </c>
      <c r="F18" s="234">
        <f t="shared" si="9"/>
        <v>168445.875</v>
      </c>
      <c r="G18" s="179"/>
      <c r="H18" s="180" t="s">
        <v>248</v>
      </c>
      <c r="I18" s="125" t="s">
        <v>249</v>
      </c>
      <c r="J18" s="192">
        <v>7675.65</v>
      </c>
      <c r="K18" s="15">
        <v>4251</v>
      </c>
      <c r="L18" s="195">
        <f t="shared" si="11"/>
        <v>0.55382931738680119</v>
      </c>
      <c r="M18" s="235">
        <v>8502</v>
      </c>
      <c r="N18" s="179"/>
      <c r="O18" s="180" t="s">
        <v>248</v>
      </c>
      <c r="P18" s="125" t="s">
        <v>249</v>
      </c>
      <c r="Q18" s="192">
        <v>4727.25</v>
      </c>
      <c r="R18" s="15">
        <v>2125.5</v>
      </c>
      <c r="S18" s="195">
        <f t="shared" si="12"/>
        <v>0.44962716166904648</v>
      </c>
      <c r="T18" s="235">
        <v>6376.5</v>
      </c>
      <c r="U18" s="184"/>
      <c r="V18" s="180" t="s">
        <v>248</v>
      </c>
      <c r="W18" s="125" t="s">
        <v>249</v>
      </c>
      <c r="X18" s="192">
        <v>44121</v>
      </c>
      <c r="Y18" s="15">
        <v>30819.75</v>
      </c>
      <c r="Z18" s="195">
        <f t="shared" si="13"/>
        <v>0.69852791187869723</v>
      </c>
      <c r="AA18" s="235">
        <v>63765</v>
      </c>
      <c r="AB18" s="183"/>
      <c r="AC18" s="180" t="s">
        <v>248</v>
      </c>
      <c r="AD18" s="125" t="s">
        <v>249</v>
      </c>
      <c r="AE18" s="192">
        <v>24287.85</v>
      </c>
      <c r="AF18" s="15">
        <v>17004</v>
      </c>
      <c r="AG18" s="195">
        <f t="shared" si="14"/>
        <v>0.70010313798874746</v>
      </c>
      <c r="AH18" s="235">
        <f>[3]DIHU!$AH$94</f>
        <v>29757</v>
      </c>
      <c r="AI18" s="367"/>
      <c r="AJ18" s="180" t="s">
        <v>248</v>
      </c>
      <c r="AK18" s="125" t="s">
        <v>249</v>
      </c>
      <c r="AL18" s="192">
        <v>20484.75</v>
      </c>
      <c r="AM18" s="15">
        <v>13815.75</v>
      </c>
      <c r="AN18" s="195">
        <f t="shared" si="15"/>
        <v>0.67444074250356978</v>
      </c>
      <c r="AO18" s="235">
        <f>[3]HIDRO!$AH$94</f>
        <v>26037.375</v>
      </c>
      <c r="AP18" s="179"/>
      <c r="AQ18" s="180" t="s">
        <v>248</v>
      </c>
      <c r="AR18" s="125" t="s">
        <v>249</v>
      </c>
      <c r="AS18" s="193">
        <v>17333.25</v>
      </c>
      <c r="AT18" s="191">
        <v>11690.25</v>
      </c>
      <c r="AU18" s="195">
        <f t="shared" si="16"/>
        <v>0.67444074250356978</v>
      </c>
      <c r="AV18" s="234">
        <v>23380.5</v>
      </c>
      <c r="AW18" s="184"/>
      <c r="AX18" s="180" t="s">
        <v>248</v>
      </c>
      <c r="AY18" s="125" t="s">
        <v>249</v>
      </c>
      <c r="AZ18" s="192">
        <v>9454.5</v>
      </c>
      <c r="BA18" s="15">
        <v>6376.5</v>
      </c>
      <c r="BB18" s="195">
        <f t="shared" si="17"/>
        <v>0.67444074250356978</v>
      </c>
      <c r="BC18" s="202">
        <f>[3]COSTOS!$AH$94</f>
        <v>10627.5</v>
      </c>
    </row>
    <row r="19" spans="1:55" s="10" customFormat="1" ht="21" customHeight="1">
      <c r="A19" s="180" t="s">
        <v>250</v>
      </c>
      <c r="B19" s="125" t="s">
        <v>251</v>
      </c>
      <c r="C19" s="191">
        <v>357008.43000000005</v>
      </c>
      <c r="D19" s="191">
        <f t="shared" si="8"/>
        <v>0</v>
      </c>
      <c r="E19" s="195">
        <f t="shared" si="10"/>
        <v>0</v>
      </c>
      <c r="F19" s="234">
        <f t="shared" si="9"/>
        <v>213071.55000000002</v>
      </c>
      <c r="G19" s="179"/>
      <c r="H19" s="180" t="s">
        <v>250</v>
      </c>
      <c r="I19" s="125" t="s">
        <v>251</v>
      </c>
      <c r="J19" s="192">
        <v>17205.225542168675</v>
      </c>
      <c r="K19" s="15">
        <v>0</v>
      </c>
      <c r="L19" s="195">
        <f t="shared" si="11"/>
        <v>0</v>
      </c>
      <c r="M19" s="235">
        <v>10754.400000000001</v>
      </c>
      <c r="N19" s="179"/>
      <c r="O19" s="180" t="s">
        <v>250</v>
      </c>
      <c r="P19" s="125" t="s">
        <v>251</v>
      </c>
      <c r="Q19" s="192">
        <v>12903.919156626507</v>
      </c>
      <c r="R19" s="15">
        <v>0</v>
      </c>
      <c r="S19" s="195">
        <f t="shared" si="12"/>
        <v>0</v>
      </c>
      <c r="T19" s="235">
        <v>8065.8000000000011</v>
      </c>
      <c r="U19" s="184"/>
      <c r="V19" s="180" t="s">
        <v>250</v>
      </c>
      <c r="W19" s="125" t="s">
        <v>251</v>
      </c>
      <c r="X19" s="192">
        <v>129039.19156626507</v>
      </c>
      <c r="Y19" s="15">
        <v>0</v>
      </c>
      <c r="Z19" s="195">
        <f t="shared" si="13"/>
        <v>0</v>
      </c>
      <c r="AA19" s="235">
        <v>80658.000000000015</v>
      </c>
      <c r="AB19" s="183"/>
      <c r="AC19" s="180" t="s">
        <v>250</v>
      </c>
      <c r="AD19" s="125" t="s">
        <v>251</v>
      </c>
      <c r="AE19" s="192">
        <v>68820.9021686747</v>
      </c>
      <c r="AF19" s="15">
        <v>0</v>
      </c>
      <c r="AG19" s="195">
        <f t="shared" si="14"/>
        <v>0</v>
      </c>
      <c r="AH19" s="235">
        <f>[3]DIHU!$AI$94</f>
        <v>37640.399999999994</v>
      </c>
      <c r="AI19" s="367"/>
      <c r="AJ19" s="180" t="s">
        <v>250</v>
      </c>
      <c r="AK19" s="125" t="s">
        <v>251</v>
      </c>
      <c r="AL19" s="192">
        <v>55916.983012048193</v>
      </c>
      <c r="AM19" s="15">
        <v>0</v>
      </c>
      <c r="AN19" s="195">
        <f t="shared" si="15"/>
        <v>0</v>
      </c>
      <c r="AO19" s="235">
        <f>[3]HIDRO!$AI$94</f>
        <v>32935.35</v>
      </c>
      <c r="AP19" s="179"/>
      <c r="AQ19" s="180" t="s">
        <v>250</v>
      </c>
      <c r="AR19" s="125" t="s">
        <v>251</v>
      </c>
      <c r="AS19" s="193">
        <v>47314.370240963857</v>
      </c>
      <c r="AT19" s="191">
        <v>0</v>
      </c>
      <c r="AU19" s="195">
        <f t="shared" si="16"/>
        <v>0</v>
      </c>
      <c r="AV19" s="234">
        <v>29574.6</v>
      </c>
      <c r="AW19" s="184"/>
      <c r="AX19" s="180" t="s">
        <v>250</v>
      </c>
      <c r="AY19" s="125" t="s">
        <v>251</v>
      </c>
      <c r="AZ19" s="192">
        <v>25807.838313253014</v>
      </c>
      <c r="BA19" s="15">
        <v>0</v>
      </c>
      <c r="BB19" s="195">
        <f t="shared" si="17"/>
        <v>0</v>
      </c>
      <c r="BC19" s="202">
        <f>[3]COSTOS!$AI$94</f>
        <v>13443.000000000002</v>
      </c>
    </row>
    <row r="20" spans="1:55" s="10" customFormat="1" ht="21" customHeight="1">
      <c r="A20" s="180" t="s">
        <v>252</v>
      </c>
      <c r="B20" s="125" t="s">
        <v>253</v>
      </c>
      <c r="C20" s="191">
        <v>0</v>
      </c>
      <c r="D20" s="191">
        <f t="shared" si="8"/>
        <v>0</v>
      </c>
      <c r="E20" s="195"/>
      <c r="F20" s="234">
        <f t="shared" si="9"/>
        <v>0</v>
      </c>
      <c r="G20" s="179"/>
      <c r="H20" s="180" t="s">
        <v>252</v>
      </c>
      <c r="I20" s="125" t="s">
        <v>253</v>
      </c>
      <c r="J20" s="192">
        <v>0</v>
      </c>
      <c r="K20" s="15">
        <v>0</v>
      </c>
      <c r="L20" s="195"/>
      <c r="M20" s="235"/>
      <c r="N20" s="179"/>
      <c r="O20" s="180" t="s">
        <v>252</v>
      </c>
      <c r="P20" s="125" t="s">
        <v>253</v>
      </c>
      <c r="Q20" s="192">
        <v>0</v>
      </c>
      <c r="R20" s="15">
        <v>0</v>
      </c>
      <c r="S20" s="195"/>
      <c r="T20" s="235"/>
      <c r="U20" s="184"/>
      <c r="V20" s="180" t="s">
        <v>252</v>
      </c>
      <c r="W20" s="125" t="s">
        <v>253</v>
      </c>
      <c r="X20" s="192">
        <v>0</v>
      </c>
      <c r="Y20" s="15">
        <v>0</v>
      </c>
      <c r="Z20" s="195"/>
      <c r="AA20" s="235"/>
      <c r="AB20" s="183"/>
      <c r="AC20" s="180" t="s">
        <v>252</v>
      </c>
      <c r="AD20" s="125" t="s">
        <v>253</v>
      </c>
      <c r="AE20" s="192">
        <v>0</v>
      </c>
      <c r="AF20" s="15">
        <v>0</v>
      </c>
      <c r="AG20" s="195"/>
      <c r="AH20" s="235"/>
      <c r="AI20" s="367"/>
      <c r="AJ20" s="180" t="s">
        <v>252</v>
      </c>
      <c r="AK20" s="125" t="s">
        <v>253</v>
      </c>
      <c r="AL20" s="192">
        <v>0</v>
      </c>
      <c r="AM20" s="15">
        <v>0</v>
      </c>
      <c r="AN20" s="195"/>
      <c r="AO20" s="235"/>
      <c r="AP20" s="179"/>
      <c r="AQ20" s="180" t="s">
        <v>252</v>
      </c>
      <c r="AR20" s="125" t="s">
        <v>253</v>
      </c>
      <c r="AS20" s="193">
        <v>0</v>
      </c>
      <c r="AT20" s="191">
        <v>0</v>
      </c>
      <c r="AU20" s="195"/>
      <c r="AV20" s="234"/>
      <c r="AW20" s="184"/>
      <c r="AX20" s="180" t="s">
        <v>252</v>
      </c>
      <c r="AY20" s="125" t="s">
        <v>253</v>
      </c>
      <c r="AZ20" s="192">
        <v>0</v>
      </c>
      <c r="BA20" s="15">
        <v>0</v>
      </c>
      <c r="BB20" s="195"/>
      <c r="BC20" s="202"/>
    </row>
    <row r="21" spans="1:55" s="10" customFormat="1" ht="21" customHeight="1">
      <c r="A21" s="180" t="s">
        <v>254</v>
      </c>
      <c r="B21" s="125" t="s">
        <v>255</v>
      </c>
      <c r="C21" s="191">
        <v>0</v>
      </c>
      <c r="D21" s="191">
        <f t="shared" si="8"/>
        <v>0</v>
      </c>
      <c r="E21" s="195"/>
      <c r="F21" s="234">
        <f t="shared" si="9"/>
        <v>0</v>
      </c>
      <c r="G21" s="179"/>
      <c r="H21" s="180" t="s">
        <v>254</v>
      </c>
      <c r="I21" s="125" t="s">
        <v>255</v>
      </c>
      <c r="J21" s="192">
        <v>0</v>
      </c>
      <c r="K21" s="15">
        <v>0</v>
      </c>
      <c r="L21" s="195"/>
      <c r="M21" s="235"/>
      <c r="N21" s="179"/>
      <c r="O21" s="180" t="s">
        <v>254</v>
      </c>
      <c r="P21" s="125" t="s">
        <v>255</v>
      </c>
      <c r="Q21" s="192">
        <v>0</v>
      </c>
      <c r="R21" s="15">
        <v>0</v>
      </c>
      <c r="S21" s="195"/>
      <c r="T21" s="235"/>
      <c r="U21" s="184"/>
      <c r="V21" s="180" t="s">
        <v>254</v>
      </c>
      <c r="W21" s="125" t="s">
        <v>255</v>
      </c>
      <c r="X21" s="192">
        <v>0</v>
      </c>
      <c r="Y21" s="15">
        <v>0</v>
      </c>
      <c r="Z21" s="195"/>
      <c r="AA21" s="235"/>
      <c r="AB21" s="183"/>
      <c r="AC21" s="180" t="s">
        <v>254</v>
      </c>
      <c r="AD21" s="125" t="s">
        <v>255</v>
      </c>
      <c r="AE21" s="192">
        <v>0</v>
      </c>
      <c r="AF21" s="15">
        <v>0</v>
      </c>
      <c r="AG21" s="195"/>
      <c r="AH21" s="235"/>
      <c r="AI21" s="367"/>
      <c r="AJ21" s="180" t="s">
        <v>254</v>
      </c>
      <c r="AK21" s="125" t="s">
        <v>255</v>
      </c>
      <c r="AL21" s="192">
        <v>0</v>
      </c>
      <c r="AM21" s="15">
        <v>0</v>
      </c>
      <c r="AN21" s="195"/>
      <c r="AO21" s="235"/>
      <c r="AP21" s="179"/>
      <c r="AQ21" s="180" t="s">
        <v>254</v>
      </c>
      <c r="AR21" s="125" t="s">
        <v>255</v>
      </c>
      <c r="AS21" s="193">
        <v>0</v>
      </c>
      <c r="AT21" s="191">
        <v>0</v>
      </c>
      <c r="AU21" s="195"/>
      <c r="AV21" s="234"/>
      <c r="AW21" s="184"/>
      <c r="AX21" s="180" t="s">
        <v>254</v>
      </c>
      <c r="AY21" s="125" t="s">
        <v>255</v>
      </c>
      <c r="AZ21" s="192">
        <v>0</v>
      </c>
      <c r="BA21" s="15">
        <v>0</v>
      </c>
      <c r="BB21" s="195"/>
      <c r="BC21" s="202"/>
    </row>
    <row r="22" spans="1:55" s="10" customFormat="1" ht="21" customHeight="1">
      <c r="A22" s="180" t="s">
        <v>256</v>
      </c>
      <c r="B22" s="125" t="s">
        <v>257</v>
      </c>
      <c r="C22" s="191">
        <v>0</v>
      </c>
      <c r="D22" s="191">
        <f t="shared" si="8"/>
        <v>0</v>
      </c>
      <c r="E22" s="195"/>
      <c r="F22" s="234">
        <f t="shared" si="9"/>
        <v>0</v>
      </c>
      <c r="G22" s="179"/>
      <c r="H22" s="180" t="s">
        <v>256</v>
      </c>
      <c r="I22" s="125" t="s">
        <v>257</v>
      </c>
      <c r="J22" s="192">
        <v>0</v>
      </c>
      <c r="K22" s="15">
        <v>0</v>
      </c>
      <c r="L22" s="195"/>
      <c r="M22" s="235"/>
      <c r="N22" s="179"/>
      <c r="O22" s="180" t="s">
        <v>256</v>
      </c>
      <c r="P22" s="125" t="s">
        <v>257</v>
      </c>
      <c r="Q22" s="192">
        <v>0</v>
      </c>
      <c r="R22" s="15">
        <v>0</v>
      </c>
      <c r="S22" s="195"/>
      <c r="T22" s="235"/>
      <c r="U22" s="184"/>
      <c r="V22" s="180" t="s">
        <v>256</v>
      </c>
      <c r="W22" s="125" t="s">
        <v>257</v>
      </c>
      <c r="X22" s="192">
        <v>0</v>
      </c>
      <c r="Y22" s="15">
        <v>0</v>
      </c>
      <c r="Z22" s="195"/>
      <c r="AA22" s="235"/>
      <c r="AB22" s="183"/>
      <c r="AC22" s="180" t="s">
        <v>256</v>
      </c>
      <c r="AD22" s="125" t="s">
        <v>257</v>
      </c>
      <c r="AE22" s="192">
        <v>0</v>
      </c>
      <c r="AF22" s="15">
        <v>0</v>
      </c>
      <c r="AG22" s="195"/>
      <c r="AH22" s="235"/>
      <c r="AI22" s="367"/>
      <c r="AJ22" s="180" t="s">
        <v>256</v>
      </c>
      <c r="AK22" s="125" t="s">
        <v>257</v>
      </c>
      <c r="AL22" s="192">
        <v>0</v>
      </c>
      <c r="AM22" s="15">
        <v>0</v>
      </c>
      <c r="AN22" s="195"/>
      <c r="AO22" s="235"/>
      <c r="AP22" s="179"/>
      <c r="AQ22" s="180" t="s">
        <v>256</v>
      </c>
      <c r="AR22" s="125" t="s">
        <v>257</v>
      </c>
      <c r="AS22" s="193">
        <v>0</v>
      </c>
      <c r="AT22" s="191">
        <v>0</v>
      </c>
      <c r="AU22" s="195"/>
      <c r="AV22" s="234"/>
      <c r="AW22" s="184"/>
      <c r="AX22" s="180" t="s">
        <v>256</v>
      </c>
      <c r="AY22" s="125" t="s">
        <v>257</v>
      </c>
      <c r="AZ22" s="192">
        <v>0</v>
      </c>
      <c r="BA22" s="15">
        <v>0</v>
      </c>
      <c r="BB22" s="195"/>
      <c r="BC22" s="202"/>
    </row>
    <row r="23" spans="1:55" s="10" customFormat="1" ht="21" customHeight="1">
      <c r="A23" s="180" t="s">
        <v>258</v>
      </c>
      <c r="B23" s="125" t="s">
        <v>259</v>
      </c>
      <c r="C23" s="191">
        <v>0</v>
      </c>
      <c r="D23" s="191">
        <f t="shared" si="8"/>
        <v>0</v>
      </c>
      <c r="E23" s="195"/>
      <c r="F23" s="234">
        <f t="shared" si="9"/>
        <v>0</v>
      </c>
      <c r="G23" s="179"/>
      <c r="H23" s="180" t="s">
        <v>258</v>
      </c>
      <c r="I23" s="125" t="s">
        <v>259</v>
      </c>
      <c r="J23" s="192">
        <v>0</v>
      </c>
      <c r="K23" s="15">
        <v>0</v>
      </c>
      <c r="L23" s="195"/>
      <c r="M23" s="235"/>
      <c r="N23" s="179"/>
      <c r="O23" s="180" t="s">
        <v>258</v>
      </c>
      <c r="P23" s="125" t="s">
        <v>259</v>
      </c>
      <c r="Q23" s="192">
        <v>0</v>
      </c>
      <c r="R23" s="15">
        <v>0</v>
      </c>
      <c r="S23" s="195"/>
      <c r="T23" s="235"/>
      <c r="U23" s="184"/>
      <c r="V23" s="180" t="s">
        <v>258</v>
      </c>
      <c r="W23" s="125" t="s">
        <v>259</v>
      </c>
      <c r="X23" s="192">
        <v>0</v>
      </c>
      <c r="Y23" s="15">
        <v>0</v>
      </c>
      <c r="Z23" s="195"/>
      <c r="AA23" s="235"/>
      <c r="AB23" s="183"/>
      <c r="AC23" s="180" t="s">
        <v>258</v>
      </c>
      <c r="AD23" s="125" t="s">
        <v>259</v>
      </c>
      <c r="AE23" s="192">
        <v>0</v>
      </c>
      <c r="AF23" s="15">
        <v>0</v>
      </c>
      <c r="AG23" s="195"/>
      <c r="AH23" s="235"/>
      <c r="AI23" s="367"/>
      <c r="AJ23" s="180" t="s">
        <v>258</v>
      </c>
      <c r="AK23" s="125" t="s">
        <v>259</v>
      </c>
      <c r="AL23" s="192">
        <v>0</v>
      </c>
      <c r="AM23" s="15">
        <v>0</v>
      </c>
      <c r="AN23" s="195"/>
      <c r="AO23" s="235"/>
      <c r="AP23" s="179"/>
      <c r="AQ23" s="180" t="s">
        <v>258</v>
      </c>
      <c r="AR23" s="125" t="s">
        <v>259</v>
      </c>
      <c r="AS23" s="193">
        <v>0</v>
      </c>
      <c r="AT23" s="191">
        <v>0</v>
      </c>
      <c r="AU23" s="195"/>
      <c r="AV23" s="234"/>
      <c r="AW23" s="184"/>
      <c r="AX23" s="180" t="s">
        <v>258</v>
      </c>
      <c r="AY23" s="125" t="s">
        <v>259</v>
      </c>
      <c r="AZ23" s="192">
        <v>0</v>
      </c>
      <c r="BA23" s="15">
        <v>0</v>
      </c>
      <c r="BB23" s="195"/>
      <c r="BC23" s="202"/>
    </row>
    <row r="24" spans="1:55" s="10" customFormat="1" ht="21" customHeight="1">
      <c r="A24" s="180" t="s">
        <v>260</v>
      </c>
      <c r="B24" s="125" t="s">
        <v>261</v>
      </c>
      <c r="C24" s="191">
        <v>0</v>
      </c>
      <c r="D24" s="191">
        <f t="shared" si="8"/>
        <v>0</v>
      </c>
      <c r="E24" s="195"/>
      <c r="F24" s="234">
        <f t="shared" si="9"/>
        <v>0</v>
      </c>
      <c r="G24" s="179"/>
      <c r="H24" s="180" t="s">
        <v>260</v>
      </c>
      <c r="I24" s="125" t="s">
        <v>261</v>
      </c>
      <c r="J24" s="192">
        <v>0</v>
      </c>
      <c r="K24" s="15">
        <v>0</v>
      </c>
      <c r="L24" s="195"/>
      <c r="M24" s="235"/>
      <c r="N24" s="179"/>
      <c r="O24" s="180" t="s">
        <v>260</v>
      </c>
      <c r="P24" s="125" t="s">
        <v>261</v>
      </c>
      <c r="Q24" s="192">
        <v>0</v>
      </c>
      <c r="R24" s="15">
        <v>0</v>
      </c>
      <c r="S24" s="195"/>
      <c r="T24" s="235"/>
      <c r="U24" s="184"/>
      <c r="V24" s="180" t="s">
        <v>260</v>
      </c>
      <c r="W24" s="125" t="s">
        <v>261</v>
      </c>
      <c r="X24" s="192">
        <v>0</v>
      </c>
      <c r="Y24" s="15">
        <v>0</v>
      </c>
      <c r="Z24" s="195"/>
      <c r="AA24" s="235"/>
      <c r="AB24" s="183"/>
      <c r="AC24" s="180" t="s">
        <v>260</v>
      </c>
      <c r="AD24" s="125" t="s">
        <v>261</v>
      </c>
      <c r="AE24" s="192">
        <v>0</v>
      </c>
      <c r="AF24" s="15">
        <v>0</v>
      </c>
      <c r="AG24" s="195"/>
      <c r="AH24" s="235"/>
      <c r="AI24" s="367"/>
      <c r="AJ24" s="180" t="s">
        <v>260</v>
      </c>
      <c r="AK24" s="125" t="s">
        <v>261</v>
      </c>
      <c r="AL24" s="192">
        <v>0</v>
      </c>
      <c r="AM24" s="15">
        <v>0</v>
      </c>
      <c r="AN24" s="195"/>
      <c r="AO24" s="235"/>
      <c r="AP24" s="179"/>
      <c r="AQ24" s="180" t="s">
        <v>260</v>
      </c>
      <c r="AR24" s="125" t="s">
        <v>261</v>
      </c>
      <c r="AS24" s="193">
        <v>0</v>
      </c>
      <c r="AT24" s="191">
        <v>0</v>
      </c>
      <c r="AU24" s="195"/>
      <c r="AV24" s="234"/>
      <c r="AW24" s="184"/>
      <c r="AX24" s="180" t="s">
        <v>260</v>
      </c>
      <c r="AY24" s="125" t="s">
        <v>261</v>
      </c>
      <c r="AZ24" s="192">
        <v>0</v>
      </c>
      <c r="BA24" s="15">
        <v>0</v>
      </c>
      <c r="BB24" s="195"/>
      <c r="BC24" s="202"/>
    </row>
    <row r="25" spans="1:55" s="10" customFormat="1" ht="21" customHeight="1">
      <c r="A25" s="180" t="s">
        <v>262</v>
      </c>
      <c r="B25" s="125" t="s">
        <v>263</v>
      </c>
      <c r="C25" s="191">
        <v>4480029</v>
      </c>
      <c r="D25" s="191">
        <f t="shared" si="8"/>
        <v>3243693.5599999996</v>
      </c>
      <c r="E25" s="195">
        <f t="shared" si="10"/>
        <v>0.72403405424384526</v>
      </c>
      <c r="F25" s="234">
        <f t="shared" si="9"/>
        <v>4430224.4400000004</v>
      </c>
      <c r="G25" s="179"/>
      <c r="H25" s="180" t="s">
        <v>262</v>
      </c>
      <c r="I25" s="125" t="s">
        <v>263</v>
      </c>
      <c r="J25" s="192">
        <v>255362.53999999998</v>
      </c>
      <c r="K25" s="15">
        <v>204105.60344677494</v>
      </c>
      <c r="L25" s="195">
        <f t="shared" si="11"/>
        <v>0.79927777757369955</v>
      </c>
      <c r="M25" s="235">
        <v>261629.03999999998</v>
      </c>
      <c r="N25" s="179"/>
      <c r="O25" s="180" t="s">
        <v>262</v>
      </c>
      <c r="P25" s="125" t="s">
        <v>263</v>
      </c>
      <c r="Q25" s="192">
        <v>184164</v>
      </c>
      <c r="R25" s="15">
        <v>122796.0962288326</v>
      </c>
      <c r="S25" s="195">
        <f t="shared" si="12"/>
        <v>0.6667757880412708</v>
      </c>
      <c r="T25" s="235">
        <v>186006.96</v>
      </c>
      <c r="U25" s="184"/>
      <c r="V25" s="180" t="s">
        <v>262</v>
      </c>
      <c r="W25" s="125" t="s">
        <v>263</v>
      </c>
      <c r="X25" s="192">
        <v>1519697.6900000002</v>
      </c>
      <c r="Y25" s="15">
        <v>1095352.8538053739</v>
      </c>
      <c r="Z25" s="195">
        <f t="shared" si="13"/>
        <v>0.72077023016687858</v>
      </c>
      <c r="AA25" s="235">
        <v>1606930.8</v>
      </c>
      <c r="AB25" s="183"/>
      <c r="AC25" s="180" t="s">
        <v>262</v>
      </c>
      <c r="AD25" s="125" t="s">
        <v>263</v>
      </c>
      <c r="AE25" s="192">
        <v>871899.1399999999</v>
      </c>
      <c r="AF25" s="15">
        <v>622770.67469882069</v>
      </c>
      <c r="AG25" s="195">
        <f t="shared" si="14"/>
        <v>0.7142691695954887</v>
      </c>
      <c r="AH25" s="235">
        <f>[3]DIHU!$Y$94</f>
        <v>753380.4</v>
      </c>
      <c r="AI25" s="367"/>
      <c r="AJ25" s="180" t="s">
        <v>262</v>
      </c>
      <c r="AK25" s="125" t="s">
        <v>263</v>
      </c>
      <c r="AL25" s="192">
        <v>723822.72999999975</v>
      </c>
      <c r="AM25" s="15">
        <v>534879.50988594815</v>
      </c>
      <c r="AN25" s="195">
        <f t="shared" si="15"/>
        <v>0.73896478753292028</v>
      </c>
      <c r="AO25" s="235">
        <f>[3]HIDRO!$Y$94</f>
        <v>733576.44000000006</v>
      </c>
      <c r="AP25" s="179"/>
      <c r="AQ25" s="180" t="s">
        <v>262</v>
      </c>
      <c r="AR25" s="125" t="s">
        <v>263</v>
      </c>
      <c r="AS25" s="193">
        <v>572837.62000000011</v>
      </c>
      <c r="AT25" s="191">
        <v>409557.09831707948</v>
      </c>
      <c r="AU25" s="195">
        <f t="shared" si="16"/>
        <v>0.71496194387002621</v>
      </c>
      <c r="AV25" s="234">
        <v>592426.07999999996</v>
      </c>
      <c r="AW25" s="184"/>
      <c r="AX25" s="180" t="s">
        <v>262</v>
      </c>
      <c r="AY25" s="125" t="s">
        <v>263</v>
      </c>
      <c r="AZ25" s="192">
        <v>352245.27999999997</v>
      </c>
      <c r="BA25" s="15">
        <v>254231.72361717015</v>
      </c>
      <c r="BB25" s="195">
        <f t="shared" si="17"/>
        <v>0.72174628888475145</v>
      </c>
      <c r="BC25" s="202">
        <f>[3]COSTOS!$Y$94</f>
        <v>296274.71999999997</v>
      </c>
    </row>
    <row r="26" spans="1:55" s="10" customFormat="1" ht="21" customHeight="1">
      <c r="A26" s="180" t="s">
        <v>264</v>
      </c>
      <c r="B26" s="125" t="s">
        <v>265</v>
      </c>
      <c r="C26" s="191">
        <v>10939340.100000001</v>
      </c>
      <c r="D26" s="191">
        <f t="shared" si="8"/>
        <v>7567381.9399999995</v>
      </c>
      <c r="E26" s="195">
        <f t="shared" si="10"/>
        <v>0.69175854035290474</v>
      </c>
      <c r="F26" s="234">
        <f t="shared" si="9"/>
        <v>10382674.380000001</v>
      </c>
      <c r="G26" s="179"/>
      <c r="H26" s="180" t="s">
        <v>264</v>
      </c>
      <c r="I26" s="125" t="s">
        <v>265</v>
      </c>
      <c r="J26" s="192">
        <v>640096.86999999988</v>
      </c>
      <c r="K26" s="15">
        <v>501216.67000000004</v>
      </c>
      <c r="L26" s="195">
        <f t="shared" si="11"/>
        <v>0.78303252756102393</v>
      </c>
      <c r="M26" s="235">
        <v>664907.5199999999</v>
      </c>
      <c r="N26" s="179"/>
      <c r="O26" s="180" t="s">
        <v>264</v>
      </c>
      <c r="P26" s="125" t="s">
        <v>265</v>
      </c>
      <c r="Q26" s="192">
        <v>524151.3600000001</v>
      </c>
      <c r="R26" s="15">
        <v>321683.36</v>
      </c>
      <c r="S26" s="195">
        <f t="shared" si="12"/>
        <v>0.6137222652632246</v>
      </c>
      <c r="T26" s="235">
        <v>476774.39999999991</v>
      </c>
      <c r="U26" s="184"/>
      <c r="V26" s="180" t="s">
        <v>264</v>
      </c>
      <c r="W26" s="125" t="s">
        <v>265</v>
      </c>
      <c r="X26" s="192">
        <v>3738632.9700000007</v>
      </c>
      <c r="Y26" s="15">
        <v>2568641.5399999996</v>
      </c>
      <c r="Z26" s="195">
        <f t="shared" si="13"/>
        <v>0.68705367994441002</v>
      </c>
      <c r="AA26" s="235">
        <v>3792341.9999999995</v>
      </c>
      <c r="AB26" s="183"/>
      <c r="AC26" s="180" t="s">
        <v>264</v>
      </c>
      <c r="AD26" s="125" t="s">
        <v>265</v>
      </c>
      <c r="AE26" s="192">
        <v>2022179.6400000001</v>
      </c>
      <c r="AF26" s="15">
        <v>1411789.91</v>
      </c>
      <c r="AG26" s="195">
        <f t="shared" si="14"/>
        <v>0.69815256868079234</v>
      </c>
      <c r="AH26" s="235">
        <f>[3]DIHU!$AJ$94</f>
        <v>1703994</v>
      </c>
      <c r="AI26" s="367"/>
      <c r="AJ26" s="180" t="s">
        <v>264</v>
      </c>
      <c r="AK26" s="125" t="s">
        <v>265</v>
      </c>
      <c r="AL26" s="192">
        <v>1782955.7799999998</v>
      </c>
      <c r="AM26" s="15">
        <v>1223828.22</v>
      </c>
      <c r="AN26" s="195">
        <f t="shared" si="15"/>
        <v>0.68640413504815023</v>
      </c>
      <c r="AO26" s="235">
        <f>[3]HIDRO!$AJ$94</f>
        <v>1682289.9</v>
      </c>
      <c r="AP26" s="179"/>
      <c r="AQ26" s="180" t="s">
        <v>264</v>
      </c>
      <c r="AR26" s="125" t="s">
        <v>265</v>
      </c>
      <c r="AS26" s="193">
        <v>1365202.2900000005</v>
      </c>
      <c r="AT26" s="191">
        <v>949339.84</v>
      </c>
      <c r="AU26" s="195">
        <f t="shared" si="16"/>
        <v>0.69538400788940924</v>
      </c>
      <c r="AV26" s="234">
        <v>1372937.7599999998</v>
      </c>
      <c r="AW26" s="184"/>
      <c r="AX26" s="180" t="s">
        <v>264</v>
      </c>
      <c r="AY26" s="125" t="s">
        <v>265</v>
      </c>
      <c r="AZ26" s="192">
        <v>866121.19</v>
      </c>
      <c r="BA26" s="15">
        <v>590882.4</v>
      </c>
      <c r="BB26" s="195">
        <f t="shared" si="17"/>
        <v>0.68221676922602492</v>
      </c>
      <c r="BC26" s="202">
        <f>[3]COSTOS!$AJ$94</f>
        <v>689428.8</v>
      </c>
    </row>
    <row r="27" spans="1:55" s="10" customFormat="1" ht="21" customHeight="1">
      <c r="A27" s="180" t="s">
        <v>266</v>
      </c>
      <c r="B27" s="125" t="s">
        <v>267</v>
      </c>
      <c r="C27" s="191">
        <v>482133.89999999991</v>
      </c>
      <c r="D27" s="191">
        <f t="shared" si="8"/>
        <v>312440.56000000006</v>
      </c>
      <c r="E27" s="195">
        <f t="shared" si="10"/>
        <v>0.64803690427078475</v>
      </c>
      <c r="F27" s="234">
        <f t="shared" si="9"/>
        <v>490721.76</v>
      </c>
      <c r="G27" s="179"/>
      <c r="H27" s="180" t="s">
        <v>266</v>
      </c>
      <c r="I27" s="125" t="s">
        <v>267</v>
      </c>
      <c r="J27" s="192">
        <v>0</v>
      </c>
      <c r="K27" s="15">
        <v>0</v>
      </c>
      <c r="L27" s="195"/>
      <c r="M27" s="235"/>
      <c r="N27" s="179"/>
      <c r="O27" s="180" t="s">
        <v>266</v>
      </c>
      <c r="P27" s="125" t="s">
        <v>267</v>
      </c>
      <c r="Q27" s="192">
        <v>0</v>
      </c>
      <c r="R27" s="15">
        <v>0</v>
      </c>
      <c r="S27" s="195"/>
      <c r="T27" s="235"/>
      <c r="U27" s="184"/>
      <c r="V27" s="180" t="s">
        <v>266</v>
      </c>
      <c r="W27" s="125" t="s">
        <v>267</v>
      </c>
      <c r="X27" s="192">
        <v>482133.89999999991</v>
      </c>
      <c r="Y27" s="15">
        <v>312440.56000000006</v>
      </c>
      <c r="Z27" s="195">
        <f t="shared" si="13"/>
        <v>0.64803690427078475</v>
      </c>
      <c r="AA27" s="235">
        <v>490721.76</v>
      </c>
      <c r="AB27" s="183"/>
      <c r="AC27" s="180" t="s">
        <v>266</v>
      </c>
      <c r="AD27" s="125" t="s">
        <v>267</v>
      </c>
      <c r="AE27" s="192">
        <v>0</v>
      </c>
      <c r="AF27" s="15">
        <v>0</v>
      </c>
      <c r="AG27" s="195"/>
      <c r="AH27" s="235"/>
      <c r="AI27" s="367"/>
      <c r="AJ27" s="180" t="s">
        <v>266</v>
      </c>
      <c r="AK27" s="125" t="s">
        <v>267</v>
      </c>
      <c r="AL27" s="192">
        <v>0</v>
      </c>
      <c r="AM27" s="15">
        <v>0</v>
      </c>
      <c r="AN27" s="195"/>
      <c r="AO27" s="235"/>
      <c r="AP27" s="179"/>
      <c r="AQ27" s="180" t="s">
        <v>266</v>
      </c>
      <c r="AR27" s="125" t="s">
        <v>267</v>
      </c>
      <c r="AS27" s="193">
        <v>0</v>
      </c>
      <c r="AT27" s="191">
        <v>0</v>
      </c>
      <c r="AU27" s="195"/>
      <c r="AV27" s="234"/>
      <c r="AW27" s="184"/>
      <c r="AX27" s="180" t="s">
        <v>266</v>
      </c>
      <c r="AY27" s="125" t="s">
        <v>267</v>
      </c>
      <c r="AZ27" s="192">
        <v>0</v>
      </c>
      <c r="BA27" s="15">
        <v>0</v>
      </c>
      <c r="BB27" s="195"/>
      <c r="BC27" s="202"/>
    </row>
    <row r="28" spans="1:55" s="10" customFormat="1" ht="21" customHeight="1">
      <c r="A28" s="180" t="s">
        <v>268</v>
      </c>
      <c r="B28" s="125" t="s">
        <v>269</v>
      </c>
      <c r="C28" s="191">
        <v>20889</v>
      </c>
      <c r="D28" s="191">
        <f t="shared" si="8"/>
        <v>14003</v>
      </c>
      <c r="E28" s="195">
        <f t="shared" si="10"/>
        <v>0.6703528172722486</v>
      </c>
      <c r="F28" s="234">
        <f t="shared" si="9"/>
        <v>20130</v>
      </c>
      <c r="G28" s="179"/>
      <c r="H28" s="180" t="s">
        <v>268</v>
      </c>
      <c r="I28" s="125" t="s">
        <v>269</v>
      </c>
      <c r="J28" s="192">
        <v>1056.3682008368201</v>
      </c>
      <c r="K28" s="15">
        <v>704</v>
      </c>
      <c r="L28" s="195">
        <f t="shared" si="11"/>
        <v>0.66643429766469153</v>
      </c>
      <c r="M28" s="235">
        <v>1056</v>
      </c>
      <c r="N28" s="179"/>
      <c r="O28" s="180" t="s">
        <v>268</v>
      </c>
      <c r="P28" s="125" t="s">
        <v>269</v>
      </c>
      <c r="Q28" s="192">
        <v>792.27615062761504</v>
      </c>
      <c r="R28" s="15">
        <v>495</v>
      </c>
      <c r="S28" s="195">
        <f t="shared" si="12"/>
        <v>0.6247821540606483</v>
      </c>
      <c r="T28" s="235">
        <v>792</v>
      </c>
      <c r="U28" s="184"/>
      <c r="V28" s="180" t="s">
        <v>268</v>
      </c>
      <c r="W28" s="125" t="s">
        <v>269</v>
      </c>
      <c r="X28" s="192">
        <v>6947.121338912134</v>
      </c>
      <c r="Y28" s="15">
        <v>4708</v>
      </c>
      <c r="Z28" s="195">
        <f t="shared" si="13"/>
        <v>0.67769076863960986</v>
      </c>
      <c r="AA28" s="235">
        <v>7128</v>
      </c>
      <c r="AB28" s="183"/>
      <c r="AC28" s="180" t="s">
        <v>268</v>
      </c>
      <c r="AD28" s="125" t="s">
        <v>269</v>
      </c>
      <c r="AE28" s="192">
        <v>4170.4728033472802</v>
      </c>
      <c r="AF28" s="15">
        <v>2816</v>
      </c>
      <c r="AG28" s="195">
        <f t="shared" si="14"/>
        <v>0.67522320196881247</v>
      </c>
      <c r="AH28" s="235">
        <f>[3]DIHU!$AM$94</f>
        <v>3696</v>
      </c>
      <c r="AI28" s="367"/>
      <c r="AJ28" s="180" t="s">
        <v>268</v>
      </c>
      <c r="AK28" s="125" t="s">
        <v>269</v>
      </c>
      <c r="AL28" s="192">
        <v>3433.1966527196655</v>
      </c>
      <c r="AM28" s="15">
        <v>2288</v>
      </c>
      <c r="AN28" s="195">
        <f t="shared" si="15"/>
        <v>0.66643429766469153</v>
      </c>
      <c r="AO28" s="235">
        <f>[3]HIDRO!$AM$94</f>
        <v>3234</v>
      </c>
      <c r="AP28" s="179"/>
      <c r="AQ28" s="180" t="s">
        <v>268</v>
      </c>
      <c r="AR28" s="125" t="s">
        <v>269</v>
      </c>
      <c r="AS28" s="193">
        <v>2905.0125523012553</v>
      </c>
      <c r="AT28" s="191">
        <v>1936</v>
      </c>
      <c r="AU28" s="195">
        <f t="shared" si="16"/>
        <v>0.66643429766469153</v>
      </c>
      <c r="AV28" s="234">
        <v>2904</v>
      </c>
      <c r="AW28" s="184"/>
      <c r="AX28" s="180" t="s">
        <v>268</v>
      </c>
      <c r="AY28" s="125" t="s">
        <v>269</v>
      </c>
      <c r="AZ28" s="192">
        <v>1584.5523012552301</v>
      </c>
      <c r="BA28" s="15">
        <v>1056</v>
      </c>
      <c r="BB28" s="195">
        <f t="shared" si="17"/>
        <v>0.66643429766469153</v>
      </c>
      <c r="BC28" s="202">
        <f>[3]COSTOS!$AM$94</f>
        <v>1320</v>
      </c>
    </row>
    <row r="29" spans="1:55" s="10" customFormat="1" ht="21" customHeight="1">
      <c r="A29" s="180" t="s">
        <v>270</v>
      </c>
      <c r="B29" s="125" t="s">
        <v>271</v>
      </c>
      <c r="C29" s="191">
        <v>801763.8</v>
      </c>
      <c r="D29" s="191">
        <f t="shared" si="8"/>
        <v>616431.26</v>
      </c>
      <c r="E29" s="195">
        <f t="shared" si="10"/>
        <v>0.76884396626537643</v>
      </c>
      <c r="F29" s="234">
        <f t="shared" si="9"/>
        <v>642000</v>
      </c>
      <c r="G29" s="179"/>
      <c r="H29" s="180" t="s">
        <v>270</v>
      </c>
      <c r="I29" s="125" t="s">
        <v>271</v>
      </c>
      <c r="J29" s="192">
        <v>0</v>
      </c>
      <c r="K29" s="15">
        <v>0</v>
      </c>
      <c r="L29" s="195"/>
      <c r="M29" s="235"/>
      <c r="N29" s="179"/>
      <c r="O29" s="180" t="s">
        <v>270</v>
      </c>
      <c r="P29" s="125" t="s">
        <v>271</v>
      </c>
      <c r="Q29" s="192">
        <v>0</v>
      </c>
      <c r="R29" s="15">
        <v>0</v>
      </c>
      <c r="S29" s="195"/>
      <c r="T29" s="235"/>
      <c r="U29" s="184"/>
      <c r="V29" s="180" t="s">
        <v>270</v>
      </c>
      <c r="W29" s="125" t="s">
        <v>271</v>
      </c>
      <c r="X29" s="192">
        <v>801763.8</v>
      </c>
      <c r="Y29" s="15">
        <v>616431.26</v>
      </c>
      <c r="Z29" s="195">
        <f t="shared" si="13"/>
        <v>0.76884396626537643</v>
      </c>
      <c r="AA29" s="235">
        <v>642000</v>
      </c>
      <c r="AB29" s="183"/>
      <c r="AC29" s="180" t="s">
        <v>270</v>
      </c>
      <c r="AD29" s="125" t="s">
        <v>271</v>
      </c>
      <c r="AE29" s="192">
        <v>0</v>
      </c>
      <c r="AF29" s="15">
        <v>0</v>
      </c>
      <c r="AG29" s="195"/>
      <c r="AH29" s="235"/>
      <c r="AI29" s="367"/>
      <c r="AJ29" s="180" t="s">
        <v>270</v>
      </c>
      <c r="AK29" s="125" t="s">
        <v>271</v>
      </c>
      <c r="AL29" s="192">
        <v>0</v>
      </c>
      <c r="AM29" s="15">
        <v>0</v>
      </c>
      <c r="AN29" s="195"/>
      <c r="AO29" s="235"/>
      <c r="AP29" s="179"/>
      <c r="AQ29" s="180" t="s">
        <v>270</v>
      </c>
      <c r="AR29" s="125" t="s">
        <v>271</v>
      </c>
      <c r="AS29" s="193">
        <v>0</v>
      </c>
      <c r="AT29" s="191">
        <v>0</v>
      </c>
      <c r="AU29" s="195"/>
      <c r="AV29" s="234"/>
      <c r="AW29" s="184"/>
      <c r="AX29" s="180" t="s">
        <v>270</v>
      </c>
      <c r="AY29" s="125" t="s">
        <v>271</v>
      </c>
      <c r="AZ29" s="192">
        <v>0</v>
      </c>
      <c r="BA29" s="15">
        <v>0</v>
      </c>
      <c r="BB29" s="195"/>
      <c r="BC29" s="202"/>
    </row>
    <row r="30" spans="1:55" s="10" customFormat="1" ht="21" customHeight="1">
      <c r="A30" s="180" t="s">
        <v>272</v>
      </c>
      <c r="B30" s="125" t="s">
        <v>273</v>
      </c>
      <c r="C30" s="191">
        <v>4212</v>
      </c>
      <c r="D30" s="191">
        <f t="shared" si="8"/>
        <v>2808</v>
      </c>
      <c r="E30" s="195">
        <f t="shared" si="10"/>
        <v>0.66666666666666663</v>
      </c>
      <c r="F30" s="234">
        <f t="shared" si="9"/>
        <v>3766.5</v>
      </c>
      <c r="G30" s="179"/>
      <c r="H30" s="180" t="s">
        <v>272</v>
      </c>
      <c r="I30" s="125" t="s">
        <v>273</v>
      </c>
      <c r="J30" s="192">
        <v>0</v>
      </c>
      <c r="K30" s="15">
        <v>0</v>
      </c>
      <c r="L30" s="195"/>
      <c r="M30" s="235"/>
      <c r="N30" s="179"/>
      <c r="O30" s="180" t="s">
        <v>272</v>
      </c>
      <c r="P30" s="125" t="s">
        <v>273</v>
      </c>
      <c r="Q30" s="192">
        <v>162</v>
      </c>
      <c r="R30" s="15">
        <v>108</v>
      </c>
      <c r="S30" s="195">
        <f t="shared" si="12"/>
        <v>0.66666666666666663</v>
      </c>
      <c r="T30" s="235">
        <v>162</v>
      </c>
      <c r="U30" s="184"/>
      <c r="V30" s="180" t="s">
        <v>272</v>
      </c>
      <c r="W30" s="125" t="s">
        <v>273</v>
      </c>
      <c r="X30" s="192">
        <v>2268</v>
      </c>
      <c r="Y30" s="15">
        <v>1512</v>
      </c>
      <c r="Z30" s="195">
        <f t="shared" si="13"/>
        <v>0.66666666666666663</v>
      </c>
      <c r="AA30" s="235">
        <v>2268</v>
      </c>
      <c r="AB30" s="183"/>
      <c r="AC30" s="180" t="s">
        <v>272</v>
      </c>
      <c r="AD30" s="125" t="s">
        <v>273</v>
      </c>
      <c r="AE30" s="192">
        <v>810</v>
      </c>
      <c r="AF30" s="15">
        <v>540</v>
      </c>
      <c r="AG30" s="195">
        <f t="shared" si="14"/>
        <v>0.66666666666666663</v>
      </c>
      <c r="AH30" s="235">
        <f>[3]DIHU!$AL$94</f>
        <v>648</v>
      </c>
      <c r="AI30" s="367"/>
      <c r="AJ30" s="180" t="s">
        <v>272</v>
      </c>
      <c r="AK30" s="125" t="s">
        <v>273</v>
      </c>
      <c r="AL30" s="192">
        <v>486</v>
      </c>
      <c r="AM30" s="15">
        <v>324</v>
      </c>
      <c r="AN30" s="195">
        <f t="shared" si="15"/>
        <v>0.66666666666666663</v>
      </c>
      <c r="AO30" s="235">
        <f>[3]HIDRO!$AL$94</f>
        <v>364.5</v>
      </c>
      <c r="AP30" s="179"/>
      <c r="AQ30" s="180" t="s">
        <v>272</v>
      </c>
      <c r="AR30" s="125" t="s">
        <v>273</v>
      </c>
      <c r="AS30" s="193">
        <v>324</v>
      </c>
      <c r="AT30" s="191">
        <v>216</v>
      </c>
      <c r="AU30" s="195">
        <f t="shared" si="16"/>
        <v>0.66666666666666663</v>
      </c>
      <c r="AV30" s="234">
        <v>324</v>
      </c>
      <c r="AW30" s="184"/>
      <c r="AX30" s="180" t="s">
        <v>272</v>
      </c>
      <c r="AY30" s="125" t="s">
        <v>273</v>
      </c>
      <c r="AZ30" s="192">
        <v>162</v>
      </c>
      <c r="BA30" s="15">
        <v>108</v>
      </c>
      <c r="BB30" s="195">
        <f t="shared" si="17"/>
        <v>0.66666666666666663</v>
      </c>
      <c r="BC30" s="202">
        <f>[3]COSTOS!$AL$94</f>
        <v>0</v>
      </c>
    </row>
    <row r="31" spans="1:55" s="10" customFormat="1" ht="21" customHeight="1">
      <c r="A31" s="180" t="s">
        <v>274</v>
      </c>
      <c r="B31" s="125" t="s">
        <v>275</v>
      </c>
      <c r="C31" s="191">
        <v>43639.65</v>
      </c>
      <c r="D31" s="191">
        <f t="shared" si="8"/>
        <v>32220.02</v>
      </c>
      <c r="E31" s="195">
        <f t="shared" si="10"/>
        <v>0.73831985361935759</v>
      </c>
      <c r="F31" s="234">
        <f t="shared" si="9"/>
        <v>46295.880000000005</v>
      </c>
      <c r="G31" s="179"/>
      <c r="H31" s="180" t="s">
        <v>274</v>
      </c>
      <c r="I31" s="125" t="s">
        <v>275</v>
      </c>
      <c r="J31" s="192">
        <v>0</v>
      </c>
      <c r="K31" s="15">
        <v>297.57</v>
      </c>
      <c r="L31" s="195"/>
      <c r="M31" s="235">
        <v>2040.48</v>
      </c>
      <c r="N31" s="179"/>
      <c r="O31" s="180" t="s">
        <v>274</v>
      </c>
      <c r="P31" s="125" t="s">
        <v>275</v>
      </c>
      <c r="Q31" s="192">
        <v>1103.3600000000001</v>
      </c>
      <c r="R31" s="15">
        <v>825.12</v>
      </c>
      <c r="S31" s="195">
        <f t="shared" si="12"/>
        <v>0.7478248259860788</v>
      </c>
      <c r="T31" s="235">
        <v>1237.68</v>
      </c>
      <c r="U31" s="184"/>
      <c r="V31" s="180" t="s">
        <v>274</v>
      </c>
      <c r="W31" s="125" t="s">
        <v>275</v>
      </c>
      <c r="X31" s="192">
        <v>18383.12</v>
      </c>
      <c r="Y31" s="15">
        <v>13454.000000000004</v>
      </c>
      <c r="Z31" s="195">
        <f t="shared" si="13"/>
        <v>0.73186706065129337</v>
      </c>
      <c r="AA31" s="235">
        <v>20508.960000000003</v>
      </c>
      <c r="AB31" s="183"/>
      <c r="AC31" s="180" t="s">
        <v>274</v>
      </c>
      <c r="AD31" s="125" t="s">
        <v>275</v>
      </c>
      <c r="AE31" s="192">
        <v>6502.1900000000014</v>
      </c>
      <c r="AF31" s="15">
        <v>5033.25</v>
      </c>
      <c r="AG31" s="195">
        <f t="shared" si="14"/>
        <v>0.77408534662936623</v>
      </c>
      <c r="AH31" s="235">
        <f>[3]DIHU!$AK$94</f>
        <v>6328.3200000000015</v>
      </c>
      <c r="AI31" s="367"/>
      <c r="AJ31" s="180" t="s">
        <v>274</v>
      </c>
      <c r="AK31" s="125" t="s">
        <v>275</v>
      </c>
      <c r="AL31" s="192">
        <v>8055.8500000000022</v>
      </c>
      <c r="AM31" s="15">
        <v>5729.5999999999995</v>
      </c>
      <c r="AN31" s="195">
        <f t="shared" si="15"/>
        <v>0.71123469280088358</v>
      </c>
      <c r="AO31" s="235">
        <f>[3]HIDRO!$AK$94</f>
        <v>7468.68</v>
      </c>
      <c r="AP31" s="179"/>
      <c r="AQ31" s="180" t="s">
        <v>274</v>
      </c>
      <c r="AR31" s="125" t="s">
        <v>275</v>
      </c>
      <c r="AS31" s="193">
        <v>8096.2099999999973</v>
      </c>
      <c r="AT31" s="191">
        <v>5807.84</v>
      </c>
      <c r="AU31" s="195">
        <f t="shared" si="16"/>
        <v>0.71735293427418534</v>
      </c>
      <c r="AV31" s="234">
        <v>8711.7599999999984</v>
      </c>
      <c r="AW31" s="184"/>
      <c r="AX31" s="180" t="s">
        <v>274</v>
      </c>
      <c r="AY31" s="125" t="s">
        <v>275</v>
      </c>
      <c r="AZ31" s="192">
        <v>1498.9200000000003</v>
      </c>
      <c r="BA31" s="15">
        <v>1072.6400000000001</v>
      </c>
      <c r="BB31" s="195">
        <f t="shared" si="17"/>
        <v>0.71560857150481672</v>
      </c>
      <c r="BC31" s="202">
        <f>[3]COSTOS!$AK$94</f>
        <v>0</v>
      </c>
    </row>
    <row r="32" spans="1:55" s="10" customFormat="1" ht="21" customHeight="1">
      <c r="A32" s="180" t="s">
        <v>276</v>
      </c>
      <c r="B32" s="125" t="s">
        <v>277</v>
      </c>
      <c r="C32" s="191">
        <v>0</v>
      </c>
      <c r="D32" s="191">
        <f t="shared" si="8"/>
        <v>0</v>
      </c>
      <c r="E32" s="195"/>
      <c r="F32" s="234">
        <f t="shared" si="9"/>
        <v>0</v>
      </c>
      <c r="G32" s="179"/>
      <c r="H32" s="180" t="s">
        <v>276</v>
      </c>
      <c r="I32" s="125" t="s">
        <v>277</v>
      </c>
      <c r="J32" s="192">
        <v>0</v>
      </c>
      <c r="K32" s="15">
        <v>0</v>
      </c>
      <c r="L32" s="195"/>
      <c r="M32" s="235"/>
      <c r="N32" s="179"/>
      <c r="O32" s="180" t="s">
        <v>276</v>
      </c>
      <c r="P32" s="125" t="s">
        <v>277</v>
      </c>
      <c r="Q32" s="192">
        <v>0</v>
      </c>
      <c r="R32" s="15">
        <v>0</v>
      </c>
      <c r="S32" s="195"/>
      <c r="T32" s="235"/>
      <c r="U32" s="184"/>
      <c r="V32" s="180" t="s">
        <v>276</v>
      </c>
      <c r="W32" s="125" t="s">
        <v>277</v>
      </c>
      <c r="X32" s="192">
        <v>0</v>
      </c>
      <c r="Y32" s="15">
        <v>0</v>
      </c>
      <c r="Z32" s="195"/>
      <c r="AA32" s="235"/>
      <c r="AB32" s="183"/>
      <c r="AC32" s="180" t="s">
        <v>276</v>
      </c>
      <c r="AD32" s="125" t="s">
        <v>277</v>
      </c>
      <c r="AE32" s="192">
        <v>0</v>
      </c>
      <c r="AF32" s="15">
        <v>0</v>
      </c>
      <c r="AG32" s="195"/>
      <c r="AH32" s="235"/>
      <c r="AI32" s="367"/>
      <c r="AJ32" s="180" t="s">
        <v>276</v>
      </c>
      <c r="AK32" s="125" t="s">
        <v>277</v>
      </c>
      <c r="AL32" s="192">
        <v>0</v>
      </c>
      <c r="AM32" s="15">
        <v>0</v>
      </c>
      <c r="AN32" s="195"/>
      <c r="AO32" s="235"/>
      <c r="AP32" s="179"/>
      <c r="AQ32" s="180" t="s">
        <v>276</v>
      </c>
      <c r="AR32" s="125" t="s">
        <v>277</v>
      </c>
      <c r="AS32" s="193">
        <v>0</v>
      </c>
      <c r="AT32" s="191">
        <v>0</v>
      </c>
      <c r="AU32" s="195"/>
      <c r="AV32" s="234"/>
      <c r="AW32" s="184"/>
      <c r="AX32" s="180" t="s">
        <v>276</v>
      </c>
      <c r="AY32" s="125" t="s">
        <v>277</v>
      </c>
      <c r="AZ32" s="192">
        <v>0</v>
      </c>
      <c r="BA32" s="15">
        <v>0</v>
      </c>
      <c r="BB32" s="195"/>
      <c r="BC32" s="202"/>
    </row>
    <row r="33" spans="1:55" s="10" customFormat="1" ht="21" customHeight="1">
      <c r="A33" s="180" t="s">
        <v>278</v>
      </c>
      <c r="B33" s="125" t="s">
        <v>279</v>
      </c>
      <c r="C33" s="191">
        <v>0</v>
      </c>
      <c r="D33" s="191">
        <f t="shared" si="8"/>
        <v>0</v>
      </c>
      <c r="E33" s="195"/>
      <c r="F33" s="234">
        <f t="shared" si="9"/>
        <v>0</v>
      </c>
      <c r="G33" s="179"/>
      <c r="H33" s="180" t="s">
        <v>278</v>
      </c>
      <c r="I33" s="125" t="s">
        <v>279</v>
      </c>
      <c r="J33" s="192">
        <v>0</v>
      </c>
      <c r="K33" s="15">
        <v>0</v>
      </c>
      <c r="L33" s="195"/>
      <c r="M33" s="235"/>
      <c r="N33" s="179"/>
      <c r="O33" s="180" t="s">
        <v>278</v>
      </c>
      <c r="P33" s="125" t="s">
        <v>279</v>
      </c>
      <c r="Q33" s="192">
        <v>0</v>
      </c>
      <c r="R33" s="15">
        <v>0</v>
      </c>
      <c r="S33" s="195"/>
      <c r="T33" s="235"/>
      <c r="U33" s="184"/>
      <c r="V33" s="180" t="s">
        <v>278</v>
      </c>
      <c r="W33" s="125" t="s">
        <v>279</v>
      </c>
      <c r="X33" s="192">
        <v>0</v>
      </c>
      <c r="Y33" s="15">
        <v>0</v>
      </c>
      <c r="Z33" s="195"/>
      <c r="AA33" s="235"/>
      <c r="AB33" s="183"/>
      <c r="AC33" s="180" t="s">
        <v>278</v>
      </c>
      <c r="AD33" s="125" t="s">
        <v>279</v>
      </c>
      <c r="AE33" s="192">
        <v>0</v>
      </c>
      <c r="AF33" s="15">
        <v>0</v>
      </c>
      <c r="AG33" s="195"/>
      <c r="AH33" s="235"/>
      <c r="AI33" s="367"/>
      <c r="AJ33" s="180" t="s">
        <v>278</v>
      </c>
      <c r="AK33" s="125" t="s">
        <v>279</v>
      </c>
      <c r="AL33" s="192">
        <v>0</v>
      </c>
      <c r="AM33" s="15">
        <v>0</v>
      </c>
      <c r="AN33" s="195"/>
      <c r="AO33" s="235"/>
      <c r="AP33" s="179"/>
      <c r="AQ33" s="180" t="s">
        <v>278</v>
      </c>
      <c r="AR33" s="125" t="s">
        <v>279</v>
      </c>
      <c r="AS33" s="193">
        <v>0</v>
      </c>
      <c r="AT33" s="191">
        <v>0</v>
      </c>
      <c r="AU33" s="195"/>
      <c r="AV33" s="234"/>
      <c r="AW33" s="184"/>
      <c r="AX33" s="180" t="s">
        <v>278</v>
      </c>
      <c r="AY33" s="125" t="s">
        <v>279</v>
      </c>
      <c r="AZ33" s="192">
        <v>0</v>
      </c>
      <c r="BA33" s="15">
        <v>0</v>
      </c>
      <c r="BB33" s="195"/>
      <c r="BC33" s="202"/>
    </row>
    <row r="34" spans="1:55" s="209" customFormat="1" ht="21" customHeight="1">
      <c r="A34" s="180">
        <v>15404</v>
      </c>
      <c r="B34" s="125" t="s">
        <v>280</v>
      </c>
      <c r="C34" s="191">
        <v>16520.629999999997</v>
      </c>
      <c r="D34" s="191">
        <f t="shared" si="8"/>
        <v>344368.06999999995</v>
      </c>
      <c r="E34" s="195">
        <f t="shared" si="10"/>
        <v>20.844729892261977</v>
      </c>
      <c r="F34" s="234">
        <f t="shared" si="9"/>
        <v>313843.69750000001</v>
      </c>
      <c r="G34" s="236"/>
      <c r="H34" s="180">
        <v>15404</v>
      </c>
      <c r="I34" s="125" t="s">
        <v>280</v>
      </c>
      <c r="J34" s="237">
        <v>0</v>
      </c>
      <c r="K34" s="15">
        <v>0</v>
      </c>
      <c r="L34" s="195"/>
      <c r="M34" s="235"/>
      <c r="N34" s="236"/>
      <c r="O34" s="180">
        <v>15404</v>
      </c>
      <c r="P34" s="125" t="s">
        <v>280</v>
      </c>
      <c r="Q34" s="237">
        <v>0</v>
      </c>
      <c r="R34" s="15">
        <v>6876.32</v>
      </c>
      <c r="S34" s="195"/>
      <c r="T34" s="235">
        <v>6876.32</v>
      </c>
      <c r="U34" s="239"/>
      <c r="V34" s="180">
        <v>15404</v>
      </c>
      <c r="W34" s="125" t="s">
        <v>280</v>
      </c>
      <c r="X34" s="237">
        <v>16520.629999999997</v>
      </c>
      <c r="Y34" s="15">
        <v>152838.41</v>
      </c>
      <c r="Z34" s="195">
        <f t="shared" si="13"/>
        <v>9.2513669272903041</v>
      </c>
      <c r="AA34" s="235">
        <v>142102.53</v>
      </c>
      <c r="AB34" s="238"/>
      <c r="AC34" s="180">
        <v>15404</v>
      </c>
      <c r="AD34" s="125" t="s">
        <v>280</v>
      </c>
      <c r="AE34" s="237">
        <v>0</v>
      </c>
      <c r="AF34" s="15">
        <v>70901.2</v>
      </c>
      <c r="AG34" s="195"/>
      <c r="AH34" s="235">
        <f>[3]DIHU!$AE$94</f>
        <v>66306.39</v>
      </c>
      <c r="AI34" s="367"/>
      <c r="AJ34" s="180">
        <v>15404</v>
      </c>
      <c r="AK34" s="125" t="s">
        <v>280</v>
      </c>
      <c r="AL34" s="237">
        <v>0</v>
      </c>
      <c r="AM34" s="15">
        <v>47749.79</v>
      </c>
      <c r="AN34" s="195"/>
      <c r="AO34" s="235">
        <f>[3]HIDRO!$AE$94</f>
        <v>41495.337500000009</v>
      </c>
      <c r="AP34" s="236"/>
      <c r="AQ34" s="180">
        <v>15404</v>
      </c>
      <c r="AR34" s="125" t="s">
        <v>280</v>
      </c>
      <c r="AS34" s="193">
        <v>0</v>
      </c>
      <c r="AT34" s="191">
        <v>57063.12</v>
      </c>
      <c r="AU34" s="195"/>
      <c r="AV34" s="234">
        <v>57063.12000000001</v>
      </c>
      <c r="AW34" s="239"/>
      <c r="AX34" s="180">
        <v>15404</v>
      </c>
      <c r="AY34" s="125" t="s">
        <v>280</v>
      </c>
      <c r="AZ34" s="237">
        <v>0</v>
      </c>
      <c r="BA34" s="15">
        <v>8939.23</v>
      </c>
      <c r="BB34" s="195"/>
      <c r="BC34" s="202">
        <f>[3]COSTOS!$AE$94</f>
        <v>0</v>
      </c>
    </row>
    <row r="35" spans="1:55" s="209" customFormat="1" ht="21" customHeight="1">
      <c r="A35" s="180">
        <v>15409</v>
      </c>
      <c r="B35" s="125" t="s">
        <v>281</v>
      </c>
      <c r="C35" s="191">
        <v>458640</v>
      </c>
      <c r="D35" s="191">
        <f t="shared" si="8"/>
        <v>482080</v>
      </c>
      <c r="E35" s="195">
        <f t="shared" si="10"/>
        <v>1.0511076225361939</v>
      </c>
      <c r="F35" s="234">
        <f t="shared" si="9"/>
        <v>679890</v>
      </c>
      <c r="G35" s="236"/>
      <c r="H35" s="180">
        <v>15409</v>
      </c>
      <c r="I35" s="125" t="s">
        <v>281</v>
      </c>
      <c r="J35" s="237">
        <v>20160</v>
      </c>
      <c r="K35" s="15">
        <v>20960</v>
      </c>
      <c r="L35" s="195">
        <f t="shared" si="11"/>
        <v>1.0396825396825398</v>
      </c>
      <c r="M35" s="235">
        <v>31440</v>
      </c>
      <c r="N35" s="236"/>
      <c r="O35" s="180">
        <v>15409</v>
      </c>
      <c r="P35" s="125" t="s">
        <v>281</v>
      </c>
      <c r="Q35" s="237">
        <v>10080</v>
      </c>
      <c r="R35" s="15">
        <v>10480</v>
      </c>
      <c r="S35" s="195">
        <f t="shared" si="12"/>
        <v>1.0396825396825398</v>
      </c>
      <c r="T35" s="235">
        <v>15720</v>
      </c>
      <c r="U35" s="239"/>
      <c r="V35" s="180">
        <v>15409</v>
      </c>
      <c r="W35" s="125" t="s">
        <v>281</v>
      </c>
      <c r="X35" s="237">
        <v>176400</v>
      </c>
      <c r="Y35" s="15">
        <v>188640</v>
      </c>
      <c r="Z35" s="195">
        <f t="shared" si="13"/>
        <v>1.0693877551020408</v>
      </c>
      <c r="AA35" s="235">
        <v>282960</v>
      </c>
      <c r="AB35" s="238"/>
      <c r="AC35" s="180">
        <v>15409</v>
      </c>
      <c r="AD35" s="125" t="s">
        <v>281</v>
      </c>
      <c r="AE35" s="237">
        <v>100800</v>
      </c>
      <c r="AF35" s="15">
        <v>104800</v>
      </c>
      <c r="AG35" s="195">
        <f t="shared" si="14"/>
        <v>1.0396825396825398</v>
      </c>
      <c r="AH35" s="235">
        <f>[3]DIHU!$H$94</f>
        <v>141480</v>
      </c>
      <c r="AI35" s="367"/>
      <c r="AJ35" s="180">
        <v>15409</v>
      </c>
      <c r="AK35" s="125" t="s">
        <v>281</v>
      </c>
      <c r="AL35" s="237">
        <v>60480</v>
      </c>
      <c r="AM35" s="15">
        <v>62880</v>
      </c>
      <c r="AN35" s="195">
        <f t="shared" si="15"/>
        <v>1.0396825396825398</v>
      </c>
      <c r="AO35" s="235">
        <f>[3]HIDRO!$H$94</f>
        <v>82530</v>
      </c>
      <c r="AP35" s="236"/>
      <c r="AQ35" s="180">
        <v>15409</v>
      </c>
      <c r="AR35" s="125" t="s">
        <v>281</v>
      </c>
      <c r="AS35" s="193">
        <v>80640</v>
      </c>
      <c r="AT35" s="191">
        <v>83840</v>
      </c>
      <c r="AU35" s="195">
        <f t="shared" si="16"/>
        <v>1.0396825396825398</v>
      </c>
      <c r="AV35" s="234">
        <v>125760</v>
      </c>
      <c r="AW35" s="239"/>
      <c r="AX35" s="180">
        <v>15409</v>
      </c>
      <c r="AY35" s="125" t="s">
        <v>281</v>
      </c>
      <c r="AZ35" s="237">
        <v>10080</v>
      </c>
      <c r="BA35" s="15">
        <v>10480</v>
      </c>
      <c r="BB35" s="195">
        <f t="shared" si="17"/>
        <v>1.0396825396825398</v>
      </c>
      <c r="BC35" s="202">
        <f>[3]COSTOS!$H$94</f>
        <v>0</v>
      </c>
    </row>
    <row r="36" spans="1:55" s="209" customFormat="1" ht="21" customHeight="1">
      <c r="A36" s="180">
        <v>15413</v>
      </c>
      <c r="B36" s="125" t="s">
        <v>282</v>
      </c>
      <c r="C36" s="191">
        <v>19560</v>
      </c>
      <c r="D36" s="191">
        <f t="shared" si="8"/>
        <v>11200</v>
      </c>
      <c r="E36" s="195">
        <f t="shared" si="10"/>
        <v>0.57259713701431492</v>
      </c>
      <c r="F36" s="234">
        <f t="shared" si="9"/>
        <v>16800</v>
      </c>
      <c r="G36" s="236"/>
      <c r="H36" s="180">
        <v>15413</v>
      </c>
      <c r="I36" s="125" t="s">
        <v>282</v>
      </c>
      <c r="J36" s="237">
        <v>0</v>
      </c>
      <c r="K36" s="15">
        <v>0</v>
      </c>
      <c r="L36" s="195"/>
      <c r="M36" s="235">
        <v>0</v>
      </c>
      <c r="N36" s="236"/>
      <c r="O36" s="180">
        <v>15413</v>
      </c>
      <c r="P36" s="125" t="s">
        <v>282</v>
      </c>
      <c r="Q36" s="237">
        <v>0</v>
      </c>
      <c r="R36" s="15">
        <v>0</v>
      </c>
      <c r="S36" s="195"/>
      <c r="T36" s="235"/>
      <c r="U36" s="239"/>
      <c r="V36" s="180">
        <v>15413</v>
      </c>
      <c r="W36" s="125" t="s">
        <v>282</v>
      </c>
      <c r="X36" s="237">
        <v>5400</v>
      </c>
      <c r="Y36" s="15">
        <v>0</v>
      </c>
      <c r="Z36" s="195">
        <f t="shared" si="13"/>
        <v>0</v>
      </c>
      <c r="AA36" s="235"/>
      <c r="AB36" s="238"/>
      <c r="AC36" s="180">
        <v>15413</v>
      </c>
      <c r="AD36" s="125" t="s">
        <v>282</v>
      </c>
      <c r="AE36" s="237">
        <v>0</v>
      </c>
      <c r="AF36" s="15">
        <v>0</v>
      </c>
      <c r="AG36" s="195"/>
      <c r="AH36" s="235"/>
      <c r="AI36" s="367"/>
      <c r="AJ36" s="180">
        <v>15413</v>
      </c>
      <c r="AK36" s="125" t="s">
        <v>282</v>
      </c>
      <c r="AL36" s="237">
        <v>3360</v>
      </c>
      <c r="AM36" s="15">
        <v>0</v>
      </c>
      <c r="AN36" s="195">
        <f t="shared" si="15"/>
        <v>0</v>
      </c>
      <c r="AO36" s="235"/>
      <c r="AP36" s="236"/>
      <c r="AQ36" s="180">
        <v>15413</v>
      </c>
      <c r="AR36" s="125" t="s">
        <v>282</v>
      </c>
      <c r="AS36" s="193">
        <v>10800</v>
      </c>
      <c r="AT36" s="191">
        <v>11200</v>
      </c>
      <c r="AU36" s="195">
        <f t="shared" si="16"/>
        <v>1.037037037037037</v>
      </c>
      <c r="AV36" s="234">
        <v>16800</v>
      </c>
      <c r="AW36" s="239"/>
      <c r="AX36" s="180">
        <v>15413</v>
      </c>
      <c r="AY36" s="125" t="s">
        <v>282</v>
      </c>
      <c r="AZ36" s="237">
        <v>0</v>
      </c>
      <c r="BA36" s="15">
        <v>0</v>
      </c>
      <c r="BB36" s="195"/>
      <c r="BC36" s="202"/>
    </row>
    <row r="37" spans="1:55" s="209" customFormat="1" ht="21" customHeight="1">
      <c r="A37" s="180">
        <v>15416</v>
      </c>
      <c r="B37" s="125" t="s">
        <v>283</v>
      </c>
      <c r="C37" s="191">
        <v>32640</v>
      </c>
      <c r="D37" s="191">
        <f t="shared" si="8"/>
        <v>30910</v>
      </c>
      <c r="E37" s="195">
        <f t="shared" si="10"/>
        <v>0.94699754901960786</v>
      </c>
      <c r="F37" s="234">
        <f t="shared" si="9"/>
        <v>28100</v>
      </c>
      <c r="G37" s="236"/>
      <c r="H37" s="180">
        <v>15416</v>
      </c>
      <c r="I37" s="125" t="s">
        <v>283</v>
      </c>
      <c r="J37" s="237">
        <v>0</v>
      </c>
      <c r="K37" s="15">
        <v>0</v>
      </c>
      <c r="L37" s="195"/>
      <c r="M37" s="235"/>
      <c r="N37" s="236"/>
      <c r="O37" s="180">
        <v>15416</v>
      </c>
      <c r="P37" s="125" t="s">
        <v>283</v>
      </c>
      <c r="Q37" s="237">
        <v>0</v>
      </c>
      <c r="R37" s="15">
        <v>0</v>
      </c>
      <c r="S37" s="195"/>
      <c r="T37" s="235"/>
      <c r="U37" s="239"/>
      <c r="V37" s="180">
        <v>15416</v>
      </c>
      <c r="W37" s="125" t="s">
        <v>283</v>
      </c>
      <c r="X37" s="237">
        <v>10880</v>
      </c>
      <c r="Y37" s="15">
        <v>9835</v>
      </c>
      <c r="Z37" s="195">
        <f t="shared" si="13"/>
        <v>0.90395220588235292</v>
      </c>
      <c r="AA37" s="235">
        <v>9835</v>
      </c>
      <c r="AB37" s="238"/>
      <c r="AC37" s="180">
        <v>15416</v>
      </c>
      <c r="AD37" s="125" t="s">
        <v>283</v>
      </c>
      <c r="AE37" s="237">
        <v>9520</v>
      </c>
      <c r="AF37" s="15">
        <v>9835</v>
      </c>
      <c r="AG37" s="195">
        <f t="shared" si="14"/>
        <v>1.0330882352941178</v>
      </c>
      <c r="AH37" s="235">
        <f>[3]DIHU!$AG$94</f>
        <v>8430</v>
      </c>
      <c r="AI37" s="367"/>
      <c r="AJ37" s="180">
        <v>15416</v>
      </c>
      <c r="AK37" s="125" t="s">
        <v>283</v>
      </c>
      <c r="AL37" s="237">
        <v>5440</v>
      </c>
      <c r="AM37" s="15">
        <v>5620</v>
      </c>
      <c r="AN37" s="195">
        <f t="shared" si="15"/>
        <v>1.0330882352941178</v>
      </c>
      <c r="AO37" s="235">
        <f>[3]HIDRO!$AG$94</f>
        <v>5620</v>
      </c>
      <c r="AP37" s="236"/>
      <c r="AQ37" s="180">
        <v>15416</v>
      </c>
      <c r="AR37" s="125" t="s">
        <v>283</v>
      </c>
      <c r="AS37" s="193">
        <v>5440</v>
      </c>
      <c r="AT37" s="191">
        <v>4215</v>
      </c>
      <c r="AU37" s="195">
        <f t="shared" si="16"/>
        <v>0.7748161764705882</v>
      </c>
      <c r="AV37" s="234">
        <v>4215</v>
      </c>
      <c r="AW37" s="239"/>
      <c r="AX37" s="180">
        <v>15416</v>
      </c>
      <c r="AY37" s="125" t="s">
        <v>283</v>
      </c>
      <c r="AZ37" s="237">
        <v>1360</v>
      </c>
      <c r="BA37" s="15">
        <v>1405</v>
      </c>
      <c r="BB37" s="195">
        <f t="shared" si="17"/>
        <v>1.0330882352941178</v>
      </c>
      <c r="BC37" s="202">
        <f>[3]COSTOS!$AG$94</f>
        <v>0</v>
      </c>
    </row>
    <row r="38" spans="1:55" s="209" customFormat="1" ht="21" customHeight="1">
      <c r="A38" s="180">
        <v>15417</v>
      </c>
      <c r="B38" s="125" t="s">
        <v>284</v>
      </c>
      <c r="C38" s="191">
        <v>246064</v>
      </c>
      <c r="D38" s="191">
        <f t="shared" si="8"/>
        <v>256128</v>
      </c>
      <c r="E38" s="195">
        <f t="shared" si="10"/>
        <v>1.0408999284738929</v>
      </c>
      <c r="F38" s="234">
        <f t="shared" si="9"/>
        <v>361224</v>
      </c>
      <c r="G38" s="236"/>
      <c r="H38" s="180">
        <v>15417</v>
      </c>
      <c r="I38" s="125" t="s">
        <v>284</v>
      </c>
      <c r="J38" s="237">
        <v>10816</v>
      </c>
      <c r="K38" s="15">
        <v>11136</v>
      </c>
      <c r="L38" s="195">
        <f t="shared" si="11"/>
        <v>1.029585798816568</v>
      </c>
      <c r="M38" s="235">
        <v>16704</v>
      </c>
      <c r="N38" s="236"/>
      <c r="O38" s="180">
        <v>15417</v>
      </c>
      <c r="P38" s="125" t="s">
        <v>284</v>
      </c>
      <c r="Q38" s="237">
        <v>5408</v>
      </c>
      <c r="R38" s="15">
        <v>5568</v>
      </c>
      <c r="S38" s="195">
        <f t="shared" si="12"/>
        <v>1.029585798816568</v>
      </c>
      <c r="T38" s="235">
        <v>8352</v>
      </c>
      <c r="U38" s="239"/>
      <c r="V38" s="180">
        <v>15417</v>
      </c>
      <c r="W38" s="125" t="s">
        <v>284</v>
      </c>
      <c r="X38" s="237">
        <v>94640</v>
      </c>
      <c r="Y38" s="15">
        <v>100224</v>
      </c>
      <c r="Z38" s="195">
        <f t="shared" si="13"/>
        <v>1.0590025359256128</v>
      </c>
      <c r="AA38" s="235">
        <v>150336</v>
      </c>
      <c r="AB38" s="238"/>
      <c r="AC38" s="180">
        <v>15417</v>
      </c>
      <c r="AD38" s="125" t="s">
        <v>284</v>
      </c>
      <c r="AE38" s="237">
        <v>54080</v>
      </c>
      <c r="AF38" s="15">
        <v>55680</v>
      </c>
      <c r="AG38" s="195">
        <f t="shared" si="14"/>
        <v>1.029585798816568</v>
      </c>
      <c r="AH38" s="235">
        <f>[3]DIHU!$K$94</f>
        <v>75168</v>
      </c>
      <c r="AI38" s="367"/>
      <c r="AJ38" s="180">
        <v>15417</v>
      </c>
      <c r="AK38" s="125" t="s">
        <v>284</v>
      </c>
      <c r="AL38" s="237">
        <v>32448</v>
      </c>
      <c r="AM38" s="15">
        <v>33408</v>
      </c>
      <c r="AN38" s="195">
        <f t="shared" si="15"/>
        <v>1.029585798816568</v>
      </c>
      <c r="AO38" s="235">
        <f>[3]HIDRO!$K$94</f>
        <v>43848</v>
      </c>
      <c r="AP38" s="236"/>
      <c r="AQ38" s="180">
        <v>15417</v>
      </c>
      <c r="AR38" s="125" t="s">
        <v>284</v>
      </c>
      <c r="AS38" s="193">
        <v>43264</v>
      </c>
      <c r="AT38" s="191">
        <v>44544</v>
      </c>
      <c r="AU38" s="195">
        <f t="shared" si="16"/>
        <v>1.029585798816568</v>
      </c>
      <c r="AV38" s="234">
        <v>66816</v>
      </c>
      <c r="AW38" s="239"/>
      <c r="AX38" s="180">
        <v>15417</v>
      </c>
      <c r="AY38" s="125" t="s">
        <v>284</v>
      </c>
      <c r="AZ38" s="237">
        <v>5408</v>
      </c>
      <c r="BA38" s="15">
        <v>5568</v>
      </c>
      <c r="BB38" s="195">
        <f t="shared" si="17"/>
        <v>1.029585798816568</v>
      </c>
      <c r="BC38" s="202">
        <f>[3]COSTOS!$K$94</f>
        <v>0</v>
      </c>
    </row>
    <row r="39" spans="1:55" s="209" customFormat="1" ht="21" customHeight="1">
      <c r="A39" s="180">
        <v>15418</v>
      </c>
      <c r="B39" s="125" t="s">
        <v>408</v>
      </c>
      <c r="C39" s="191">
        <v>0</v>
      </c>
      <c r="D39" s="191">
        <f t="shared" si="8"/>
        <v>185511.97</v>
      </c>
      <c r="E39" s="195"/>
      <c r="F39" s="234">
        <f t="shared" si="9"/>
        <v>176432.63</v>
      </c>
      <c r="G39" s="236"/>
      <c r="H39" s="180">
        <v>15418</v>
      </c>
      <c r="I39" s="125" t="s">
        <v>408</v>
      </c>
      <c r="J39" s="237"/>
      <c r="K39" s="15">
        <v>0</v>
      </c>
      <c r="L39" s="195"/>
      <c r="M39" s="235"/>
      <c r="N39" s="236"/>
      <c r="O39" s="180">
        <v>15418</v>
      </c>
      <c r="P39" s="125" t="s">
        <v>408</v>
      </c>
      <c r="Q39" s="237"/>
      <c r="R39" s="15">
        <v>4125.79</v>
      </c>
      <c r="S39" s="195"/>
      <c r="T39" s="235">
        <v>4125.79</v>
      </c>
      <c r="U39" s="239"/>
      <c r="V39" s="180">
        <v>15418</v>
      </c>
      <c r="W39" s="125" t="s">
        <v>408</v>
      </c>
      <c r="X39" s="237"/>
      <c r="Y39" s="15">
        <v>70594.19</v>
      </c>
      <c r="Z39" s="195"/>
      <c r="AA39" s="235">
        <v>72961.499999999985</v>
      </c>
      <c r="AB39" s="238"/>
      <c r="AC39" s="180">
        <v>15418</v>
      </c>
      <c r="AD39" s="125" t="s">
        <v>408</v>
      </c>
      <c r="AE39" s="237"/>
      <c r="AF39" s="15">
        <v>42540.71</v>
      </c>
      <c r="AG39" s="195"/>
      <c r="AH39" s="235">
        <f>[3]DIHU!$AD$94</f>
        <v>40210.260000000009</v>
      </c>
      <c r="AI39" s="367"/>
      <c r="AJ39" s="180">
        <v>15418</v>
      </c>
      <c r="AK39" s="125" t="s">
        <v>408</v>
      </c>
      <c r="AL39" s="237"/>
      <c r="AM39" s="15">
        <v>28649.87</v>
      </c>
      <c r="AN39" s="195"/>
      <c r="AO39" s="235">
        <f>[3]HIDRO!$AD$94</f>
        <v>24897.200000000004</v>
      </c>
      <c r="AP39" s="236"/>
      <c r="AQ39" s="180">
        <v>15418</v>
      </c>
      <c r="AR39" s="125" t="s">
        <v>408</v>
      </c>
      <c r="AS39" s="193"/>
      <c r="AT39" s="191">
        <v>34237.879999999997</v>
      </c>
      <c r="AU39" s="195"/>
      <c r="AV39" s="234">
        <v>34237.879999999997</v>
      </c>
      <c r="AW39" s="239"/>
      <c r="AX39" s="180">
        <v>15418</v>
      </c>
      <c r="AY39" s="125" t="s">
        <v>408</v>
      </c>
      <c r="AZ39" s="237"/>
      <c r="BA39" s="15">
        <v>5363.53</v>
      </c>
      <c r="BB39" s="195"/>
      <c r="BC39" s="202">
        <f>[3]COSTOS!$AD$94</f>
        <v>0</v>
      </c>
    </row>
    <row r="40" spans="1:55" s="209" customFormat="1" ht="21" customHeight="1">
      <c r="A40" s="180" t="s">
        <v>285</v>
      </c>
      <c r="B40" s="125" t="s">
        <v>286</v>
      </c>
      <c r="C40" s="191">
        <v>274092</v>
      </c>
      <c r="D40" s="191">
        <f t="shared" si="8"/>
        <v>284464</v>
      </c>
      <c r="E40" s="195">
        <f t="shared" si="10"/>
        <v>1.0378413087576435</v>
      </c>
      <c r="F40" s="234">
        <f t="shared" si="9"/>
        <v>401187</v>
      </c>
      <c r="G40" s="236"/>
      <c r="H40" s="180" t="s">
        <v>285</v>
      </c>
      <c r="I40" s="125" t="s">
        <v>286</v>
      </c>
      <c r="J40" s="237">
        <v>12048</v>
      </c>
      <c r="K40" s="15">
        <v>12368</v>
      </c>
      <c r="L40" s="195">
        <f t="shared" si="11"/>
        <v>1.0265604249667994</v>
      </c>
      <c r="M40" s="235">
        <v>18552</v>
      </c>
      <c r="N40" s="236"/>
      <c r="O40" s="180" t="s">
        <v>285</v>
      </c>
      <c r="P40" s="125" t="s">
        <v>286</v>
      </c>
      <c r="Q40" s="237">
        <v>6024</v>
      </c>
      <c r="R40" s="15">
        <v>6184</v>
      </c>
      <c r="S40" s="195">
        <f t="shared" si="12"/>
        <v>1.0265604249667994</v>
      </c>
      <c r="T40" s="235">
        <v>9276</v>
      </c>
      <c r="U40" s="239"/>
      <c r="V40" s="180" t="s">
        <v>285</v>
      </c>
      <c r="W40" s="125" t="s">
        <v>286</v>
      </c>
      <c r="X40" s="237">
        <v>105420</v>
      </c>
      <c r="Y40" s="15">
        <v>111312</v>
      </c>
      <c r="Z40" s="195">
        <f t="shared" si="13"/>
        <v>1.0558907228229937</v>
      </c>
      <c r="AA40" s="235">
        <v>166968</v>
      </c>
      <c r="AB40" s="238"/>
      <c r="AC40" s="180" t="s">
        <v>285</v>
      </c>
      <c r="AD40" s="125" t="s">
        <v>286</v>
      </c>
      <c r="AE40" s="237">
        <v>60240</v>
      </c>
      <c r="AF40" s="15">
        <v>61840</v>
      </c>
      <c r="AG40" s="195">
        <f t="shared" si="14"/>
        <v>1.0265604249667994</v>
      </c>
      <c r="AH40" s="235">
        <f>[3]DIHU!$M$94</f>
        <v>83484</v>
      </c>
      <c r="AI40" s="367"/>
      <c r="AJ40" s="180" t="s">
        <v>285</v>
      </c>
      <c r="AK40" s="125" t="s">
        <v>286</v>
      </c>
      <c r="AL40" s="237">
        <v>36144</v>
      </c>
      <c r="AM40" s="15">
        <v>37104</v>
      </c>
      <c r="AN40" s="195">
        <f t="shared" si="15"/>
        <v>1.0265604249667994</v>
      </c>
      <c r="AO40" s="235">
        <f>[3]HIDRO!$M$94</f>
        <v>48699</v>
      </c>
      <c r="AP40" s="236"/>
      <c r="AQ40" s="180" t="s">
        <v>285</v>
      </c>
      <c r="AR40" s="125" t="s">
        <v>286</v>
      </c>
      <c r="AS40" s="193">
        <v>48192</v>
      </c>
      <c r="AT40" s="191">
        <v>49472</v>
      </c>
      <c r="AU40" s="195">
        <f t="shared" si="16"/>
        <v>1.0265604249667994</v>
      </c>
      <c r="AV40" s="234">
        <v>74208</v>
      </c>
      <c r="AW40" s="239"/>
      <c r="AX40" s="180" t="s">
        <v>285</v>
      </c>
      <c r="AY40" s="125" t="s">
        <v>286</v>
      </c>
      <c r="AZ40" s="237">
        <v>6024</v>
      </c>
      <c r="BA40" s="15">
        <v>6184</v>
      </c>
      <c r="BB40" s="195">
        <f t="shared" si="17"/>
        <v>1.0265604249667994</v>
      </c>
      <c r="BC40" s="202">
        <f>[3]COSTOS!$M$94</f>
        <v>0</v>
      </c>
    </row>
    <row r="41" spans="1:55" s="209" customFormat="1" ht="21" customHeight="1">
      <c r="A41" s="180">
        <v>15420</v>
      </c>
      <c r="B41" s="125" t="s">
        <v>287</v>
      </c>
      <c r="C41" s="191">
        <v>12352.5</v>
      </c>
      <c r="D41" s="191">
        <f t="shared" si="8"/>
        <v>14620</v>
      </c>
      <c r="E41" s="195">
        <f t="shared" si="10"/>
        <v>1.1835660797409431</v>
      </c>
      <c r="F41" s="234">
        <f t="shared" si="9"/>
        <v>20640</v>
      </c>
      <c r="G41" s="236"/>
      <c r="H41" s="180">
        <v>15420</v>
      </c>
      <c r="I41" s="125" t="s">
        <v>287</v>
      </c>
      <c r="J41" s="237">
        <v>0</v>
      </c>
      <c r="K41" s="15">
        <v>0</v>
      </c>
      <c r="L41" s="195"/>
      <c r="M41" s="235">
        <v>0</v>
      </c>
      <c r="N41" s="236"/>
      <c r="O41" s="180">
        <v>15420</v>
      </c>
      <c r="P41" s="125" t="s">
        <v>287</v>
      </c>
      <c r="Q41" s="237">
        <v>0</v>
      </c>
      <c r="R41" s="15">
        <v>0</v>
      </c>
      <c r="S41" s="195"/>
      <c r="T41" s="235"/>
      <c r="U41" s="239"/>
      <c r="V41" s="180">
        <v>15420</v>
      </c>
      <c r="W41" s="125" t="s">
        <v>287</v>
      </c>
      <c r="X41" s="237">
        <v>0</v>
      </c>
      <c r="Y41" s="15">
        <v>0</v>
      </c>
      <c r="Z41" s="195"/>
      <c r="AA41" s="235"/>
      <c r="AB41" s="238"/>
      <c r="AC41" s="180">
        <v>15420</v>
      </c>
      <c r="AD41" s="125" t="s">
        <v>287</v>
      </c>
      <c r="AE41" s="237">
        <v>0</v>
      </c>
      <c r="AF41" s="15">
        <v>0</v>
      </c>
      <c r="AG41" s="195"/>
      <c r="AH41" s="235"/>
      <c r="AI41" s="367"/>
      <c r="AJ41" s="180">
        <v>15420</v>
      </c>
      <c r="AK41" s="125" t="s">
        <v>287</v>
      </c>
      <c r="AL41" s="237">
        <v>12352.5</v>
      </c>
      <c r="AM41" s="15">
        <v>14620</v>
      </c>
      <c r="AN41" s="195">
        <f t="shared" si="15"/>
        <v>1.1835660797409431</v>
      </c>
      <c r="AO41" s="235">
        <f>[3]HIDRO!$I$94</f>
        <v>20640</v>
      </c>
      <c r="AP41" s="236"/>
      <c r="AQ41" s="180">
        <v>15420</v>
      </c>
      <c r="AR41" s="125" t="s">
        <v>287</v>
      </c>
      <c r="AS41" s="193">
        <v>0</v>
      </c>
      <c r="AT41" s="191">
        <v>0</v>
      </c>
      <c r="AU41" s="195"/>
      <c r="AV41" s="234"/>
      <c r="AW41" s="239"/>
      <c r="AX41" s="180">
        <v>15420</v>
      </c>
      <c r="AY41" s="125" t="s">
        <v>287</v>
      </c>
      <c r="AZ41" s="237">
        <v>0</v>
      </c>
      <c r="BA41" s="15">
        <v>0</v>
      </c>
      <c r="BB41" s="195"/>
      <c r="BC41" s="202"/>
    </row>
    <row r="42" spans="1:55" s="209" customFormat="1" ht="21" customHeight="1">
      <c r="A42" s="180">
        <v>15421</v>
      </c>
      <c r="B42" s="125" t="s">
        <v>409</v>
      </c>
      <c r="C42" s="191">
        <v>0</v>
      </c>
      <c r="D42" s="191">
        <f t="shared" si="8"/>
        <v>19520</v>
      </c>
      <c r="E42" s="195"/>
      <c r="F42" s="234">
        <f t="shared" si="9"/>
        <v>17080</v>
      </c>
      <c r="G42" s="236"/>
      <c r="H42" s="180">
        <v>15421</v>
      </c>
      <c r="I42" s="125" t="s">
        <v>409</v>
      </c>
      <c r="J42" s="237"/>
      <c r="K42" s="15">
        <v>0</v>
      </c>
      <c r="L42" s="195"/>
      <c r="M42" s="235"/>
      <c r="N42" s="236"/>
      <c r="O42" s="180">
        <v>15421</v>
      </c>
      <c r="P42" s="125" t="s">
        <v>409</v>
      </c>
      <c r="Q42" s="237"/>
      <c r="R42" s="15">
        <v>0</v>
      </c>
      <c r="S42" s="195"/>
      <c r="T42" s="235"/>
      <c r="U42" s="239"/>
      <c r="V42" s="180">
        <v>15421</v>
      </c>
      <c r="W42" s="125" t="s">
        <v>409</v>
      </c>
      <c r="X42" s="237">
        <v>0</v>
      </c>
      <c r="Y42" s="15">
        <v>9760</v>
      </c>
      <c r="Z42" s="195"/>
      <c r="AA42" s="235">
        <v>9760</v>
      </c>
      <c r="AB42" s="238"/>
      <c r="AC42" s="180">
        <v>15421</v>
      </c>
      <c r="AD42" s="125" t="s">
        <v>409</v>
      </c>
      <c r="AE42" s="237"/>
      <c r="AF42" s="15">
        <v>3660</v>
      </c>
      <c r="AG42" s="195"/>
      <c r="AH42" s="235">
        <f>[3]DIHU!$Z$94</f>
        <v>2440</v>
      </c>
      <c r="AI42" s="367"/>
      <c r="AJ42" s="180">
        <v>15421</v>
      </c>
      <c r="AK42" s="125" t="s">
        <v>409</v>
      </c>
      <c r="AL42" s="237"/>
      <c r="AM42" s="15">
        <v>2440</v>
      </c>
      <c r="AN42" s="195"/>
      <c r="AO42" s="235">
        <f>[3]HIDRO!$Z$94</f>
        <v>2440</v>
      </c>
      <c r="AP42" s="236"/>
      <c r="AQ42" s="180">
        <v>15421</v>
      </c>
      <c r="AR42" s="125" t="s">
        <v>409</v>
      </c>
      <c r="AS42" s="193">
        <v>0</v>
      </c>
      <c r="AT42" s="191">
        <v>2440</v>
      </c>
      <c r="AU42" s="195"/>
      <c r="AV42" s="234">
        <v>2440</v>
      </c>
      <c r="AW42" s="239"/>
      <c r="AX42" s="180">
        <v>15421</v>
      </c>
      <c r="AY42" s="125" t="s">
        <v>409</v>
      </c>
      <c r="AZ42" s="237"/>
      <c r="BA42" s="15">
        <v>1220</v>
      </c>
      <c r="BB42" s="195"/>
      <c r="BC42" s="202">
        <f>[3]COSTOS!$Z$94</f>
        <v>0</v>
      </c>
    </row>
    <row r="43" spans="1:55" s="209" customFormat="1" ht="21" customHeight="1">
      <c r="A43" s="180">
        <v>15423</v>
      </c>
      <c r="B43" s="125" t="s">
        <v>288</v>
      </c>
      <c r="C43" s="191">
        <v>24190</v>
      </c>
      <c r="D43" s="191">
        <f t="shared" si="8"/>
        <v>0</v>
      </c>
      <c r="E43" s="195">
        <f t="shared" si="10"/>
        <v>0</v>
      </c>
      <c r="F43" s="234">
        <f t="shared" si="9"/>
        <v>25357.5</v>
      </c>
      <c r="G43" s="236"/>
      <c r="H43" s="180">
        <v>15423</v>
      </c>
      <c r="I43" s="125" t="s">
        <v>288</v>
      </c>
      <c r="J43" s="237">
        <v>0</v>
      </c>
      <c r="K43" s="15">
        <v>0</v>
      </c>
      <c r="L43" s="195"/>
      <c r="M43" s="235"/>
      <c r="N43" s="236"/>
      <c r="O43" s="180">
        <v>15423</v>
      </c>
      <c r="P43" s="125" t="s">
        <v>288</v>
      </c>
      <c r="Q43" s="237">
        <v>590</v>
      </c>
      <c r="R43" s="15">
        <v>0</v>
      </c>
      <c r="S43" s="195">
        <f t="shared" si="12"/>
        <v>0</v>
      </c>
      <c r="T43" s="235">
        <v>630</v>
      </c>
      <c r="U43" s="239"/>
      <c r="V43" s="180">
        <v>15423</v>
      </c>
      <c r="W43" s="125" t="s">
        <v>288</v>
      </c>
      <c r="X43" s="237">
        <v>9440</v>
      </c>
      <c r="Y43" s="15">
        <v>0</v>
      </c>
      <c r="Z43" s="195">
        <f t="shared" si="13"/>
        <v>0</v>
      </c>
      <c r="AA43" s="235">
        <v>10710</v>
      </c>
      <c r="AB43" s="238"/>
      <c r="AC43" s="180">
        <v>15423</v>
      </c>
      <c r="AD43" s="125" t="s">
        <v>288</v>
      </c>
      <c r="AE43" s="237">
        <v>5310</v>
      </c>
      <c r="AF43" s="15">
        <v>0</v>
      </c>
      <c r="AG43" s="195">
        <f t="shared" si="14"/>
        <v>0</v>
      </c>
      <c r="AH43" s="235">
        <f>[3]DIHU!$AF$94</f>
        <v>5670</v>
      </c>
      <c r="AI43" s="367"/>
      <c r="AJ43" s="180">
        <v>15423</v>
      </c>
      <c r="AK43" s="125" t="s">
        <v>288</v>
      </c>
      <c r="AL43" s="237">
        <v>3540</v>
      </c>
      <c r="AM43" s="15">
        <v>0</v>
      </c>
      <c r="AN43" s="195">
        <f t="shared" si="15"/>
        <v>0</v>
      </c>
      <c r="AO43" s="235">
        <f>[3]HIDRO!$AF$94</f>
        <v>3307.5</v>
      </c>
      <c r="AP43" s="236"/>
      <c r="AQ43" s="180">
        <v>15423</v>
      </c>
      <c r="AR43" s="125" t="s">
        <v>288</v>
      </c>
      <c r="AS43" s="193">
        <v>4720</v>
      </c>
      <c r="AT43" s="191">
        <v>0</v>
      </c>
      <c r="AU43" s="195">
        <f t="shared" si="16"/>
        <v>0</v>
      </c>
      <c r="AV43" s="234">
        <v>5040</v>
      </c>
      <c r="AW43" s="239"/>
      <c r="AX43" s="180">
        <v>15423</v>
      </c>
      <c r="AY43" s="125" t="s">
        <v>288</v>
      </c>
      <c r="AZ43" s="237">
        <v>590</v>
      </c>
      <c r="BA43" s="15">
        <v>0</v>
      </c>
      <c r="BB43" s="195">
        <f t="shared" si="17"/>
        <v>0</v>
      </c>
      <c r="BC43" s="202">
        <v>0</v>
      </c>
    </row>
    <row r="44" spans="1:55" s="209" customFormat="1" ht="21" customHeight="1">
      <c r="A44" s="180">
        <v>15424</v>
      </c>
      <c r="B44" s="125" t="s">
        <v>289</v>
      </c>
      <c r="C44" s="191">
        <v>16085</v>
      </c>
      <c r="D44" s="191">
        <f t="shared" si="8"/>
        <v>15770</v>
      </c>
      <c r="E44" s="195">
        <f t="shared" si="10"/>
        <v>0.98041653714640975</v>
      </c>
      <c r="F44" s="234">
        <f t="shared" si="9"/>
        <v>15770</v>
      </c>
      <c r="G44" s="236"/>
      <c r="H44" s="180">
        <v>15424</v>
      </c>
      <c r="I44" s="125" t="s">
        <v>289</v>
      </c>
      <c r="J44" s="237">
        <v>0</v>
      </c>
      <c r="K44" s="15">
        <v>0</v>
      </c>
      <c r="L44" s="195"/>
      <c r="M44" s="235"/>
      <c r="N44" s="236"/>
      <c r="O44" s="180">
        <v>15424</v>
      </c>
      <c r="P44" s="125" t="s">
        <v>289</v>
      </c>
      <c r="Q44" s="237">
        <v>0</v>
      </c>
      <c r="R44" s="15">
        <v>0</v>
      </c>
      <c r="S44" s="195"/>
      <c r="T44" s="235"/>
      <c r="U44" s="239"/>
      <c r="V44" s="180">
        <v>15424</v>
      </c>
      <c r="W44" s="125" t="s">
        <v>289</v>
      </c>
      <c r="X44" s="237">
        <v>3750</v>
      </c>
      <c r="Y44" s="15">
        <v>4150</v>
      </c>
      <c r="Z44" s="195">
        <f t="shared" si="13"/>
        <v>1.1066666666666667</v>
      </c>
      <c r="AA44" s="235">
        <v>4150</v>
      </c>
      <c r="AB44" s="238"/>
      <c r="AC44" s="180">
        <v>15424</v>
      </c>
      <c r="AD44" s="125" t="s">
        <v>289</v>
      </c>
      <c r="AE44" s="237">
        <v>6335</v>
      </c>
      <c r="AF44" s="15">
        <v>4980</v>
      </c>
      <c r="AG44" s="195">
        <f t="shared" si="14"/>
        <v>0.78610891870560384</v>
      </c>
      <c r="AH44" s="235">
        <f>[3]DIHU!$AA$94</f>
        <v>4980</v>
      </c>
      <c r="AI44" s="367"/>
      <c r="AJ44" s="180">
        <v>15424</v>
      </c>
      <c r="AK44" s="125" t="s">
        <v>289</v>
      </c>
      <c r="AL44" s="237">
        <v>1500</v>
      </c>
      <c r="AM44" s="15">
        <v>1660</v>
      </c>
      <c r="AN44" s="195">
        <f t="shared" si="15"/>
        <v>1.1066666666666667</v>
      </c>
      <c r="AO44" s="235">
        <f>[3]HIDRO!$AA$94</f>
        <v>1660</v>
      </c>
      <c r="AP44" s="236"/>
      <c r="AQ44" s="180">
        <v>15424</v>
      </c>
      <c r="AR44" s="125" t="s">
        <v>289</v>
      </c>
      <c r="AS44" s="193">
        <v>4500</v>
      </c>
      <c r="AT44" s="191">
        <v>4980</v>
      </c>
      <c r="AU44" s="195">
        <f t="shared" si="16"/>
        <v>1.1066666666666667</v>
      </c>
      <c r="AV44" s="234">
        <v>4980</v>
      </c>
      <c r="AW44" s="239"/>
      <c r="AX44" s="180">
        <v>15424</v>
      </c>
      <c r="AY44" s="125" t="s">
        <v>289</v>
      </c>
      <c r="AZ44" s="237">
        <v>0</v>
      </c>
      <c r="BA44" s="15">
        <v>0</v>
      </c>
      <c r="BB44" s="195"/>
      <c r="BC44" s="202">
        <v>0</v>
      </c>
    </row>
    <row r="45" spans="1:55" s="209" customFormat="1" ht="21" customHeight="1">
      <c r="A45" s="180">
        <v>15425</v>
      </c>
      <c r="B45" s="125" t="s">
        <v>290</v>
      </c>
      <c r="C45" s="191">
        <v>133588</v>
      </c>
      <c r="D45" s="191">
        <f t="shared" si="8"/>
        <v>142416</v>
      </c>
      <c r="E45" s="195">
        <f t="shared" si="10"/>
        <v>1.0660837799802378</v>
      </c>
      <c r="F45" s="234">
        <f t="shared" si="9"/>
        <v>200853</v>
      </c>
      <c r="G45" s="236"/>
      <c r="H45" s="180">
        <v>15425</v>
      </c>
      <c r="I45" s="125" t="s">
        <v>290</v>
      </c>
      <c r="J45" s="237">
        <v>5963.75</v>
      </c>
      <c r="K45" s="15">
        <v>6192</v>
      </c>
      <c r="L45" s="195">
        <f t="shared" si="11"/>
        <v>1.038272898763362</v>
      </c>
      <c r="M45" s="235">
        <v>9288</v>
      </c>
      <c r="N45" s="236"/>
      <c r="O45" s="180">
        <v>15425</v>
      </c>
      <c r="P45" s="125" t="s">
        <v>290</v>
      </c>
      <c r="Q45" s="237">
        <v>2981.875</v>
      </c>
      <c r="R45" s="15">
        <v>3096</v>
      </c>
      <c r="S45" s="195">
        <f t="shared" si="12"/>
        <v>1.038272898763362</v>
      </c>
      <c r="T45" s="235">
        <v>4644</v>
      </c>
      <c r="U45" s="239"/>
      <c r="V45" s="180">
        <v>15425</v>
      </c>
      <c r="W45" s="125" t="s">
        <v>290</v>
      </c>
      <c r="X45" s="237">
        <v>52159.875</v>
      </c>
      <c r="Y45" s="15">
        <v>55728</v>
      </c>
      <c r="Z45" s="195">
        <f t="shared" si="13"/>
        <v>1.0684074683844622</v>
      </c>
      <c r="AA45" s="235">
        <v>83592</v>
      </c>
      <c r="AB45" s="238"/>
      <c r="AC45" s="180">
        <v>15425</v>
      </c>
      <c r="AD45" s="125" t="s">
        <v>290</v>
      </c>
      <c r="AE45" s="237">
        <v>27937.875</v>
      </c>
      <c r="AF45" s="15">
        <v>30960</v>
      </c>
      <c r="AG45" s="195">
        <f t="shared" si="14"/>
        <v>1.1081730446571187</v>
      </c>
      <c r="AH45" s="235">
        <f>[3]DIHU!$Q$94</f>
        <v>41796</v>
      </c>
      <c r="AI45" s="367"/>
      <c r="AJ45" s="180">
        <v>15425</v>
      </c>
      <c r="AK45" s="125" t="s">
        <v>290</v>
      </c>
      <c r="AL45" s="237">
        <v>17891.25</v>
      </c>
      <c r="AM45" s="15">
        <v>18576</v>
      </c>
      <c r="AN45" s="195">
        <f t="shared" si="15"/>
        <v>1.038272898763362</v>
      </c>
      <c r="AO45" s="235">
        <f>[3]HIDRO!$Q$94</f>
        <v>24381</v>
      </c>
      <c r="AP45" s="236"/>
      <c r="AQ45" s="180">
        <v>15425</v>
      </c>
      <c r="AR45" s="125" t="s">
        <v>290</v>
      </c>
      <c r="AS45" s="193">
        <v>23855</v>
      </c>
      <c r="AT45" s="191">
        <v>24768</v>
      </c>
      <c r="AU45" s="195">
        <f t="shared" si="16"/>
        <v>1.038272898763362</v>
      </c>
      <c r="AV45" s="234">
        <v>37152</v>
      </c>
      <c r="AW45" s="239"/>
      <c r="AX45" s="180">
        <v>15425</v>
      </c>
      <c r="AY45" s="125" t="s">
        <v>290</v>
      </c>
      <c r="AZ45" s="237">
        <v>2798.375</v>
      </c>
      <c r="BA45" s="15">
        <v>3096</v>
      </c>
      <c r="BB45" s="195">
        <f t="shared" si="17"/>
        <v>1.1063563675347299</v>
      </c>
      <c r="BC45" s="202">
        <v>0</v>
      </c>
    </row>
    <row r="46" spans="1:55" s="209" customFormat="1" ht="21" customHeight="1">
      <c r="A46" s="180">
        <v>15426</v>
      </c>
      <c r="B46" s="125" t="s">
        <v>291</v>
      </c>
      <c r="C46" s="191">
        <v>7760</v>
      </c>
      <c r="D46" s="191">
        <f t="shared" si="8"/>
        <v>8240</v>
      </c>
      <c r="E46" s="195">
        <f t="shared" si="10"/>
        <v>1.0618556701030928</v>
      </c>
      <c r="F46" s="234">
        <f t="shared" si="9"/>
        <v>12360</v>
      </c>
      <c r="G46" s="236"/>
      <c r="H46" s="180">
        <v>15426</v>
      </c>
      <c r="I46" s="125" t="s">
        <v>291</v>
      </c>
      <c r="J46" s="237">
        <v>0</v>
      </c>
      <c r="K46" s="15">
        <v>0</v>
      </c>
      <c r="L46" s="195"/>
      <c r="M46" s="235">
        <v>0</v>
      </c>
      <c r="N46" s="236"/>
      <c r="O46" s="180">
        <v>15426</v>
      </c>
      <c r="P46" s="125" t="s">
        <v>291</v>
      </c>
      <c r="Q46" s="237">
        <v>0</v>
      </c>
      <c r="R46" s="15">
        <v>0</v>
      </c>
      <c r="S46" s="195"/>
      <c r="T46" s="235"/>
      <c r="U46" s="239"/>
      <c r="V46" s="180">
        <v>15426</v>
      </c>
      <c r="W46" s="125" t="s">
        <v>291</v>
      </c>
      <c r="X46" s="237">
        <v>7760</v>
      </c>
      <c r="Y46" s="15">
        <v>8240</v>
      </c>
      <c r="Z46" s="195">
        <f t="shared" si="13"/>
        <v>1.0618556701030928</v>
      </c>
      <c r="AA46" s="235">
        <v>12360</v>
      </c>
      <c r="AB46" s="238"/>
      <c r="AC46" s="180">
        <v>15426</v>
      </c>
      <c r="AD46" s="125" t="s">
        <v>291</v>
      </c>
      <c r="AE46" s="237">
        <v>0</v>
      </c>
      <c r="AF46" s="15">
        <v>0</v>
      </c>
      <c r="AG46" s="195"/>
      <c r="AH46" s="235"/>
      <c r="AI46" s="367"/>
      <c r="AJ46" s="180">
        <v>15426</v>
      </c>
      <c r="AK46" s="125" t="s">
        <v>291</v>
      </c>
      <c r="AL46" s="237">
        <v>0</v>
      </c>
      <c r="AM46" s="15">
        <v>0</v>
      </c>
      <c r="AN46" s="195"/>
      <c r="AO46" s="235"/>
      <c r="AP46" s="236"/>
      <c r="AQ46" s="180">
        <v>15426</v>
      </c>
      <c r="AR46" s="125" t="s">
        <v>291</v>
      </c>
      <c r="AS46" s="193">
        <v>0</v>
      </c>
      <c r="AT46" s="191">
        <v>0</v>
      </c>
      <c r="AU46" s="195"/>
      <c r="AV46" s="234"/>
      <c r="AW46" s="239"/>
      <c r="AX46" s="180">
        <v>15426</v>
      </c>
      <c r="AY46" s="125" t="s">
        <v>291</v>
      </c>
      <c r="AZ46" s="237">
        <v>0</v>
      </c>
      <c r="BA46" s="15">
        <v>0</v>
      </c>
      <c r="BB46" s="195"/>
      <c r="BC46" s="202"/>
    </row>
    <row r="47" spans="1:55" s="209" customFormat="1" ht="21" customHeight="1">
      <c r="A47" s="180">
        <v>15427</v>
      </c>
      <c r="B47" s="125" t="s">
        <v>404</v>
      </c>
      <c r="C47" s="191">
        <v>38940</v>
      </c>
      <c r="D47" s="191">
        <f t="shared" si="8"/>
        <v>37170</v>
      </c>
      <c r="E47" s="195">
        <f t="shared" si="10"/>
        <v>0.95454545454545459</v>
      </c>
      <c r="F47" s="234">
        <f t="shared" si="9"/>
        <v>76050</v>
      </c>
      <c r="G47" s="236"/>
      <c r="H47" s="180">
        <v>15427</v>
      </c>
      <c r="I47" s="125" t="s">
        <v>404</v>
      </c>
      <c r="J47" s="237">
        <v>1770</v>
      </c>
      <c r="K47" s="15">
        <v>1770</v>
      </c>
      <c r="L47" s="195">
        <f t="shared" si="11"/>
        <v>1</v>
      </c>
      <c r="M47" s="235">
        <v>1800</v>
      </c>
      <c r="N47" s="236"/>
      <c r="O47" s="180">
        <v>15427</v>
      </c>
      <c r="P47" s="125" t="s">
        <v>404</v>
      </c>
      <c r="Q47" s="237">
        <v>885</v>
      </c>
      <c r="R47" s="15">
        <v>885</v>
      </c>
      <c r="S47" s="195">
        <f t="shared" si="12"/>
        <v>1</v>
      </c>
      <c r="T47" s="235">
        <v>3600</v>
      </c>
      <c r="U47" s="239"/>
      <c r="V47" s="180">
        <v>15427</v>
      </c>
      <c r="W47" s="125" t="s">
        <v>404</v>
      </c>
      <c r="X47" s="237">
        <v>14160</v>
      </c>
      <c r="Y47" s="15">
        <v>14160</v>
      </c>
      <c r="Z47" s="195">
        <f t="shared" si="13"/>
        <v>1</v>
      </c>
      <c r="AA47" s="235">
        <v>28800</v>
      </c>
      <c r="AB47" s="238"/>
      <c r="AC47" s="180">
        <v>15427</v>
      </c>
      <c r="AD47" s="125" t="s">
        <v>404</v>
      </c>
      <c r="AE47" s="237">
        <v>8850</v>
      </c>
      <c r="AF47" s="15">
        <v>8850</v>
      </c>
      <c r="AG47" s="195">
        <f t="shared" si="14"/>
        <v>1</v>
      </c>
      <c r="AH47" s="235">
        <f>[3]DIHU!$AB$94</f>
        <v>16200</v>
      </c>
      <c r="AI47" s="367"/>
      <c r="AJ47" s="180">
        <v>15427</v>
      </c>
      <c r="AK47" s="125" t="s">
        <v>404</v>
      </c>
      <c r="AL47" s="237">
        <v>5310</v>
      </c>
      <c r="AM47" s="15">
        <v>4425</v>
      </c>
      <c r="AN47" s="195">
        <f t="shared" si="15"/>
        <v>0.83333333333333337</v>
      </c>
      <c r="AO47" s="235">
        <f>[3]HIDRO!$AB$94</f>
        <v>11250</v>
      </c>
      <c r="AP47" s="236"/>
      <c r="AQ47" s="180">
        <v>15427</v>
      </c>
      <c r="AR47" s="125" t="s">
        <v>404</v>
      </c>
      <c r="AS47" s="193">
        <v>7080</v>
      </c>
      <c r="AT47" s="191">
        <v>7080</v>
      </c>
      <c r="AU47" s="195">
        <f t="shared" si="16"/>
        <v>1</v>
      </c>
      <c r="AV47" s="234">
        <v>14400</v>
      </c>
      <c r="AW47" s="239"/>
      <c r="AX47" s="180">
        <v>15427</v>
      </c>
      <c r="AY47" s="125" t="s">
        <v>404</v>
      </c>
      <c r="AZ47" s="237">
        <v>885</v>
      </c>
      <c r="BA47" s="15">
        <v>0</v>
      </c>
      <c r="BB47" s="195">
        <f t="shared" si="17"/>
        <v>0</v>
      </c>
      <c r="BC47" s="202"/>
    </row>
    <row r="48" spans="1:55" s="209" customFormat="1" ht="21" customHeight="1">
      <c r="A48" s="180" t="s">
        <v>293</v>
      </c>
      <c r="B48" s="125" t="s">
        <v>294</v>
      </c>
      <c r="C48" s="191">
        <v>5754872.6300000008</v>
      </c>
      <c r="D48" s="191">
        <f t="shared" si="8"/>
        <v>4078027.5</v>
      </c>
      <c r="E48" s="195">
        <f t="shared" si="10"/>
        <v>0.70862167804398468</v>
      </c>
      <c r="F48" s="234">
        <f t="shared" si="9"/>
        <v>5698574.955000001</v>
      </c>
      <c r="G48" s="236"/>
      <c r="H48" s="180" t="s">
        <v>293</v>
      </c>
      <c r="I48" s="125" t="s">
        <v>294</v>
      </c>
      <c r="J48" s="237">
        <v>280316.81000000006</v>
      </c>
      <c r="K48" s="15">
        <v>232795.00419805574</v>
      </c>
      <c r="L48" s="195">
        <f t="shared" si="11"/>
        <v>0.83047108091040167</v>
      </c>
      <c r="M48" s="235">
        <v>327074.03333333338</v>
      </c>
      <c r="N48" s="236"/>
      <c r="O48" s="180" t="s">
        <v>293</v>
      </c>
      <c r="P48" s="125" t="s">
        <v>294</v>
      </c>
      <c r="Q48" s="237">
        <v>236657.19999999995</v>
      </c>
      <c r="R48" s="15">
        <v>161426.67279690772</v>
      </c>
      <c r="S48" s="195">
        <f t="shared" si="12"/>
        <v>0.68211181741737736</v>
      </c>
      <c r="T48" s="235">
        <v>263514.52666666667</v>
      </c>
      <c r="U48" s="239"/>
      <c r="V48" s="180" t="s">
        <v>293</v>
      </c>
      <c r="W48" s="125" t="s">
        <v>294</v>
      </c>
      <c r="X48" s="237">
        <v>1833512.9700000002</v>
      </c>
      <c r="Y48" s="15">
        <v>1323413.1950315419</v>
      </c>
      <c r="Z48" s="195">
        <f t="shared" si="13"/>
        <v>0.72179101903573761</v>
      </c>
      <c r="AA48" s="235">
        <v>1955040.176666667</v>
      </c>
      <c r="AB48" s="238"/>
      <c r="AC48" s="180" t="s">
        <v>293</v>
      </c>
      <c r="AD48" s="125" t="s">
        <v>294</v>
      </c>
      <c r="AE48" s="237">
        <v>1131215.9100000001</v>
      </c>
      <c r="AF48" s="15">
        <v>800602.39707517251</v>
      </c>
      <c r="AG48" s="195">
        <f t="shared" si="14"/>
        <v>0.70773615363593356</v>
      </c>
      <c r="AH48" s="235">
        <f>[3]DIHU!$R$94</f>
        <v>961047.66666666686</v>
      </c>
      <c r="AI48" s="367"/>
      <c r="AJ48" s="180" t="s">
        <v>293</v>
      </c>
      <c r="AK48" s="125" t="s">
        <v>294</v>
      </c>
      <c r="AL48" s="237">
        <v>1085330.6799999997</v>
      </c>
      <c r="AM48" s="15">
        <v>698544.34305188712</v>
      </c>
      <c r="AN48" s="195">
        <f t="shared" si="15"/>
        <v>0.64362351117899597</v>
      </c>
      <c r="AO48" s="235">
        <f>[3]HIDRO!$R$94</f>
        <v>995477.87833333341</v>
      </c>
      <c r="AP48" s="236"/>
      <c r="AQ48" s="180" t="s">
        <v>293</v>
      </c>
      <c r="AR48" s="125" t="s">
        <v>294</v>
      </c>
      <c r="AS48" s="193">
        <v>702264.28000000026</v>
      </c>
      <c r="AT48" s="191">
        <v>512642.04867017455</v>
      </c>
      <c r="AU48" s="195">
        <f t="shared" si="16"/>
        <v>0.72998451333759184</v>
      </c>
      <c r="AV48" s="234">
        <v>757471.41333333333</v>
      </c>
      <c r="AW48" s="239"/>
      <c r="AX48" s="180" t="s">
        <v>293</v>
      </c>
      <c r="AY48" s="125" t="s">
        <v>294</v>
      </c>
      <c r="AZ48" s="237">
        <v>485574.78</v>
      </c>
      <c r="BA48" s="15">
        <v>348603.83917626052</v>
      </c>
      <c r="BB48" s="195">
        <f t="shared" si="17"/>
        <v>0.71791998582846606</v>
      </c>
      <c r="BC48" s="202">
        <f>[3]COSTOS!$R$94</f>
        <v>438949.26</v>
      </c>
    </row>
    <row r="49" spans="1:55" s="209" customFormat="1" ht="21" customHeight="1">
      <c r="A49" s="180">
        <v>16101</v>
      </c>
      <c r="B49" s="125" t="s">
        <v>405</v>
      </c>
      <c r="C49" s="191">
        <v>2239027.0000000005</v>
      </c>
      <c r="D49" s="191">
        <f t="shared" si="8"/>
        <v>0</v>
      </c>
      <c r="E49" s="195">
        <f t="shared" si="10"/>
        <v>0</v>
      </c>
      <c r="F49" s="234">
        <f t="shared" si="9"/>
        <v>1964510</v>
      </c>
      <c r="G49" s="236"/>
      <c r="H49" s="180">
        <v>16101</v>
      </c>
      <c r="I49" s="125" t="s">
        <v>405</v>
      </c>
      <c r="J49" s="237">
        <v>134045.25431556301</v>
      </c>
      <c r="K49" s="15">
        <v>0</v>
      </c>
      <c r="L49" s="195">
        <f t="shared" si="11"/>
        <v>0</v>
      </c>
      <c r="M49" s="235">
        <v>1964510</v>
      </c>
      <c r="N49" s="236"/>
      <c r="O49" s="180">
        <v>16101</v>
      </c>
      <c r="P49" s="125" t="s">
        <v>405</v>
      </c>
      <c r="Q49" s="237">
        <v>100536.08051258911</v>
      </c>
      <c r="R49" s="15">
        <v>0</v>
      </c>
      <c r="S49" s="195">
        <f t="shared" si="12"/>
        <v>0</v>
      </c>
      <c r="T49" s="235"/>
      <c r="U49" s="239"/>
      <c r="V49" s="180">
        <v>16101</v>
      </c>
      <c r="W49" s="125" t="s">
        <v>405</v>
      </c>
      <c r="X49" s="237">
        <v>727875.23012385017</v>
      </c>
      <c r="Y49" s="15">
        <v>0</v>
      </c>
      <c r="Z49" s="195">
        <f t="shared" si="13"/>
        <v>0</v>
      </c>
      <c r="AA49" s="235"/>
      <c r="AB49" s="238"/>
      <c r="AC49" s="180">
        <v>16101</v>
      </c>
      <c r="AD49" s="125" t="s">
        <v>405</v>
      </c>
      <c r="AE49" s="237">
        <v>488693.76612470229</v>
      </c>
      <c r="AF49" s="15">
        <v>0</v>
      </c>
      <c r="AG49" s="195">
        <f t="shared" si="14"/>
        <v>0</v>
      </c>
      <c r="AH49" s="235"/>
      <c r="AI49" s="367"/>
      <c r="AJ49" s="180">
        <v>16101</v>
      </c>
      <c r="AK49" s="125" t="s">
        <v>405</v>
      </c>
      <c r="AL49" s="237">
        <v>324204.41669217235</v>
      </c>
      <c r="AM49" s="15">
        <v>0</v>
      </c>
      <c r="AN49" s="195">
        <f t="shared" si="15"/>
        <v>0</v>
      </c>
      <c r="AO49" s="235"/>
      <c r="AP49" s="236"/>
      <c r="AQ49" s="180">
        <v>16101</v>
      </c>
      <c r="AR49" s="125" t="s">
        <v>405</v>
      </c>
      <c r="AS49" s="193">
        <v>276731.17136062327</v>
      </c>
      <c r="AT49" s="191">
        <v>0</v>
      </c>
      <c r="AU49" s="195">
        <f t="shared" si="16"/>
        <v>0</v>
      </c>
      <c r="AV49" s="234"/>
      <c r="AW49" s="239"/>
      <c r="AX49" s="180">
        <v>16101</v>
      </c>
      <c r="AY49" s="125" t="s">
        <v>405</v>
      </c>
      <c r="AZ49" s="237">
        <v>186941.08087050018</v>
      </c>
      <c r="BA49" s="15">
        <v>0</v>
      </c>
      <c r="BB49" s="195">
        <f t="shared" si="17"/>
        <v>0</v>
      </c>
      <c r="BC49" s="202"/>
    </row>
    <row r="50" spans="1:55" s="209" customFormat="1" ht="21" customHeight="1">
      <c r="A50" s="180" t="s">
        <v>295</v>
      </c>
      <c r="B50" s="125" t="s">
        <v>296</v>
      </c>
      <c r="C50" s="191">
        <v>495137.48999999993</v>
      </c>
      <c r="D50" s="191">
        <f t="shared" si="8"/>
        <v>330463.35999999999</v>
      </c>
      <c r="E50" s="195">
        <f t="shared" si="10"/>
        <v>0.66741736724480316</v>
      </c>
      <c r="F50" s="234">
        <f t="shared" si="9"/>
        <v>521795.04000000004</v>
      </c>
      <c r="G50" s="236"/>
      <c r="H50" s="180" t="s">
        <v>295</v>
      </c>
      <c r="I50" s="125" t="s">
        <v>296</v>
      </c>
      <c r="J50" s="237">
        <v>78000</v>
      </c>
      <c r="K50" s="15">
        <v>52000</v>
      </c>
      <c r="L50" s="195">
        <f t="shared" si="11"/>
        <v>0.66666666666666663</v>
      </c>
      <c r="M50" s="235">
        <v>78000</v>
      </c>
      <c r="N50" s="236"/>
      <c r="O50" s="180" t="s">
        <v>295</v>
      </c>
      <c r="P50" s="125" t="s">
        <v>296</v>
      </c>
      <c r="Q50" s="237">
        <v>0</v>
      </c>
      <c r="R50" s="15">
        <v>0</v>
      </c>
      <c r="S50" s="195"/>
      <c r="T50" s="235"/>
      <c r="U50" s="236"/>
      <c r="V50" s="180" t="s">
        <v>295</v>
      </c>
      <c r="W50" s="125" t="s">
        <v>296</v>
      </c>
      <c r="X50" s="237">
        <v>304145.03999999992</v>
      </c>
      <c r="Y50" s="15">
        <v>203263.35999999999</v>
      </c>
      <c r="Z50" s="195">
        <f t="shared" si="13"/>
        <v>0.66831061917038015</v>
      </c>
      <c r="AA50" s="235">
        <v>315395.04000000004</v>
      </c>
      <c r="AB50" s="238"/>
      <c r="AC50" s="180" t="s">
        <v>295</v>
      </c>
      <c r="AD50" s="125" t="s">
        <v>296</v>
      </c>
      <c r="AE50" s="237">
        <v>42942.45</v>
      </c>
      <c r="AF50" s="15">
        <v>25000</v>
      </c>
      <c r="AG50" s="195">
        <f t="shared" si="14"/>
        <v>0.5821745149613029</v>
      </c>
      <c r="AH50" s="235">
        <f>[3]DIHU!$O$94</f>
        <v>34800</v>
      </c>
      <c r="AI50" s="367"/>
      <c r="AJ50" s="180" t="s">
        <v>295</v>
      </c>
      <c r="AK50" s="125" t="s">
        <v>296</v>
      </c>
      <c r="AL50" s="237">
        <v>36050</v>
      </c>
      <c r="AM50" s="15">
        <v>23200</v>
      </c>
      <c r="AN50" s="195">
        <f t="shared" si="15"/>
        <v>0.64355062413314845</v>
      </c>
      <c r="AO50" s="235">
        <f>[3]HIDRO!$O$94</f>
        <v>34800</v>
      </c>
      <c r="AP50" s="236"/>
      <c r="AQ50" s="180" t="s">
        <v>295</v>
      </c>
      <c r="AR50" s="125" t="s">
        <v>296</v>
      </c>
      <c r="AS50" s="193">
        <v>5250</v>
      </c>
      <c r="AT50" s="191">
        <v>6000</v>
      </c>
      <c r="AU50" s="195">
        <f t="shared" si="16"/>
        <v>1.1428571428571428</v>
      </c>
      <c r="AV50" s="234">
        <v>30000</v>
      </c>
      <c r="AW50" s="236"/>
      <c r="AX50" s="180" t="s">
        <v>295</v>
      </c>
      <c r="AY50" s="125" t="s">
        <v>296</v>
      </c>
      <c r="AZ50" s="237">
        <v>28750</v>
      </c>
      <c r="BA50" s="15">
        <v>21000</v>
      </c>
      <c r="BB50" s="195">
        <f t="shared" si="17"/>
        <v>0.73043478260869565</v>
      </c>
      <c r="BC50" s="202">
        <f>[3]COSTOS!$O$94</f>
        <v>28800</v>
      </c>
    </row>
    <row r="51" spans="1:55" s="209" customFormat="1" ht="21" customHeight="1">
      <c r="A51" s="180" t="s">
        <v>297</v>
      </c>
      <c r="B51" s="125" t="s">
        <v>298</v>
      </c>
      <c r="C51" s="191">
        <v>64500</v>
      </c>
      <c r="D51" s="191">
        <f t="shared" si="8"/>
        <v>97800</v>
      </c>
      <c r="E51" s="195">
        <f t="shared" si="10"/>
        <v>1.5162790697674418</v>
      </c>
      <c r="F51" s="234">
        <f t="shared" si="9"/>
        <v>141680</v>
      </c>
      <c r="G51" s="236"/>
      <c r="H51" s="180" t="s">
        <v>297</v>
      </c>
      <c r="I51" s="125" t="s">
        <v>298</v>
      </c>
      <c r="J51" s="237">
        <v>0</v>
      </c>
      <c r="K51" s="15">
        <v>0</v>
      </c>
      <c r="L51" s="195"/>
      <c r="M51" s="235"/>
      <c r="N51" s="236"/>
      <c r="O51" s="180" t="s">
        <v>297</v>
      </c>
      <c r="P51" s="125" t="s">
        <v>298</v>
      </c>
      <c r="Q51" s="237">
        <v>1720</v>
      </c>
      <c r="R51" s="15">
        <v>2620</v>
      </c>
      <c r="S51" s="195">
        <f t="shared" si="12"/>
        <v>1.5232558139534884</v>
      </c>
      <c r="T51" s="235">
        <v>3520</v>
      </c>
      <c r="U51" s="239"/>
      <c r="V51" s="180" t="s">
        <v>297</v>
      </c>
      <c r="W51" s="125" t="s">
        <v>298</v>
      </c>
      <c r="X51" s="237">
        <v>26660</v>
      </c>
      <c r="Y51" s="15">
        <v>41060</v>
      </c>
      <c r="Z51" s="195">
        <f t="shared" si="13"/>
        <v>1.5401350337584396</v>
      </c>
      <c r="AA51" s="235">
        <v>59840</v>
      </c>
      <c r="AB51" s="238"/>
      <c r="AC51" s="180" t="s">
        <v>297</v>
      </c>
      <c r="AD51" s="125" t="s">
        <v>298</v>
      </c>
      <c r="AE51" s="237">
        <v>12900</v>
      </c>
      <c r="AF51" s="15">
        <v>19200</v>
      </c>
      <c r="AG51" s="195">
        <f t="shared" si="14"/>
        <v>1.4883720930232558</v>
      </c>
      <c r="AH51" s="235">
        <f>[3]DIHU!$AC$94</f>
        <v>31680</v>
      </c>
      <c r="AI51" s="367"/>
      <c r="AJ51" s="180" t="s">
        <v>297</v>
      </c>
      <c r="AK51" s="125" t="s">
        <v>298</v>
      </c>
      <c r="AL51" s="237">
        <v>10320</v>
      </c>
      <c r="AM51" s="15">
        <v>15720</v>
      </c>
      <c r="AN51" s="195">
        <f t="shared" si="15"/>
        <v>1.5232558139534884</v>
      </c>
      <c r="AO51" s="235">
        <f>[3]HIDRO!$AC$94</f>
        <v>18480</v>
      </c>
      <c r="AP51" s="236"/>
      <c r="AQ51" s="180" t="s">
        <v>297</v>
      </c>
      <c r="AR51" s="125" t="s">
        <v>298</v>
      </c>
      <c r="AS51" s="193">
        <v>11180</v>
      </c>
      <c r="AT51" s="191">
        <v>18340</v>
      </c>
      <c r="AU51" s="195">
        <f t="shared" si="16"/>
        <v>1.6404293381037567</v>
      </c>
      <c r="AV51" s="234">
        <v>28160</v>
      </c>
      <c r="AW51" s="239"/>
      <c r="AX51" s="180" t="s">
        <v>297</v>
      </c>
      <c r="AY51" s="125" t="s">
        <v>298</v>
      </c>
      <c r="AZ51" s="237">
        <v>1720</v>
      </c>
      <c r="BA51" s="15">
        <v>860</v>
      </c>
      <c r="BB51" s="195">
        <f t="shared" si="17"/>
        <v>0.5</v>
      </c>
      <c r="BC51" s="202">
        <v>0</v>
      </c>
    </row>
    <row r="52" spans="1:55" s="209" customFormat="1" ht="21" customHeight="1">
      <c r="A52" s="180">
        <v>17105</v>
      </c>
      <c r="B52" s="125" t="s">
        <v>299</v>
      </c>
      <c r="C52" s="191">
        <v>160951.36000000002</v>
      </c>
      <c r="D52" s="191">
        <f t="shared" si="8"/>
        <v>169521.15999999997</v>
      </c>
      <c r="E52" s="195">
        <f t="shared" si="10"/>
        <v>1.0532446572678849</v>
      </c>
      <c r="F52" s="234">
        <f t="shared" si="9"/>
        <v>235731.59999999998</v>
      </c>
      <c r="G52" s="236"/>
      <c r="H52" s="180">
        <v>17105</v>
      </c>
      <c r="I52" s="125" t="s">
        <v>299</v>
      </c>
      <c r="J52" s="237">
        <v>0</v>
      </c>
      <c r="K52" s="15">
        <v>0</v>
      </c>
      <c r="L52" s="195"/>
      <c r="M52" s="235"/>
      <c r="N52" s="236"/>
      <c r="O52" s="180">
        <v>17105</v>
      </c>
      <c r="P52" s="125" t="s">
        <v>299</v>
      </c>
      <c r="Q52" s="237">
        <v>0</v>
      </c>
      <c r="R52" s="15">
        <v>0</v>
      </c>
      <c r="S52" s="195"/>
      <c r="T52" s="235"/>
      <c r="U52" s="239"/>
      <c r="V52" s="180">
        <v>17105</v>
      </c>
      <c r="W52" s="125" t="s">
        <v>299</v>
      </c>
      <c r="X52" s="237">
        <v>51860.32</v>
      </c>
      <c r="Y52" s="15">
        <v>53934.559999999998</v>
      </c>
      <c r="Z52" s="195">
        <f t="shared" si="13"/>
        <v>1.039996667972739</v>
      </c>
      <c r="AA52" s="235">
        <v>80901.84</v>
      </c>
      <c r="AB52" s="238"/>
      <c r="AC52" s="180">
        <v>17105</v>
      </c>
      <c r="AD52" s="125" t="s">
        <v>299</v>
      </c>
      <c r="AE52" s="237">
        <v>25022.720000000001</v>
      </c>
      <c r="AF52" s="15">
        <v>26023.519999999997</v>
      </c>
      <c r="AG52" s="195">
        <f t="shared" si="14"/>
        <v>1.0399956519515063</v>
      </c>
      <c r="AH52" s="235">
        <f>[3]DIHU!$P$94</f>
        <v>39035.279999999999</v>
      </c>
      <c r="AI52" s="367"/>
      <c r="AJ52" s="180">
        <v>17105</v>
      </c>
      <c r="AK52" s="125" t="s">
        <v>299</v>
      </c>
      <c r="AL52" s="237">
        <v>70947.039999999994</v>
      </c>
      <c r="AM52" s="15">
        <v>75917</v>
      </c>
      <c r="AN52" s="195">
        <f t="shared" si="15"/>
        <v>1.0700516892600453</v>
      </c>
      <c r="AO52" s="235">
        <f>[3]HIDRO!$P$94</f>
        <v>95325.359999999986</v>
      </c>
      <c r="AP52" s="236"/>
      <c r="AQ52" s="180">
        <v>17105</v>
      </c>
      <c r="AR52" s="125" t="s">
        <v>299</v>
      </c>
      <c r="AS52" s="193">
        <v>13121.28</v>
      </c>
      <c r="AT52" s="191">
        <v>13646.08</v>
      </c>
      <c r="AU52" s="195">
        <f t="shared" si="16"/>
        <v>1.0399960979416643</v>
      </c>
      <c r="AV52" s="234">
        <v>20469.12</v>
      </c>
      <c r="AW52" s="239"/>
      <c r="AX52" s="180">
        <v>17105</v>
      </c>
      <c r="AY52" s="125" t="s">
        <v>299</v>
      </c>
      <c r="AZ52" s="237">
        <v>0</v>
      </c>
      <c r="BA52" s="15">
        <v>0</v>
      </c>
      <c r="BB52" s="195"/>
      <c r="BC52" s="202"/>
    </row>
    <row r="53" spans="1:55" s="10" customFormat="1" ht="21" customHeight="1" thickBot="1">
      <c r="A53" s="186"/>
      <c r="B53" s="187"/>
      <c r="C53" s="187"/>
      <c r="D53" s="201">
        <v>0</v>
      </c>
      <c r="E53" s="201"/>
      <c r="F53" s="189">
        <v>0</v>
      </c>
      <c r="G53" s="7"/>
      <c r="H53" s="186"/>
      <c r="I53" s="187"/>
      <c r="J53" s="187"/>
      <c r="K53" s="188"/>
      <c r="L53" s="188"/>
      <c r="M53" s="190"/>
      <c r="N53" s="179"/>
      <c r="O53" s="186"/>
      <c r="P53" s="187"/>
      <c r="Q53" s="187"/>
      <c r="R53" s="188"/>
      <c r="S53" s="188"/>
      <c r="T53" s="190"/>
      <c r="V53" s="186"/>
      <c r="W53" s="187"/>
      <c r="X53" s="187"/>
      <c r="Y53" s="188"/>
      <c r="Z53" s="188"/>
      <c r="AA53" s="190"/>
      <c r="AB53" s="183"/>
      <c r="AC53" s="186"/>
      <c r="AD53" s="187"/>
      <c r="AE53" s="187"/>
      <c r="AF53" s="188"/>
      <c r="AG53" s="188"/>
      <c r="AH53" s="190"/>
      <c r="AI53" s="366"/>
      <c r="AJ53" s="186"/>
      <c r="AK53" s="187"/>
      <c r="AL53" s="187"/>
      <c r="AM53" s="188"/>
      <c r="AN53" s="188"/>
      <c r="AO53" s="190"/>
      <c r="AP53" s="179"/>
      <c r="AQ53" s="186"/>
      <c r="AR53" s="187"/>
      <c r="AS53" s="187"/>
      <c r="AT53" s="201"/>
      <c r="AU53" s="201"/>
      <c r="AV53" s="189"/>
      <c r="AX53" s="186"/>
      <c r="AY53" s="187"/>
      <c r="AZ53" s="187"/>
      <c r="BA53" s="188"/>
      <c r="BB53" s="188"/>
      <c r="BC53" s="200"/>
    </row>
    <row r="54" spans="1:55">
      <c r="Y54" s="369"/>
      <c r="Z54" s="369"/>
    </row>
    <row r="55" spans="1:55">
      <c r="A55" s="240" t="s">
        <v>412</v>
      </c>
      <c r="B55" s="240"/>
      <c r="C55" s="240"/>
      <c r="D55" s="240"/>
      <c r="E55" s="240"/>
      <c r="F55" s="240"/>
    </row>
  </sheetData>
  <mergeCells count="80">
    <mergeCell ref="A4:F4"/>
    <mergeCell ref="AX1:BC1"/>
    <mergeCell ref="AX2:BC2"/>
    <mergeCell ref="AX3:BC3"/>
    <mergeCell ref="AX4:BC4"/>
    <mergeCell ref="AJ2:AO2"/>
    <mergeCell ref="AJ3:AO3"/>
    <mergeCell ref="AJ4:AO4"/>
    <mergeCell ref="AQ1:AV1"/>
    <mergeCell ref="AQ2:AV2"/>
    <mergeCell ref="AQ3:AV3"/>
    <mergeCell ref="AQ4:AV4"/>
    <mergeCell ref="V2:AA2"/>
    <mergeCell ref="V3:AA3"/>
    <mergeCell ref="V4:AA4"/>
    <mergeCell ref="AC1:AH1"/>
    <mergeCell ref="AC2:AH2"/>
    <mergeCell ref="AC3:AH3"/>
    <mergeCell ref="AC4:AH4"/>
    <mergeCell ref="BB6:BB7"/>
    <mergeCell ref="H1:M1"/>
    <mergeCell ref="H2:M2"/>
    <mergeCell ref="H3:M3"/>
    <mergeCell ref="H4:M4"/>
    <mergeCell ref="O1:T1"/>
    <mergeCell ref="O2:T2"/>
    <mergeCell ref="O3:T3"/>
    <mergeCell ref="O4:T4"/>
    <mergeCell ref="V1:AA1"/>
    <mergeCell ref="AZ6:AZ7"/>
    <mergeCell ref="BA6:BA7"/>
    <mergeCell ref="AL6:AL7"/>
    <mergeCell ref="AM6:AM7"/>
    <mergeCell ref="AO6:AO7"/>
    <mergeCell ref="AQ6:AQ7"/>
    <mergeCell ref="BC6:BC7"/>
    <mergeCell ref="E6:E7"/>
    <mergeCell ref="L6:L7"/>
    <mergeCell ref="S6:S7"/>
    <mergeCell ref="Z6:Z7"/>
    <mergeCell ref="AG6:AG7"/>
    <mergeCell ref="AN6:AN7"/>
    <mergeCell ref="AU6:AU7"/>
    <mergeCell ref="AR6:AR7"/>
    <mergeCell ref="AS6:AS7"/>
    <mergeCell ref="AT6:AT7"/>
    <mergeCell ref="AV6:AV7"/>
    <mergeCell ref="AX6:AX7"/>
    <mergeCell ref="AY6:AY7"/>
    <mergeCell ref="AJ6:AJ7"/>
    <mergeCell ref="AK6:AK7"/>
    <mergeCell ref="O6:O7"/>
    <mergeCell ref="P6:P7"/>
    <mergeCell ref="AH6:AH7"/>
    <mergeCell ref="R6:R7"/>
    <mergeCell ref="T6:T7"/>
    <mergeCell ref="V6:V7"/>
    <mergeCell ref="W6:W7"/>
    <mergeCell ref="X6:X7"/>
    <mergeCell ref="Y6:Y7"/>
    <mergeCell ref="AA6:AA7"/>
    <mergeCell ref="AC6:AC7"/>
    <mergeCell ref="AD6:AD7"/>
    <mergeCell ref="AE6:AE7"/>
    <mergeCell ref="AF6:AF7"/>
    <mergeCell ref="A3:F3"/>
    <mergeCell ref="A2:F2"/>
    <mergeCell ref="A1:F1"/>
    <mergeCell ref="AJ1:AO1"/>
    <mergeCell ref="Q6:Q7"/>
    <mergeCell ref="A6:A7"/>
    <mergeCell ref="B6:B7"/>
    <mergeCell ref="C6:C7"/>
    <mergeCell ref="D6:D7"/>
    <mergeCell ref="F6:F7"/>
    <mergeCell ref="H6:H7"/>
    <mergeCell ref="I6:I7"/>
    <mergeCell ref="J6:J7"/>
    <mergeCell ref="K6:K7"/>
    <mergeCell ref="M6:M7"/>
  </mergeCells>
  <pageMargins left="1.1023622047244095" right="0.70866141732283472" top="0.74803149606299213" bottom="0.74803149606299213"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18752-5CA3-4A71-806C-7B6D126D43CC}">
  <dimension ref="A3:D9"/>
  <sheetViews>
    <sheetView workbookViewId="0">
      <selection activeCell="A10" sqref="A10"/>
    </sheetView>
  </sheetViews>
  <sheetFormatPr baseColWidth="10" defaultRowHeight="15"/>
  <cols>
    <col min="1" max="1" width="49.140625" bestFit="1" customWidth="1"/>
  </cols>
  <sheetData>
    <row r="3" spans="1:4" ht="22.5">
      <c r="A3" t="s">
        <v>602</v>
      </c>
      <c r="B3" s="124">
        <v>1000</v>
      </c>
      <c r="C3" s="123" t="s">
        <v>235</v>
      </c>
      <c r="D3" s="182">
        <v>4946906.1933333334</v>
      </c>
    </row>
    <row r="4" spans="1:4" ht="22.5">
      <c r="A4" t="s">
        <v>603</v>
      </c>
      <c r="B4" s="124">
        <v>1000</v>
      </c>
      <c r="C4" s="123" t="s">
        <v>235</v>
      </c>
      <c r="D4" s="182">
        <v>2076596.2466666666</v>
      </c>
    </row>
    <row r="5" spans="1:4" ht="22.5">
      <c r="A5" t="s">
        <v>605</v>
      </c>
      <c r="B5" s="124">
        <v>1000</v>
      </c>
      <c r="C5" s="123" t="s">
        <v>235</v>
      </c>
      <c r="D5" s="182">
        <v>17463591.576666664</v>
      </c>
    </row>
    <row r="6" spans="1:4" ht="22.5">
      <c r="A6" t="s">
        <v>604</v>
      </c>
      <c r="B6" s="124">
        <v>1000</v>
      </c>
      <c r="C6" s="123" t="s">
        <v>235</v>
      </c>
      <c r="D6" s="182">
        <v>7301640.666666667</v>
      </c>
    </row>
    <row r="7" spans="1:4" ht="22.5">
      <c r="A7" t="s">
        <v>606</v>
      </c>
      <c r="B7" s="124">
        <v>1000</v>
      </c>
      <c r="C7" s="123" t="s">
        <v>235</v>
      </c>
      <c r="D7" s="182">
        <v>7293933.2183333328</v>
      </c>
    </row>
    <row r="8" spans="1:4" ht="22.5">
      <c r="A8" t="s">
        <v>607</v>
      </c>
      <c r="B8" s="364">
        <v>1000</v>
      </c>
      <c r="C8" s="154" t="s">
        <v>235</v>
      </c>
      <c r="D8" s="242">
        <v>6060174.6033333326</v>
      </c>
    </row>
    <row r="9" spans="1:4" ht="22.5">
      <c r="A9" t="s">
        <v>608</v>
      </c>
      <c r="B9" s="364">
        <v>1000</v>
      </c>
      <c r="C9" s="154" t="s">
        <v>235</v>
      </c>
      <c r="D9" s="245">
        <v>3061448.49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BK116"/>
  <sheetViews>
    <sheetView view="pageBreakPreview" zoomScale="87" zoomScaleNormal="87" zoomScaleSheetLayoutView="87" workbookViewId="0">
      <pane ySplit="13" topLeftCell="A14" activePane="bottomLeft" state="frozen"/>
      <selection activeCell="E157" sqref="E157"/>
      <selection pane="bottomLeft" activeCell="E157" sqref="E157"/>
    </sheetView>
  </sheetViews>
  <sheetFormatPr baseColWidth="10" defaultRowHeight="11.25"/>
  <cols>
    <col min="1" max="1" width="17" style="6" customWidth="1"/>
    <col min="2" max="2" width="17.42578125" style="6" customWidth="1"/>
    <col min="3" max="3" width="15.140625" style="6" customWidth="1"/>
    <col min="4" max="5" width="15.42578125" style="6" customWidth="1"/>
    <col min="6" max="6" width="17.28515625" style="6" customWidth="1"/>
    <col min="7" max="7" width="16.140625" style="10" customWidth="1"/>
    <col min="8" max="8" width="17" style="6" customWidth="1"/>
    <col min="9" max="9" width="17.140625" style="6" customWidth="1"/>
    <col min="10" max="10" width="14.85546875" style="6" customWidth="1"/>
    <col min="11" max="11" width="16.140625" style="6" customWidth="1"/>
    <col min="12" max="12" width="15" style="6" customWidth="1"/>
    <col min="13" max="13" width="15.28515625" style="6" customWidth="1"/>
    <col min="14" max="14" width="13.85546875" style="10" customWidth="1"/>
    <col min="15" max="15" width="18.140625" style="6" customWidth="1"/>
    <col min="16" max="16" width="15.140625" style="6" customWidth="1"/>
    <col min="17" max="17" width="27.28515625" style="6" bestFit="1" customWidth="1"/>
    <col min="18" max="18" width="16" style="6" customWidth="1"/>
    <col min="19" max="19" width="16.5703125" style="6" customWidth="1"/>
    <col min="20" max="20" width="13.42578125" style="6" customWidth="1"/>
    <col min="21" max="21" width="11.42578125" style="6"/>
    <col min="22" max="22" width="17" style="6" customWidth="1"/>
    <col min="23" max="23" width="17.140625" style="6" customWidth="1"/>
    <col min="24" max="24" width="21.140625" style="6" customWidth="1"/>
    <col min="25" max="25" width="16.85546875" style="6" customWidth="1"/>
    <col min="26" max="26" width="16.140625" style="6" customWidth="1"/>
    <col min="27" max="27" width="15.5703125" style="6" customWidth="1"/>
    <col min="28" max="28" width="13.7109375" style="10" customWidth="1"/>
    <col min="29" max="29" width="16.5703125" style="6" customWidth="1"/>
    <col min="30" max="30" width="17.140625" style="6" customWidth="1"/>
    <col min="31" max="31" width="14.5703125" style="6" customWidth="1"/>
    <col min="32" max="32" width="16.140625" style="6" customWidth="1"/>
    <col min="33" max="33" width="14.7109375" style="6" customWidth="1"/>
    <col min="34" max="34" width="13.7109375" style="6" customWidth="1"/>
    <col min="35" max="35" width="12.5703125" style="6" bestFit="1" customWidth="1"/>
    <col min="36" max="36" width="17.85546875" style="6" customWidth="1"/>
    <col min="37" max="37" width="17" style="6" customWidth="1"/>
    <col min="38" max="38" width="14.28515625" style="6" customWidth="1"/>
    <col min="39" max="39" width="16.85546875" style="6" customWidth="1"/>
    <col min="40" max="40" width="15" style="6" customWidth="1"/>
    <col min="41" max="41" width="15.140625" style="6" customWidth="1"/>
    <col min="42" max="42" width="13.85546875" style="6" bestFit="1" customWidth="1"/>
    <col min="43" max="43" width="18.28515625" style="6" customWidth="1"/>
    <col min="44" max="44" width="18.140625" style="6" customWidth="1"/>
    <col min="45" max="45" width="15.7109375" style="6" customWidth="1"/>
    <col min="46" max="46" width="16.140625" style="6" customWidth="1"/>
    <col min="47" max="47" width="15" style="6" customWidth="1"/>
    <col min="48" max="48" width="14.42578125" style="10" customWidth="1"/>
    <col min="49" max="49" width="16.7109375" style="10" customWidth="1"/>
    <col min="50" max="50" width="18" style="6" customWidth="1"/>
    <col min="51" max="51" width="15" style="6" customWidth="1"/>
    <col min="52" max="52" width="14.7109375" style="6" customWidth="1"/>
    <col min="53" max="54" width="15.28515625" style="6" customWidth="1"/>
    <col min="55" max="55" width="13.7109375" style="6" customWidth="1"/>
    <col min="56" max="56" width="11.42578125" style="6"/>
    <col min="57" max="57" width="19" style="6" customWidth="1"/>
    <col min="58" max="58" width="15.5703125" style="6" customWidth="1"/>
    <col min="59" max="59" width="14.7109375" style="6" customWidth="1"/>
    <col min="60" max="60" width="17.42578125" style="6" customWidth="1"/>
    <col min="61" max="61" width="17.140625" style="6" customWidth="1"/>
    <col min="62" max="62" width="14.85546875" style="6" customWidth="1"/>
    <col min="63" max="16384" width="11.42578125" style="6"/>
  </cols>
  <sheetData>
    <row r="1" spans="1:63" s="21" customFormat="1" ht="15.75">
      <c r="A1" s="402" t="s">
        <v>0</v>
      </c>
      <c r="B1" s="402"/>
      <c r="C1" s="402"/>
      <c r="D1" s="402"/>
      <c r="E1" s="402"/>
      <c r="F1" s="402"/>
      <c r="G1" s="121"/>
      <c r="H1" s="420" t="s">
        <v>0</v>
      </c>
      <c r="I1" s="420"/>
      <c r="J1" s="420"/>
      <c r="K1" s="420"/>
      <c r="L1" s="420"/>
      <c r="M1" s="420"/>
      <c r="N1" s="162"/>
      <c r="O1" s="420" t="s">
        <v>0</v>
      </c>
      <c r="P1" s="420"/>
      <c r="Q1" s="420"/>
      <c r="R1" s="420"/>
      <c r="S1" s="420"/>
      <c r="T1" s="420"/>
      <c r="U1" s="121"/>
      <c r="V1" s="420" t="s">
        <v>0</v>
      </c>
      <c r="W1" s="420"/>
      <c r="X1" s="420"/>
      <c r="Y1" s="420"/>
      <c r="Z1" s="420"/>
      <c r="AA1" s="420"/>
      <c r="AB1" s="121"/>
      <c r="AC1" s="420" t="s">
        <v>0</v>
      </c>
      <c r="AD1" s="420"/>
      <c r="AE1" s="420"/>
      <c r="AF1" s="420"/>
      <c r="AG1" s="420"/>
      <c r="AH1" s="420"/>
      <c r="AI1" s="121"/>
      <c r="AJ1" s="420" t="s">
        <v>0</v>
      </c>
      <c r="AK1" s="420"/>
      <c r="AL1" s="420"/>
      <c r="AM1" s="420"/>
      <c r="AN1" s="420"/>
      <c r="AO1" s="420"/>
      <c r="AP1" s="121"/>
      <c r="AQ1" s="420" t="s">
        <v>0</v>
      </c>
      <c r="AR1" s="420"/>
      <c r="AS1" s="420"/>
      <c r="AT1" s="420"/>
      <c r="AU1" s="420"/>
      <c r="AV1" s="420"/>
      <c r="AW1" s="162"/>
      <c r="AX1" s="420" t="s">
        <v>0</v>
      </c>
      <c r="AY1" s="420"/>
      <c r="AZ1" s="420"/>
      <c r="BA1" s="420"/>
      <c r="BB1" s="420"/>
      <c r="BC1" s="420"/>
      <c r="BD1" s="121"/>
      <c r="BE1" s="420" t="s">
        <v>0</v>
      </c>
      <c r="BF1" s="420"/>
      <c r="BG1" s="420"/>
      <c r="BH1" s="420"/>
      <c r="BI1" s="420"/>
      <c r="BJ1" s="420"/>
    </row>
    <row r="2" spans="1:63" s="21" customFormat="1" ht="15" customHeight="1">
      <c r="A2" s="402"/>
      <c r="B2" s="402"/>
      <c r="C2" s="402"/>
      <c r="D2" s="402"/>
      <c r="E2" s="402"/>
      <c r="F2" s="402"/>
      <c r="G2" s="121"/>
      <c r="H2" s="423" t="s">
        <v>385</v>
      </c>
      <c r="I2" s="423"/>
      <c r="J2" s="423"/>
      <c r="K2" s="423"/>
      <c r="L2" s="423"/>
      <c r="M2" s="423"/>
      <c r="N2" s="163"/>
      <c r="O2" s="423" t="s">
        <v>385</v>
      </c>
      <c r="P2" s="423"/>
      <c r="Q2" s="423"/>
      <c r="R2" s="423"/>
      <c r="S2" s="423"/>
      <c r="T2" s="423"/>
      <c r="U2" s="121"/>
      <c r="V2" s="423" t="s">
        <v>385</v>
      </c>
      <c r="W2" s="423"/>
      <c r="X2" s="423"/>
      <c r="Y2" s="423"/>
      <c r="Z2" s="423"/>
      <c r="AA2" s="423"/>
      <c r="AB2" s="121"/>
      <c r="AC2" s="423" t="s">
        <v>385</v>
      </c>
      <c r="AD2" s="423"/>
      <c r="AE2" s="423"/>
      <c r="AF2" s="423"/>
      <c r="AG2" s="423"/>
      <c r="AH2" s="423"/>
      <c r="AI2" s="121"/>
      <c r="AJ2" s="423" t="s">
        <v>385</v>
      </c>
      <c r="AK2" s="423"/>
      <c r="AL2" s="423"/>
      <c r="AM2" s="423"/>
      <c r="AN2" s="423"/>
      <c r="AO2" s="423"/>
      <c r="AP2" s="121"/>
      <c r="AQ2" s="423" t="s">
        <v>385</v>
      </c>
      <c r="AR2" s="423"/>
      <c r="AS2" s="423"/>
      <c r="AT2" s="423"/>
      <c r="AU2" s="423"/>
      <c r="AV2" s="423"/>
      <c r="AW2" s="163"/>
      <c r="AX2" s="423" t="s">
        <v>385</v>
      </c>
      <c r="AY2" s="423"/>
      <c r="AZ2" s="423"/>
      <c r="BA2" s="423"/>
      <c r="BB2" s="423"/>
      <c r="BC2" s="423"/>
      <c r="BD2" s="121"/>
      <c r="BE2" s="423" t="s">
        <v>385</v>
      </c>
      <c r="BF2" s="423"/>
      <c r="BG2" s="423"/>
      <c r="BH2" s="423"/>
      <c r="BI2" s="423"/>
      <c r="BJ2" s="423"/>
    </row>
    <row r="3" spans="1:63" s="21" customFormat="1" ht="15.75">
      <c r="A3" s="22"/>
      <c r="B3" s="168"/>
      <c r="C3" s="168"/>
      <c r="D3" s="168"/>
      <c r="E3" s="168"/>
      <c r="F3" s="168"/>
      <c r="G3" s="121"/>
      <c r="H3" s="420" t="s">
        <v>586</v>
      </c>
      <c r="I3" s="420"/>
      <c r="J3" s="420"/>
      <c r="K3" s="420"/>
      <c r="L3" s="420"/>
      <c r="M3" s="420"/>
      <c r="N3" s="162"/>
      <c r="O3" s="420" t="s">
        <v>585</v>
      </c>
      <c r="P3" s="420"/>
      <c r="Q3" s="420"/>
      <c r="R3" s="420"/>
      <c r="S3" s="420"/>
      <c r="T3" s="420"/>
      <c r="U3" s="121"/>
      <c r="V3" s="420" t="s">
        <v>587</v>
      </c>
      <c r="W3" s="420"/>
      <c r="X3" s="420"/>
      <c r="Y3" s="420"/>
      <c r="Z3" s="420"/>
      <c r="AA3" s="420"/>
      <c r="AB3" s="121"/>
      <c r="AC3" s="420" t="s">
        <v>588</v>
      </c>
      <c r="AD3" s="420"/>
      <c r="AE3" s="420"/>
      <c r="AF3" s="420"/>
      <c r="AG3" s="420"/>
      <c r="AH3" s="420"/>
      <c r="AI3" s="121"/>
      <c r="AJ3" s="420" t="s">
        <v>589</v>
      </c>
      <c r="AK3" s="420"/>
      <c r="AL3" s="420"/>
      <c r="AM3" s="420"/>
      <c r="AN3" s="420"/>
      <c r="AO3" s="420"/>
      <c r="AP3" s="121"/>
      <c r="AQ3" s="420" t="s">
        <v>590</v>
      </c>
      <c r="AR3" s="420"/>
      <c r="AS3" s="420"/>
      <c r="AT3" s="420"/>
      <c r="AU3" s="420"/>
      <c r="AV3" s="420"/>
      <c r="AW3" s="162"/>
      <c r="AX3" s="420" t="s">
        <v>591</v>
      </c>
      <c r="AY3" s="420"/>
      <c r="AZ3" s="420"/>
      <c r="BA3" s="420"/>
      <c r="BB3" s="420"/>
      <c r="BC3" s="420"/>
      <c r="BD3" s="121"/>
      <c r="BE3" s="420" t="s">
        <v>584</v>
      </c>
      <c r="BF3" s="420"/>
      <c r="BG3" s="420"/>
      <c r="BH3" s="420"/>
      <c r="BI3" s="420"/>
      <c r="BJ3" s="420"/>
    </row>
    <row r="4" spans="1:63" ht="21.75" customHeight="1">
      <c r="A4" s="422" t="s">
        <v>385</v>
      </c>
      <c r="B4" s="422"/>
      <c r="C4" s="422"/>
      <c r="D4" s="422"/>
      <c r="E4" s="422"/>
      <c r="F4" s="422"/>
      <c r="H4" s="415" t="s">
        <v>113</v>
      </c>
      <c r="I4" s="415"/>
      <c r="J4" s="415"/>
      <c r="K4" s="415"/>
      <c r="L4" s="415"/>
      <c r="M4" s="415"/>
      <c r="N4" s="164"/>
      <c r="O4" s="415" t="s">
        <v>113</v>
      </c>
      <c r="P4" s="415"/>
      <c r="Q4" s="415"/>
      <c r="R4" s="415"/>
      <c r="S4" s="415"/>
      <c r="T4" s="415"/>
      <c r="U4" s="10"/>
      <c r="V4" s="415" t="s">
        <v>113</v>
      </c>
      <c r="W4" s="415"/>
      <c r="X4" s="415"/>
      <c r="Y4" s="415"/>
      <c r="Z4" s="415"/>
      <c r="AA4" s="415"/>
      <c r="AB4" s="120"/>
      <c r="AC4" s="415" t="s">
        <v>113</v>
      </c>
      <c r="AD4" s="415"/>
      <c r="AE4" s="415"/>
      <c r="AF4" s="415"/>
      <c r="AG4" s="415"/>
      <c r="AH4" s="415"/>
      <c r="AI4" s="120"/>
      <c r="AJ4" s="415" t="s">
        <v>113</v>
      </c>
      <c r="AK4" s="415"/>
      <c r="AL4" s="415"/>
      <c r="AM4" s="415"/>
      <c r="AN4" s="415"/>
      <c r="AO4" s="415"/>
      <c r="AP4" s="120"/>
      <c r="AQ4" s="415" t="s">
        <v>113</v>
      </c>
      <c r="AR4" s="415"/>
      <c r="AS4" s="415"/>
      <c r="AT4" s="415"/>
      <c r="AU4" s="415"/>
      <c r="AV4" s="415"/>
      <c r="AW4" s="20"/>
      <c r="AX4" s="415" t="s">
        <v>113</v>
      </c>
      <c r="AY4" s="415"/>
      <c r="AZ4" s="415"/>
      <c r="BA4" s="415"/>
      <c r="BB4" s="415"/>
      <c r="BC4" s="415"/>
      <c r="BD4" s="120"/>
      <c r="BE4" s="415" t="s">
        <v>113</v>
      </c>
      <c r="BF4" s="415"/>
      <c r="BG4" s="415"/>
      <c r="BH4" s="415"/>
      <c r="BI4" s="415"/>
      <c r="BJ4" s="415"/>
    </row>
    <row r="5" spans="1:63" ht="18" customHeight="1">
      <c r="A5" s="421" t="s">
        <v>112</v>
      </c>
      <c r="B5" s="421"/>
      <c r="C5" s="421"/>
      <c r="D5" s="421"/>
      <c r="E5" s="421"/>
      <c r="F5" s="421"/>
      <c r="H5" s="415" t="s">
        <v>114</v>
      </c>
      <c r="I5" s="415"/>
      <c r="J5" s="415"/>
      <c r="K5" s="415"/>
      <c r="L5" s="415"/>
      <c r="M5" s="415"/>
      <c r="N5" s="164"/>
      <c r="O5" s="415" t="s">
        <v>114</v>
      </c>
      <c r="P5" s="415"/>
      <c r="Q5" s="415"/>
      <c r="R5" s="415"/>
      <c r="S5" s="415"/>
      <c r="T5" s="415"/>
      <c r="U5" s="120"/>
      <c r="V5" s="415" t="s">
        <v>114</v>
      </c>
      <c r="W5" s="415"/>
      <c r="X5" s="415"/>
      <c r="Y5" s="415"/>
      <c r="Z5" s="415"/>
      <c r="AA5" s="415"/>
      <c r="AB5" s="120"/>
      <c r="AC5" s="415" t="s">
        <v>114</v>
      </c>
      <c r="AD5" s="415"/>
      <c r="AE5" s="415"/>
      <c r="AF5" s="415"/>
      <c r="AG5" s="415"/>
      <c r="AH5" s="415"/>
      <c r="AI5" s="120"/>
      <c r="AJ5" s="415" t="s">
        <v>114</v>
      </c>
      <c r="AK5" s="415"/>
      <c r="AL5" s="415"/>
      <c r="AM5" s="415"/>
      <c r="AN5" s="415"/>
      <c r="AO5" s="415"/>
      <c r="AP5" s="120"/>
      <c r="AQ5" s="415" t="s">
        <v>114</v>
      </c>
      <c r="AR5" s="415"/>
      <c r="AS5" s="415"/>
      <c r="AT5" s="415"/>
      <c r="AU5" s="415"/>
      <c r="AV5" s="415"/>
      <c r="AW5" s="164"/>
      <c r="AX5" s="415" t="s">
        <v>114</v>
      </c>
      <c r="AY5" s="415"/>
      <c r="AZ5" s="415"/>
      <c r="BA5" s="415"/>
      <c r="BB5" s="415"/>
      <c r="BC5" s="415"/>
      <c r="BD5" s="120"/>
      <c r="BE5" s="415" t="s">
        <v>114</v>
      </c>
      <c r="BF5" s="415"/>
      <c r="BG5" s="415"/>
      <c r="BH5" s="415"/>
      <c r="BI5" s="415"/>
      <c r="BJ5" s="415"/>
    </row>
    <row r="6" spans="1:63" ht="16.5" customHeight="1">
      <c r="A6" s="421"/>
      <c r="B6" s="421"/>
      <c r="C6" s="421"/>
      <c r="D6" s="421"/>
      <c r="E6" s="421"/>
      <c r="F6" s="421"/>
      <c r="H6" s="415" t="s">
        <v>115</v>
      </c>
      <c r="I6" s="415"/>
      <c r="J6" s="415"/>
      <c r="K6" s="415"/>
      <c r="L6" s="415"/>
      <c r="M6" s="415"/>
      <c r="N6" s="164"/>
      <c r="O6" s="415" t="s">
        <v>115</v>
      </c>
      <c r="P6" s="415"/>
      <c r="Q6" s="415"/>
      <c r="R6" s="415"/>
      <c r="S6" s="415"/>
      <c r="T6" s="415"/>
      <c r="U6" s="120"/>
      <c r="V6" s="415" t="s">
        <v>115</v>
      </c>
      <c r="W6" s="415"/>
      <c r="X6" s="415"/>
      <c r="Y6" s="415"/>
      <c r="Z6" s="415"/>
      <c r="AA6" s="415"/>
      <c r="AB6" s="120"/>
      <c r="AC6" s="415" t="s">
        <v>118</v>
      </c>
      <c r="AD6" s="415"/>
      <c r="AE6" s="415"/>
      <c r="AF6" s="415"/>
      <c r="AG6" s="415"/>
      <c r="AH6" s="415"/>
      <c r="AI6" s="120"/>
      <c r="AJ6" s="415" t="s">
        <v>118</v>
      </c>
      <c r="AK6" s="415"/>
      <c r="AL6" s="415"/>
      <c r="AM6" s="415"/>
      <c r="AN6" s="415"/>
      <c r="AO6" s="415"/>
      <c r="AP6" s="120"/>
      <c r="AQ6" s="415" t="s">
        <v>120</v>
      </c>
      <c r="AR6" s="415"/>
      <c r="AS6" s="415"/>
      <c r="AT6" s="415"/>
      <c r="AU6" s="415"/>
      <c r="AV6" s="415"/>
      <c r="AW6" s="164"/>
      <c r="AX6" s="415" t="s">
        <v>119</v>
      </c>
      <c r="AY6" s="415"/>
      <c r="AZ6" s="415"/>
      <c r="BA6" s="415"/>
      <c r="BB6" s="415"/>
      <c r="BC6" s="415"/>
      <c r="BD6" s="120"/>
      <c r="BE6" s="415" t="s">
        <v>115</v>
      </c>
      <c r="BF6" s="415"/>
      <c r="BG6" s="415"/>
      <c r="BH6" s="415"/>
      <c r="BI6" s="415"/>
      <c r="BJ6" s="415"/>
    </row>
    <row r="7" spans="1:63" ht="18.75" customHeight="1">
      <c r="A7" s="23"/>
      <c r="B7" s="168"/>
      <c r="C7" s="425" t="s">
        <v>499</v>
      </c>
      <c r="D7" s="425"/>
      <c r="E7" s="168"/>
      <c r="F7" s="168"/>
      <c r="H7" s="415" t="s">
        <v>116</v>
      </c>
      <c r="I7" s="415"/>
      <c r="J7" s="415"/>
      <c r="K7" s="415"/>
      <c r="L7" s="415"/>
      <c r="M7" s="415"/>
      <c r="N7" s="164"/>
      <c r="O7" s="415" t="s">
        <v>116</v>
      </c>
      <c r="P7" s="415"/>
      <c r="Q7" s="415"/>
      <c r="R7" s="415"/>
      <c r="S7" s="415"/>
      <c r="T7" s="415"/>
      <c r="U7" s="120"/>
      <c r="V7" s="415" t="s">
        <v>116</v>
      </c>
      <c r="W7" s="415"/>
      <c r="X7" s="415"/>
      <c r="Y7" s="415"/>
      <c r="Z7" s="415"/>
      <c r="AA7" s="415"/>
      <c r="AB7" s="120"/>
      <c r="AC7" s="415" t="s">
        <v>116</v>
      </c>
      <c r="AD7" s="415"/>
      <c r="AE7" s="415"/>
      <c r="AF7" s="415"/>
      <c r="AG7" s="415"/>
      <c r="AH7" s="415"/>
      <c r="AI7" s="120"/>
      <c r="AJ7" s="415" t="s">
        <v>116</v>
      </c>
      <c r="AK7" s="415"/>
      <c r="AL7" s="415"/>
      <c r="AM7" s="415"/>
      <c r="AN7" s="415"/>
      <c r="AO7" s="415"/>
      <c r="AP7" s="120"/>
      <c r="AQ7" s="415" t="s">
        <v>116</v>
      </c>
      <c r="AR7" s="415"/>
      <c r="AS7" s="415"/>
      <c r="AT7" s="415"/>
      <c r="AU7" s="415"/>
      <c r="AV7" s="415"/>
      <c r="AW7" s="164"/>
      <c r="AX7" s="415" t="s">
        <v>116</v>
      </c>
      <c r="AY7" s="415"/>
      <c r="AZ7" s="415"/>
      <c r="BA7" s="415"/>
      <c r="BB7" s="415"/>
      <c r="BC7" s="415"/>
      <c r="BD7" s="120"/>
      <c r="BE7" s="415" t="s">
        <v>116</v>
      </c>
      <c r="BF7" s="415"/>
      <c r="BG7" s="415"/>
      <c r="BH7" s="415"/>
      <c r="BI7" s="415"/>
      <c r="BJ7" s="415"/>
    </row>
    <row r="8" spans="1:63" ht="21.75" customHeight="1">
      <c r="A8" s="168"/>
      <c r="B8" s="168"/>
      <c r="C8" s="168"/>
      <c r="D8" s="168"/>
      <c r="E8" s="168"/>
      <c r="F8" s="168"/>
      <c r="H8" s="415" t="s">
        <v>117</v>
      </c>
      <c r="I8" s="415"/>
      <c r="J8" s="415"/>
      <c r="K8" s="415"/>
      <c r="L8" s="415"/>
      <c r="M8" s="415"/>
      <c r="N8" s="164"/>
      <c r="O8" s="415" t="s">
        <v>117</v>
      </c>
      <c r="P8" s="415"/>
      <c r="Q8" s="415"/>
      <c r="R8" s="415"/>
      <c r="S8" s="415"/>
      <c r="T8" s="415"/>
      <c r="U8" s="120"/>
      <c r="V8" s="415" t="s">
        <v>117</v>
      </c>
      <c r="W8" s="415"/>
      <c r="X8" s="415"/>
      <c r="Y8" s="415"/>
      <c r="Z8" s="415"/>
      <c r="AA8" s="415"/>
      <c r="AB8" s="120"/>
      <c r="AC8" s="415" t="s">
        <v>117</v>
      </c>
      <c r="AD8" s="415"/>
      <c r="AE8" s="415"/>
      <c r="AF8" s="415"/>
      <c r="AG8" s="415"/>
      <c r="AH8" s="415"/>
      <c r="AI8" s="120"/>
      <c r="AJ8" s="415" t="s">
        <v>117</v>
      </c>
      <c r="AK8" s="415"/>
      <c r="AL8" s="415"/>
      <c r="AM8" s="415"/>
      <c r="AN8" s="415"/>
      <c r="AO8" s="415"/>
      <c r="AP8" s="120"/>
      <c r="AQ8" s="415" t="s">
        <v>117</v>
      </c>
      <c r="AR8" s="415"/>
      <c r="AS8" s="415"/>
      <c r="AT8" s="415"/>
      <c r="AU8" s="415"/>
      <c r="AV8" s="415"/>
      <c r="AW8" s="164"/>
      <c r="AX8" s="415" t="s">
        <v>117</v>
      </c>
      <c r="AY8" s="415"/>
      <c r="AZ8" s="415"/>
      <c r="BA8" s="415"/>
      <c r="BB8" s="415"/>
      <c r="BC8" s="415"/>
      <c r="BD8" s="120"/>
      <c r="BE8" s="415" t="s">
        <v>117</v>
      </c>
      <c r="BF8" s="415"/>
      <c r="BG8" s="415"/>
      <c r="BH8" s="415"/>
      <c r="BI8" s="415"/>
      <c r="BJ8" s="415"/>
    </row>
    <row r="9" spans="1:63" ht="12.75">
      <c r="A9" s="20"/>
      <c r="B9" s="20"/>
      <c r="C9" s="20"/>
      <c r="D9" s="20"/>
      <c r="E9" s="20"/>
      <c r="F9" s="20"/>
      <c r="H9" s="20"/>
      <c r="I9" s="20"/>
      <c r="J9" s="20"/>
      <c r="K9" s="20"/>
      <c r="L9" s="20"/>
      <c r="M9" s="20"/>
      <c r="N9" s="20"/>
      <c r="O9" s="164"/>
      <c r="P9" s="164"/>
      <c r="Q9" s="164"/>
      <c r="R9" s="164"/>
      <c r="S9" s="164"/>
      <c r="T9" s="164"/>
      <c r="U9" s="120"/>
      <c r="V9" s="164"/>
      <c r="W9" s="164"/>
      <c r="X9" s="164"/>
      <c r="Y9" s="164"/>
      <c r="Z9" s="164"/>
      <c r="AA9" s="164"/>
      <c r="AB9" s="120"/>
      <c r="AC9" s="164"/>
      <c r="AD9" s="164"/>
      <c r="AE9" s="164"/>
      <c r="AF9" s="164"/>
      <c r="AG9" s="164"/>
      <c r="AH9" s="164"/>
      <c r="AI9" s="120"/>
      <c r="AJ9" s="164"/>
      <c r="AK9" s="164"/>
      <c r="AL9" s="164"/>
      <c r="AM9" s="164"/>
      <c r="AN9" s="164"/>
      <c r="AO9" s="164"/>
      <c r="AP9" s="120"/>
      <c r="AQ9" s="10"/>
      <c r="AR9" s="10"/>
      <c r="AS9" s="10"/>
      <c r="AT9" s="10"/>
      <c r="AU9" s="10"/>
      <c r="AW9" s="164"/>
      <c r="AX9" s="164"/>
      <c r="AY9" s="164"/>
      <c r="AZ9" s="164"/>
      <c r="BA9" s="164"/>
      <c r="BB9" s="164"/>
      <c r="BC9" s="164"/>
      <c r="BD9" s="120"/>
      <c r="BE9" s="164"/>
      <c r="BF9" s="164"/>
      <c r="BG9" s="164"/>
      <c r="BH9" s="164"/>
      <c r="BI9" s="164"/>
      <c r="BJ9" s="164"/>
    </row>
    <row r="10" spans="1:63" ht="12.75">
      <c r="A10" s="20"/>
      <c r="B10" s="20"/>
      <c r="C10" s="20"/>
      <c r="D10" s="20"/>
      <c r="E10" s="20"/>
      <c r="F10" s="20"/>
      <c r="H10" s="20"/>
      <c r="I10" s="20"/>
      <c r="J10" s="20"/>
      <c r="K10" s="20"/>
      <c r="L10" s="20"/>
      <c r="M10" s="20"/>
      <c r="N10" s="20"/>
      <c r="O10" s="164"/>
      <c r="P10" s="164"/>
      <c r="Q10" s="164"/>
      <c r="R10" s="164"/>
      <c r="S10" s="164"/>
      <c r="T10" s="164"/>
      <c r="U10" s="120"/>
      <c r="V10" s="164"/>
      <c r="W10" s="164"/>
      <c r="X10" s="164"/>
      <c r="Y10" s="164"/>
      <c r="Z10" s="164"/>
      <c r="AA10" s="164"/>
      <c r="AB10" s="120"/>
      <c r="AC10" s="164"/>
      <c r="AD10" s="164"/>
      <c r="AE10" s="164"/>
      <c r="AF10" s="164"/>
      <c r="AG10" s="164"/>
      <c r="AH10" s="164"/>
      <c r="AI10" s="120"/>
      <c r="AJ10" s="164"/>
      <c r="AK10" s="164"/>
      <c r="AL10" s="164"/>
      <c r="AM10" s="164"/>
      <c r="AN10" s="164"/>
      <c r="AO10" s="164"/>
      <c r="AP10" s="120"/>
      <c r="AQ10" s="10"/>
      <c r="AR10" s="10"/>
      <c r="AS10" s="10"/>
      <c r="AT10" s="10"/>
      <c r="AU10" s="10"/>
      <c r="AW10" s="164"/>
      <c r="AX10" s="164"/>
      <c r="AY10" s="164"/>
      <c r="AZ10" s="164"/>
      <c r="BA10" s="164"/>
      <c r="BB10" s="164"/>
      <c r="BC10" s="164"/>
      <c r="BD10" s="120"/>
      <c r="BE10" s="164"/>
      <c r="BF10" s="164"/>
      <c r="BG10" s="164"/>
      <c r="BH10" s="164"/>
      <c r="BI10" s="164"/>
      <c r="BJ10" s="164"/>
    </row>
    <row r="11" spans="1:63" ht="12" thickBot="1">
      <c r="A11" s="10"/>
      <c r="B11" s="10"/>
      <c r="C11" s="7"/>
      <c r="D11" s="7"/>
      <c r="E11" s="7"/>
      <c r="F11" s="7"/>
      <c r="H11" s="10"/>
      <c r="I11" s="10"/>
      <c r="J11" s="7"/>
      <c r="K11" s="7"/>
      <c r="L11" s="7"/>
      <c r="M11" s="7"/>
      <c r="N11" s="7"/>
      <c r="O11" s="10"/>
      <c r="P11" s="10"/>
      <c r="Q11" s="7"/>
      <c r="R11" s="7"/>
      <c r="S11" s="7"/>
      <c r="T11" s="7"/>
      <c r="U11" s="10"/>
      <c r="V11" s="10"/>
      <c r="W11" s="10"/>
      <c r="X11" s="7"/>
      <c r="Y11" s="7"/>
      <c r="Z11" s="7"/>
      <c r="AA11" s="7"/>
      <c r="AC11" s="10"/>
      <c r="AD11" s="10"/>
      <c r="AE11" s="7"/>
      <c r="AF11" s="7"/>
      <c r="AG11" s="7"/>
      <c r="AH11" s="7"/>
      <c r="AI11" s="10"/>
      <c r="AJ11" s="10"/>
      <c r="AK11" s="10"/>
      <c r="AL11" s="7"/>
      <c r="AM11" s="7"/>
      <c r="AN11" s="7"/>
      <c r="AO11" s="7"/>
      <c r="AP11" s="10"/>
      <c r="AQ11" s="10"/>
      <c r="AR11" s="10"/>
      <c r="AS11" s="7"/>
      <c r="AT11" s="7"/>
      <c r="AU11" s="7"/>
      <c r="AV11" s="7"/>
      <c r="AW11" s="7"/>
      <c r="AX11" s="10"/>
      <c r="AY11" s="10"/>
      <c r="AZ11" s="7"/>
      <c r="BA11" s="7"/>
      <c r="BB11" s="7"/>
      <c r="BC11" s="7"/>
      <c r="BD11" s="10"/>
      <c r="BE11" s="10"/>
      <c r="BF11" s="10"/>
      <c r="BG11" s="7"/>
      <c r="BH11" s="7"/>
      <c r="BI11" s="7"/>
      <c r="BJ11" s="7"/>
    </row>
    <row r="12" spans="1:63" ht="11.25" customHeight="1">
      <c r="A12" s="406" t="s">
        <v>8</v>
      </c>
      <c r="B12" s="408" t="s">
        <v>9</v>
      </c>
      <c r="C12" s="404" t="s">
        <v>398</v>
      </c>
      <c r="D12" s="398" t="s">
        <v>393</v>
      </c>
      <c r="E12" s="408" t="s">
        <v>411</v>
      </c>
      <c r="F12" s="412" t="s">
        <v>399</v>
      </c>
      <c r="H12" s="406" t="s">
        <v>8</v>
      </c>
      <c r="I12" s="408" t="s">
        <v>9</v>
      </c>
      <c r="J12" s="404" t="s">
        <v>398</v>
      </c>
      <c r="K12" s="398" t="s">
        <v>393</v>
      </c>
      <c r="L12" s="408" t="s">
        <v>411</v>
      </c>
      <c r="M12" s="412" t="s">
        <v>394</v>
      </c>
      <c r="N12" s="3"/>
      <c r="O12" s="406" t="s">
        <v>8</v>
      </c>
      <c r="P12" s="408" t="s">
        <v>9</v>
      </c>
      <c r="Q12" s="404" t="s">
        <v>398</v>
      </c>
      <c r="R12" s="398" t="s">
        <v>393</v>
      </c>
      <c r="S12" s="408" t="s">
        <v>411</v>
      </c>
      <c r="T12" s="412" t="s">
        <v>394</v>
      </c>
      <c r="U12" s="10"/>
      <c r="V12" s="406" t="s">
        <v>8</v>
      </c>
      <c r="W12" s="408" t="s">
        <v>9</v>
      </c>
      <c r="X12" s="404" t="s">
        <v>398</v>
      </c>
      <c r="Y12" s="398" t="s">
        <v>393</v>
      </c>
      <c r="Z12" s="408" t="s">
        <v>411</v>
      </c>
      <c r="AA12" s="412" t="s">
        <v>394</v>
      </c>
      <c r="AC12" s="406" t="s">
        <v>8</v>
      </c>
      <c r="AD12" s="408" t="s">
        <v>9</v>
      </c>
      <c r="AE12" s="404" t="s">
        <v>398</v>
      </c>
      <c r="AF12" s="398" t="s">
        <v>393</v>
      </c>
      <c r="AG12" s="408" t="s">
        <v>411</v>
      </c>
      <c r="AH12" s="412" t="s">
        <v>397</v>
      </c>
      <c r="AI12" s="10"/>
      <c r="AJ12" s="406" t="s">
        <v>8</v>
      </c>
      <c r="AK12" s="408" t="s">
        <v>9</v>
      </c>
      <c r="AL12" s="404" t="s">
        <v>398</v>
      </c>
      <c r="AM12" s="398" t="s">
        <v>393</v>
      </c>
      <c r="AN12" s="408" t="s">
        <v>411</v>
      </c>
      <c r="AO12" s="412" t="s">
        <v>397</v>
      </c>
      <c r="AP12" s="10"/>
      <c r="AQ12" s="406" t="s">
        <v>8</v>
      </c>
      <c r="AR12" s="408" t="s">
        <v>9</v>
      </c>
      <c r="AS12" s="404" t="s">
        <v>398</v>
      </c>
      <c r="AT12" s="398" t="s">
        <v>393</v>
      </c>
      <c r="AU12" s="408" t="s">
        <v>411</v>
      </c>
      <c r="AV12" s="412" t="s">
        <v>396</v>
      </c>
      <c r="AW12" s="3"/>
      <c r="AX12" s="406" t="s">
        <v>8</v>
      </c>
      <c r="AY12" s="408" t="s">
        <v>9</v>
      </c>
      <c r="AZ12" s="404" t="s">
        <v>398</v>
      </c>
      <c r="BA12" s="398" t="s">
        <v>393</v>
      </c>
      <c r="BB12" s="408" t="s">
        <v>411</v>
      </c>
      <c r="BC12" s="418" t="s">
        <v>395</v>
      </c>
      <c r="BD12" s="10"/>
      <c r="BE12" s="406" t="s">
        <v>8</v>
      </c>
      <c r="BF12" s="408" t="s">
        <v>9</v>
      </c>
      <c r="BG12" s="404" t="s">
        <v>398</v>
      </c>
      <c r="BH12" s="398" t="s">
        <v>393</v>
      </c>
      <c r="BI12" s="408" t="s">
        <v>411</v>
      </c>
      <c r="BJ12" s="412" t="s">
        <v>394</v>
      </c>
    </row>
    <row r="13" spans="1:63" ht="28.5" customHeight="1" thickBot="1">
      <c r="A13" s="407"/>
      <c r="B13" s="409"/>
      <c r="C13" s="405"/>
      <c r="D13" s="399"/>
      <c r="E13" s="409"/>
      <c r="F13" s="413"/>
      <c r="H13" s="407"/>
      <c r="I13" s="409"/>
      <c r="J13" s="405"/>
      <c r="K13" s="399"/>
      <c r="L13" s="409"/>
      <c r="M13" s="413"/>
      <c r="N13" s="3"/>
      <c r="O13" s="407"/>
      <c r="P13" s="409"/>
      <c r="Q13" s="405"/>
      <c r="R13" s="399"/>
      <c r="S13" s="409"/>
      <c r="T13" s="413"/>
      <c r="U13" s="10"/>
      <c r="V13" s="407"/>
      <c r="W13" s="409"/>
      <c r="X13" s="405"/>
      <c r="Y13" s="399"/>
      <c r="Z13" s="409"/>
      <c r="AA13" s="413"/>
      <c r="AC13" s="407"/>
      <c r="AD13" s="409"/>
      <c r="AE13" s="405"/>
      <c r="AF13" s="399"/>
      <c r="AG13" s="409"/>
      <c r="AH13" s="413"/>
      <c r="AI13" s="10"/>
      <c r="AJ13" s="407"/>
      <c r="AK13" s="409"/>
      <c r="AL13" s="405"/>
      <c r="AM13" s="399"/>
      <c r="AN13" s="409"/>
      <c r="AO13" s="413"/>
      <c r="AP13" s="10"/>
      <c r="AQ13" s="407"/>
      <c r="AR13" s="409"/>
      <c r="AS13" s="405"/>
      <c r="AT13" s="399"/>
      <c r="AU13" s="409"/>
      <c r="AV13" s="413"/>
      <c r="AW13" s="3"/>
      <c r="AX13" s="407"/>
      <c r="AY13" s="409"/>
      <c r="AZ13" s="405"/>
      <c r="BA13" s="399"/>
      <c r="BB13" s="409"/>
      <c r="BC13" s="419"/>
      <c r="BD13" s="10"/>
      <c r="BE13" s="407"/>
      <c r="BF13" s="409"/>
      <c r="BG13" s="405"/>
      <c r="BH13" s="399"/>
      <c r="BI13" s="409"/>
      <c r="BJ13" s="413"/>
    </row>
    <row r="14" spans="1:63">
      <c r="A14" s="8"/>
      <c r="B14" s="9"/>
      <c r="C14" s="3"/>
      <c r="D14" s="170"/>
      <c r="E14" s="228"/>
      <c r="F14" s="171"/>
      <c r="H14" s="8"/>
      <c r="I14" s="9"/>
      <c r="J14" s="3"/>
      <c r="K14" s="170"/>
      <c r="L14" s="228"/>
      <c r="M14" s="171"/>
      <c r="N14" s="3"/>
      <c r="O14" s="8"/>
      <c r="P14" s="9"/>
      <c r="Q14" s="3"/>
      <c r="R14" s="170"/>
      <c r="S14" s="228"/>
      <c r="T14" s="171"/>
      <c r="U14" s="10"/>
      <c r="V14" s="8"/>
      <c r="W14" s="9"/>
      <c r="X14" s="3"/>
      <c r="Y14" s="170"/>
      <c r="Z14" s="228"/>
      <c r="AA14" s="171"/>
      <c r="AC14" s="8"/>
      <c r="AD14" s="9"/>
      <c r="AE14" s="3"/>
      <c r="AF14" s="170"/>
      <c r="AG14" s="228"/>
      <c r="AH14" s="171"/>
      <c r="AI14" s="10"/>
      <c r="AJ14" s="8"/>
      <c r="AK14" s="9"/>
      <c r="AL14" s="3"/>
      <c r="AM14" s="170"/>
      <c r="AN14" s="228"/>
      <c r="AO14" s="171"/>
      <c r="AP14" s="10"/>
      <c r="AQ14" s="8"/>
      <c r="AR14" s="9"/>
      <c r="AS14" s="3"/>
      <c r="AT14" s="170"/>
      <c r="AU14" s="228"/>
      <c r="AV14" s="171"/>
      <c r="AW14" s="169"/>
      <c r="AX14" s="8"/>
      <c r="AY14" s="9"/>
      <c r="AZ14" s="3"/>
      <c r="BA14" s="170"/>
      <c r="BB14" s="228"/>
      <c r="BC14" s="171"/>
      <c r="BD14" s="10"/>
      <c r="BE14" s="8"/>
      <c r="BF14" s="9"/>
      <c r="BG14" s="3"/>
      <c r="BH14" s="170"/>
      <c r="BI14" s="228"/>
      <c r="BJ14" s="171"/>
    </row>
    <row r="15" spans="1:63" ht="22.5">
      <c r="A15" s="31">
        <v>2000</v>
      </c>
      <c r="B15" s="2" t="s">
        <v>10</v>
      </c>
      <c r="C15" s="61">
        <f>SUM(C16:C51)</f>
        <v>1500000.0011539999</v>
      </c>
      <c r="D15" s="14">
        <f>SUM(D16:D51)</f>
        <v>1685363.2901999995</v>
      </c>
      <c r="E15" s="14">
        <f>SUM(E16:E51)</f>
        <v>2528044.9352999995</v>
      </c>
      <c r="F15" s="18">
        <f>SUM(F16:F51)</f>
        <v>999999.99750000006</v>
      </c>
      <c r="G15" s="60">
        <f>F15*1.032</f>
        <v>1031999.99742</v>
      </c>
      <c r="H15" s="31">
        <v>2000</v>
      </c>
      <c r="I15" s="2" t="s">
        <v>10</v>
      </c>
      <c r="J15" s="14">
        <f>SUM(J16:J51)</f>
        <v>126632.07</v>
      </c>
      <c r="K15" s="14">
        <f>SUM(K16:K51)</f>
        <v>115184.41180000002</v>
      </c>
      <c r="L15" s="14">
        <f>SUM(L16:L51)</f>
        <v>172776.6177</v>
      </c>
      <c r="M15" s="18">
        <f>SUM(M16:M51)</f>
        <v>67114.994999999995</v>
      </c>
      <c r="N15" s="389">
        <f>M15*1.032</f>
        <v>69262.674839999992</v>
      </c>
      <c r="O15" s="31">
        <v>2000</v>
      </c>
      <c r="P15" s="2" t="s">
        <v>10</v>
      </c>
      <c r="Q15" s="14">
        <f>SUM(Q16:Q50)</f>
        <v>60984</v>
      </c>
      <c r="R15" s="14">
        <f>SUM(R16:R50)</f>
        <v>58003.448593887217</v>
      </c>
      <c r="S15" s="14">
        <f>SUM(S16:S50)</f>
        <v>87005.172890830814</v>
      </c>
      <c r="T15" s="18">
        <f>SUM(T16:T50)</f>
        <v>32321.52</v>
      </c>
      <c r="U15" s="165">
        <f>T15*1.032</f>
        <v>33355.808640000003</v>
      </c>
      <c r="V15" s="31">
        <v>2000</v>
      </c>
      <c r="W15" s="2" t="s">
        <v>10</v>
      </c>
      <c r="X15" s="14">
        <f>SUM(X16:X50)</f>
        <v>465302</v>
      </c>
      <c r="Y15" s="14">
        <f>SUM(Y16:Y50)</f>
        <v>680622.10649881675</v>
      </c>
      <c r="Z15" s="14">
        <f>SUM(Z16:Z50)</f>
        <v>1020933.1597482252</v>
      </c>
      <c r="AA15" s="18">
        <f>SUM(AA16:AA50)</f>
        <v>270425.67</v>
      </c>
      <c r="AB15" s="165">
        <f>AA15*1.032</f>
        <v>279079.29144</v>
      </c>
      <c r="AC15" s="31">
        <v>2000</v>
      </c>
      <c r="AD15" s="2" t="s">
        <v>10</v>
      </c>
      <c r="AE15" s="14">
        <f>SUM(AE16:AE50)</f>
        <v>165397.75</v>
      </c>
      <c r="AF15" s="14">
        <f>SUM(AF16:AF50)</f>
        <v>119186.03690729594</v>
      </c>
      <c r="AG15" s="14">
        <f>SUM(AG16:AG50)</f>
        <v>178779.05536094389</v>
      </c>
      <c r="AH15" s="18">
        <f>SUM(AH16:AH50)</f>
        <v>87660.807499999995</v>
      </c>
      <c r="AI15" s="165">
        <f>AH15*1.032</f>
        <v>90465.953339999993</v>
      </c>
      <c r="AJ15" s="31">
        <v>2000</v>
      </c>
      <c r="AK15" s="2" t="s">
        <v>10</v>
      </c>
      <c r="AL15" s="14">
        <f>SUM(AL16:AL50)</f>
        <v>370205.66958400002</v>
      </c>
      <c r="AM15" s="14">
        <f>SUM(AM16:AM50)</f>
        <v>350460.50599999994</v>
      </c>
      <c r="AN15" s="14">
        <f>SUM(AN16:AN50)</f>
        <v>525690.75899999985</v>
      </c>
      <c r="AO15" s="18">
        <f>SUM(AO16:AO50)</f>
        <v>210209.005</v>
      </c>
      <c r="AP15" s="165">
        <f>AO15*1.032</f>
        <v>216935.69316000002</v>
      </c>
      <c r="AQ15" s="31">
        <v>2000</v>
      </c>
      <c r="AR15" s="2" t="s">
        <v>10</v>
      </c>
      <c r="AS15" s="14">
        <f>SUM(AS16:AS50)</f>
        <v>193528.51157000003</v>
      </c>
      <c r="AT15" s="14">
        <f>SUM(AT16:AT50)</f>
        <v>297630.95599999995</v>
      </c>
      <c r="AU15" s="14">
        <f>SUM(AU16:AU50)</f>
        <v>446446.43399999989</v>
      </c>
      <c r="AV15" s="18">
        <f>SUM(AV16:AV50)</f>
        <v>239200</v>
      </c>
      <c r="AW15" s="165">
        <f>AV15*1.032</f>
        <v>246854.39999999999</v>
      </c>
      <c r="AX15" s="31">
        <v>2000</v>
      </c>
      <c r="AY15" s="2" t="s">
        <v>10</v>
      </c>
      <c r="AZ15" s="14">
        <f>SUM(AZ16:AZ50)</f>
        <v>79600</v>
      </c>
      <c r="BA15" s="14">
        <f>SUM(BA16:BA50)</f>
        <v>16926.691200000001</v>
      </c>
      <c r="BB15" s="14">
        <f>SUM(BB16:BB50)</f>
        <v>25390.036799999998</v>
      </c>
      <c r="BC15" s="18">
        <f>SUM(BC16:BC50)</f>
        <v>42188</v>
      </c>
      <c r="BD15" s="165">
        <f>BC15*1.032</f>
        <v>43538.016000000003</v>
      </c>
      <c r="BE15" s="31">
        <v>2000</v>
      </c>
      <c r="BF15" s="2" t="s">
        <v>10</v>
      </c>
      <c r="BG15" s="14">
        <f>SUM(BG16:BG50)</f>
        <v>38350</v>
      </c>
      <c r="BH15" s="14">
        <f>SUM(BH16:BH50)</f>
        <v>47349.133199999997</v>
      </c>
      <c r="BI15" s="14">
        <f>SUM(BI16:BI50)</f>
        <v>71023.699800000002</v>
      </c>
      <c r="BJ15" s="18">
        <f>SUM(BJ16:BJ50)</f>
        <v>50880</v>
      </c>
      <c r="BK15" s="165">
        <f>BJ15*1.032</f>
        <v>52508.160000000003</v>
      </c>
    </row>
    <row r="16" spans="1:63" s="209" customFormat="1" ht="33.75">
      <c r="A16" s="37">
        <v>21101</v>
      </c>
      <c r="B16" s="38" t="s">
        <v>11</v>
      </c>
      <c r="C16" s="62">
        <f t="shared" ref="C16:C50" si="0">J16+Q16+X16+AE16+AL16+AS16+AZ16+BG16</f>
        <v>220110.02465600002</v>
      </c>
      <c r="D16" s="62">
        <f t="shared" ref="D16:D50" si="1">K16+R16+Y16+AF16+AM16+AT16+BA16+BH16</f>
        <v>87407.874400000001</v>
      </c>
      <c r="E16" s="62">
        <f t="shared" ref="E16:E50" si="2">L16+S16+Z16+AG16+AN16+AU16+BB16+BI16</f>
        <v>131111.81159999999</v>
      </c>
      <c r="F16" s="206">
        <f t="shared" ref="F16:F50" si="3">M16+T16+AA16+AH16+AO16+AV16+BC16+BJ16</f>
        <v>110757.59000000001</v>
      </c>
      <c r="G16" s="207"/>
      <c r="H16" s="37">
        <v>21101</v>
      </c>
      <c r="I16" s="38" t="s">
        <v>11</v>
      </c>
      <c r="J16" s="159">
        <v>13460.52</v>
      </c>
      <c r="K16" s="15">
        <v>5071.07</v>
      </c>
      <c r="L16" s="229">
        <f t="shared" ref="L16:L50" si="4">((K16/8)*4)+K16</f>
        <v>7606.6049999999996</v>
      </c>
      <c r="M16" s="206">
        <f>13460.52/2</f>
        <v>6730.26</v>
      </c>
      <c r="N16" s="208"/>
      <c r="O16" s="37">
        <v>21101</v>
      </c>
      <c r="P16" s="38" t="s">
        <v>11</v>
      </c>
      <c r="Q16" s="159">
        <v>33300</v>
      </c>
      <c r="R16" s="159">
        <v>16933.656799999997</v>
      </c>
      <c r="S16" s="62">
        <f t="shared" ref="S16:S50" si="5">((R16/8)*4)+R16</f>
        <v>25400.485199999996</v>
      </c>
      <c r="T16" s="206">
        <f>35298/2</f>
        <v>17649</v>
      </c>
      <c r="U16" s="207"/>
      <c r="V16" s="37">
        <v>21101</v>
      </c>
      <c r="W16" s="38" t="s">
        <v>11</v>
      </c>
      <c r="X16" s="159">
        <v>85000</v>
      </c>
      <c r="Y16" s="159">
        <v>54259.561199999996</v>
      </c>
      <c r="Z16" s="62">
        <f t="shared" ref="Z16:Z50" si="6">((Y16/8)*4)+Y16</f>
        <v>81389.341799999995</v>
      </c>
      <c r="AA16" s="206">
        <f>85000/2</f>
        <v>42500</v>
      </c>
      <c r="AB16" s="388">
        <f>AB15+BK15</f>
        <v>331587.45143999998</v>
      </c>
      <c r="AC16" s="37">
        <v>21101</v>
      </c>
      <c r="AD16" s="38" t="s">
        <v>11</v>
      </c>
      <c r="AE16" s="62">
        <v>11500</v>
      </c>
      <c r="AF16" s="159">
        <v>7102.7379999999994</v>
      </c>
      <c r="AG16" s="62">
        <f t="shared" ref="AG16:AG50" si="7">((AF16/8)*4)+AF16</f>
        <v>10654.107</v>
      </c>
      <c r="AH16" s="206">
        <f>12190/2</f>
        <v>6095</v>
      </c>
      <c r="AI16" s="388">
        <f>AI15+AP15</f>
        <v>307401.64650000003</v>
      </c>
      <c r="AJ16" s="37">
        <v>21101</v>
      </c>
      <c r="AK16" s="38" t="s">
        <v>11</v>
      </c>
      <c r="AL16" s="62">
        <v>12845.489584000003</v>
      </c>
      <c r="AM16" s="159">
        <v>0</v>
      </c>
      <c r="AN16" s="62">
        <f t="shared" ref="AN16:AN50" si="8">((AM16/8)*4)+AM16</f>
        <v>0</v>
      </c>
      <c r="AO16" s="365">
        <f>13000/2</f>
        <v>6500</v>
      </c>
      <c r="AP16" s="207"/>
      <c r="AQ16" s="37">
        <v>21101</v>
      </c>
      <c r="AR16" s="38" t="s">
        <v>11</v>
      </c>
      <c r="AS16" s="62">
        <v>15004.015072000002</v>
      </c>
      <c r="AT16" s="159">
        <v>188.09399999999999</v>
      </c>
      <c r="AU16" s="62">
        <f t="shared" ref="AU16:AU50" si="9">((AT16/8)*4)+AT16</f>
        <v>282.14099999999996</v>
      </c>
      <c r="AV16" s="206">
        <f>16206.66/2</f>
        <v>8103.33</v>
      </c>
      <c r="AW16" s="210"/>
      <c r="AX16" s="37">
        <v>21101</v>
      </c>
      <c r="AY16" s="38" t="s">
        <v>11</v>
      </c>
      <c r="AZ16" s="62">
        <v>40000</v>
      </c>
      <c r="BA16" s="159">
        <v>3852.7543999999998</v>
      </c>
      <c r="BB16" s="62">
        <f t="shared" ref="BB16:BB50" si="10">((BA16/8)*4)+BA16</f>
        <v>5779.1315999999997</v>
      </c>
      <c r="BC16" s="206">
        <f>40000/2</f>
        <v>20000</v>
      </c>
      <c r="BD16" s="207"/>
      <c r="BE16" s="37">
        <v>21101</v>
      </c>
      <c r="BF16" s="38" t="s">
        <v>11</v>
      </c>
      <c r="BG16" s="62">
        <v>9000</v>
      </c>
      <c r="BH16" s="159">
        <v>0</v>
      </c>
      <c r="BI16" s="62">
        <f t="shared" ref="BI16:BI50" si="11">((BH16/8)*4)+BH16</f>
        <v>0</v>
      </c>
      <c r="BJ16" s="206">
        <f>6360/2</f>
        <v>3180</v>
      </c>
      <c r="BK16" s="207"/>
    </row>
    <row r="17" spans="1:62" s="209" customFormat="1" ht="33.75">
      <c r="A17" s="37">
        <v>21201</v>
      </c>
      <c r="B17" s="38" t="s">
        <v>12</v>
      </c>
      <c r="C17" s="62">
        <f t="shared" si="0"/>
        <v>1450</v>
      </c>
      <c r="D17" s="62">
        <f t="shared" si="1"/>
        <v>13305.276000000002</v>
      </c>
      <c r="E17" s="62">
        <f t="shared" si="2"/>
        <v>19957.914000000001</v>
      </c>
      <c r="F17" s="206">
        <f t="shared" si="3"/>
        <v>14342.2</v>
      </c>
      <c r="G17" s="207"/>
      <c r="H17" s="37">
        <v>21201</v>
      </c>
      <c r="I17" s="38" t="s">
        <v>12</v>
      </c>
      <c r="J17" s="159">
        <v>0</v>
      </c>
      <c r="K17" s="15">
        <v>0</v>
      </c>
      <c r="L17" s="229">
        <f t="shared" si="4"/>
        <v>0</v>
      </c>
      <c r="M17" s="206"/>
      <c r="N17" s="208"/>
      <c r="O17" s="37">
        <v>21201</v>
      </c>
      <c r="P17" s="38" t="s">
        <v>12</v>
      </c>
      <c r="Q17" s="159"/>
      <c r="R17" s="159">
        <v>0</v>
      </c>
      <c r="S17" s="62">
        <f t="shared" si="5"/>
        <v>0</v>
      </c>
      <c r="T17" s="206"/>
      <c r="V17" s="37">
        <v>21201</v>
      </c>
      <c r="W17" s="38" t="s">
        <v>12</v>
      </c>
      <c r="X17" s="159">
        <v>250</v>
      </c>
      <c r="Y17" s="159">
        <v>10889.432000000001</v>
      </c>
      <c r="Z17" s="62">
        <f t="shared" si="6"/>
        <v>16334.148000000001</v>
      </c>
      <c r="AA17" s="206">
        <f>11500/2</f>
        <v>5750</v>
      </c>
      <c r="AB17" s="207"/>
      <c r="AC17" s="37">
        <v>21201</v>
      </c>
      <c r="AD17" s="38" t="s">
        <v>12</v>
      </c>
      <c r="AE17" s="62">
        <v>0</v>
      </c>
      <c r="AF17" s="159">
        <v>0</v>
      </c>
      <c r="AG17" s="62">
        <f t="shared" si="7"/>
        <v>0</v>
      </c>
      <c r="AH17" s="206">
        <v>0</v>
      </c>
      <c r="AJ17" s="37">
        <v>21201</v>
      </c>
      <c r="AK17" s="38" t="s">
        <v>12</v>
      </c>
      <c r="AL17" s="62"/>
      <c r="AM17" s="159">
        <v>2001.84</v>
      </c>
      <c r="AN17" s="62">
        <f t="shared" si="8"/>
        <v>3002.7599999999998</v>
      </c>
      <c r="AO17" s="206"/>
      <c r="AP17" s="207"/>
      <c r="AQ17" s="37">
        <v>21201</v>
      </c>
      <c r="AR17" s="38" t="s">
        <v>12</v>
      </c>
      <c r="AS17" s="62">
        <v>1200</v>
      </c>
      <c r="AT17" s="159">
        <v>414.00400000000002</v>
      </c>
      <c r="AU17" s="62">
        <f t="shared" si="9"/>
        <v>621.00600000000009</v>
      </c>
      <c r="AV17" s="206">
        <f>15064.4/2</f>
        <v>7532.2</v>
      </c>
      <c r="AW17" s="210"/>
      <c r="AX17" s="37">
        <v>21201</v>
      </c>
      <c r="AY17" s="38" t="s">
        <v>12</v>
      </c>
      <c r="AZ17" s="62">
        <v>0</v>
      </c>
      <c r="BA17" s="159">
        <v>0</v>
      </c>
      <c r="BB17" s="62">
        <f t="shared" si="10"/>
        <v>0</v>
      </c>
      <c r="BC17" s="206"/>
      <c r="BE17" s="37">
        <v>21201</v>
      </c>
      <c r="BF17" s="38" t="s">
        <v>12</v>
      </c>
      <c r="BG17" s="62">
        <v>0</v>
      </c>
      <c r="BH17" s="159">
        <v>0</v>
      </c>
      <c r="BI17" s="62">
        <f t="shared" si="11"/>
        <v>0</v>
      </c>
      <c r="BJ17" s="206">
        <f>2120/2</f>
        <v>1060</v>
      </c>
    </row>
    <row r="18" spans="1:62" s="209" customFormat="1" ht="56.25">
      <c r="A18" s="37">
        <v>21401</v>
      </c>
      <c r="B18" s="38" t="s">
        <v>13</v>
      </c>
      <c r="C18" s="62">
        <f t="shared" si="0"/>
        <v>129469.456618</v>
      </c>
      <c r="D18" s="62">
        <f t="shared" si="1"/>
        <v>53658.073600000003</v>
      </c>
      <c r="E18" s="62">
        <f t="shared" si="2"/>
        <v>80487.110400000005</v>
      </c>
      <c r="F18" s="206">
        <f t="shared" si="3"/>
        <v>61352.464999999997</v>
      </c>
      <c r="G18" s="211"/>
      <c r="H18" s="37">
        <v>21401</v>
      </c>
      <c r="I18" s="38" t="s">
        <v>13</v>
      </c>
      <c r="J18" s="159">
        <f>5300+140.42+3000+4000</f>
        <v>12440.42</v>
      </c>
      <c r="K18" s="15">
        <v>16472</v>
      </c>
      <c r="L18" s="229">
        <f t="shared" si="4"/>
        <v>24708</v>
      </c>
      <c r="M18" s="206">
        <f>(15000-530.53)/2</f>
        <v>7234.7349999999997</v>
      </c>
      <c r="N18" s="208"/>
      <c r="O18" s="37">
        <v>21401</v>
      </c>
      <c r="P18" s="38" t="s">
        <v>13</v>
      </c>
      <c r="Q18" s="159">
        <v>4341</v>
      </c>
      <c r="R18" s="159">
        <v>1128.6799999999998</v>
      </c>
      <c r="S18" s="62">
        <f t="shared" si="5"/>
        <v>1693.0199999999998</v>
      </c>
      <c r="T18" s="206">
        <f>4601.46/2</f>
        <v>2300.73</v>
      </c>
      <c r="V18" s="37">
        <v>21401</v>
      </c>
      <c r="W18" s="38" t="s">
        <v>13</v>
      </c>
      <c r="X18" s="159">
        <v>33600</v>
      </c>
      <c r="Y18" s="159">
        <v>31176.392</v>
      </c>
      <c r="Z18" s="62">
        <f t="shared" si="6"/>
        <v>46764.588000000003</v>
      </c>
      <c r="AA18" s="206">
        <f>33600/2</f>
        <v>16800</v>
      </c>
      <c r="AB18" s="207"/>
      <c r="AC18" s="37">
        <v>21401</v>
      </c>
      <c r="AD18" s="38" t="s">
        <v>13</v>
      </c>
      <c r="AE18" s="62">
        <v>15900</v>
      </c>
      <c r="AF18" s="159">
        <v>0</v>
      </c>
      <c r="AG18" s="62">
        <f t="shared" si="7"/>
        <v>0</v>
      </c>
      <c r="AH18" s="206">
        <f>16854/2</f>
        <v>8427</v>
      </c>
      <c r="AJ18" s="37">
        <v>21401</v>
      </c>
      <c r="AK18" s="38" t="s">
        <v>13</v>
      </c>
      <c r="AL18" s="62">
        <v>20000</v>
      </c>
      <c r="AM18" s="159">
        <v>0</v>
      </c>
      <c r="AN18" s="62">
        <f t="shared" si="8"/>
        <v>0</v>
      </c>
      <c r="AO18" s="365">
        <f>15000/2</f>
        <v>7500</v>
      </c>
      <c r="AQ18" s="37">
        <v>21401</v>
      </c>
      <c r="AR18" s="38" t="s">
        <v>13</v>
      </c>
      <c r="AS18" s="62">
        <v>20788.036618000006</v>
      </c>
      <c r="AT18" s="159">
        <v>299.0016</v>
      </c>
      <c r="AU18" s="62">
        <f t="shared" si="9"/>
        <v>448.50239999999997</v>
      </c>
      <c r="AV18" s="206">
        <f>20000/2</f>
        <v>10000</v>
      </c>
      <c r="AW18" s="210"/>
      <c r="AX18" s="37">
        <v>21401</v>
      </c>
      <c r="AY18" s="38" t="s">
        <v>13</v>
      </c>
      <c r="AZ18" s="62">
        <v>20000</v>
      </c>
      <c r="BA18" s="159">
        <v>0</v>
      </c>
      <c r="BB18" s="62">
        <f t="shared" si="10"/>
        <v>0</v>
      </c>
      <c r="BC18" s="206">
        <f>15000/2</f>
        <v>7500</v>
      </c>
      <c r="BE18" s="37">
        <v>21401</v>
      </c>
      <c r="BF18" s="38" t="s">
        <v>13</v>
      </c>
      <c r="BG18" s="62">
        <v>2400</v>
      </c>
      <c r="BH18" s="159">
        <v>4582</v>
      </c>
      <c r="BI18" s="62">
        <f t="shared" si="11"/>
        <v>6873</v>
      </c>
      <c r="BJ18" s="206">
        <f>3180/2</f>
        <v>1590</v>
      </c>
    </row>
    <row r="19" spans="1:62" s="209" customFormat="1" ht="22.5">
      <c r="A19" s="37">
        <v>21501</v>
      </c>
      <c r="B19" s="38" t="s">
        <v>14</v>
      </c>
      <c r="C19" s="62">
        <f t="shared" si="0"/>
        <v>1500</v>
      </c>
      <c r="D19" s="62">
        <f t="shared" si="1"/>
        <v>0</v>
      </c>
      <c r="E19" s="62">
        <f t="shared" si="2"/>
        <v>0</v>
      </c>
      <c r="F19" s="206">
        <f t="shared" si="3"/>
        <v>530</v>
      </c>
      <c r="G19" s="207"/>
      <c r="H19" s="37">
        <v>21501</v>
      </c>
      <c r="I19" s="38" t="s">
        <v>14</v>
      </c>
      <c r="J19" s="159">
        <v>1500</v>
      </c>
      <c r="K19" s="15">
        <v>0</v>
      </c>
      <c r="L19" s="229">
        <f t="shared" si="4"/>
        <v>0</v>
      </c>
      <c r="M19" s="206"/>
      <c r="N19" s="208"/>
      <c r="O19" s="37">
        <v>21501</v>
      </c>
      <c r="P19" s="38" t="s">
        <v>14</v>
      </c>
      <c r="Q19" s="159"/>
      <c r="R19" s="159">
        <v>0</v>
      </c>
      <c r="S19" s="62">
        <f t="shared" si="5"/>
        <v>0</v>
      </c>
      <c r="T19" s="206"/>
      <c r="V19" s="37">
        <v>21501</v>
      </c>
      <c r="W19" s="38" t="s">
        <v>14</v>
      </c>
      <c r="X19" s="159">
        <v>0</v>
      </c>
      <c r="Y19" s="159">
        <v>0</v>
      </c>
      <c r="Z19" s="62">
        <f t="shared" si="6"/>
        <v>0</v>
      </c>
      <c r="AA19" s="206"/>
      <c r="AB19" s="207"/>
      <c r="AC19" s="37">
        <v>21501</v>
      </c>
      <c r="AD19" s="38" t="s">
        <v>14</v>
      </c>
      <c r="AE19" s="62">
        <v>0</v>
      </c>
      <c r="AF19" s="159">
        <v>0</v>
      </c>
      <c r="AG19" s="62">
        <f t="shared" si="7"/>
        <v>0</v>
      </c>
      <c r="AH19" s="206">
        <v>0</v>
      </c>
      <c r="AJ19" s="37">
        <v>21501</v>
      </c>
      <c r="AK19" s="38" t="s">
        <v>14</v>
      </c>
      <c r="AL19" s="62">
        <v>0</v>
      </c>
      <c r="AM19" s="159">
        <v>0</v>
      </c>
      <c r="AN19" s="62">
        <f t="shared" si="8"/>
        <v>0</v>
      </c>
      <c r="AO19" s="206"/>
      <c r="AQ19" s="37">
        <v>21501</v>
      </c>
      <c r="AR19" s="38" t="s">
        <v>14</v>
      </c>
      <c r="AS19" s="62">
        <v>0</v>
      </c>
      <c r="AT19" s="159">
        <v>0</v>
      </c>
      <c r="AU19" s="62">
        <f t="shared" si="9"/>
        <v>0</v>
      </c>
      <c r="AV19" s="206"/>
      <c r="AW19" s="210"/>
      <c r="AX19" s="37">
        <v>21501</v>
      </c>
      <c r="AY19" s="38" t="s">
        <v>14</v>
      </c>
      <c r="AZ19" s="62">
        <v>0</v>
      </c>
      <c r="BA19" s="159">
        <v>0</v>
      </c>
      <c r="BB19" s="62">
        <f t="shared" si="10"/>
        <v>0</v>
      </c>
      <c r="BC19" s="206"/>
      <c r="BE19" s="37">
        <v>21501</v>
      </c>
      <c r="BF19" s="38" t="s">
        <v>14</v>
      </c>
      <c r="BG19" s="62">
        <v>0</v>
      </c>
      <c r="BH19" s="159">
        <v>0</v>
      </c>
      <c r="BI19" s="62">
        <f t="shared" si="11"/>
        <v>0</v>
      </c>
      <c r="BJ19" s="206">
        <f>1060/2</f>
        <v>530</v>
      </c>
    </row>
    <row r="20" spans="1:62" s="209" customFormat="1">
      <c r="A20" s="37">
        <v>21601</v>
      </c>
      <c r="B20" s="38" t="s">
        <v>15</v>
      </c>
      <c r="C20" s="62">
        <f t="shared" si="0"/>
        <v>17000</v>
      </c>
      <c r="D20" s="62">
        <f t="shared" si="1"/>
        <v>17982.322</v>
      </c>
      <c r="E20" s="62">
        <f t="shared" si="2"/>
        <v>26973.483000000004</v>
      </c>
      <c r="F20" s="206">
        <f t="shared" si="3"/>
        <v>13120</v>
      </c>
      <c r="G20" s="211"/>
      <c r="H20" s="37">
        <v>21601</v>
      </c>
      <c r="I20" s="38" t="s">
        <v>15</v>
      </c>
      <c r="J20" s="159">
        <v>2000</v>
      </c>
      <c r="K20" s="15">
        <v>1278.6795999999999</v>
      </c>
      <c r="L20" s="229">
        <f t="shared" si="4"/>
        <v>1918.0193999999999</v>
      </c>
      <c r="M20" s="206">
        <f>2000/2</f>
        <v>1000</v>
      </c>
      <c r="N20" s="208"/>
      <c r="O20" s="37">
        <v>21601</v>
      </c>
      <c r="P20" s="38" t="s">
        <v>15</v>
      </c>
      <c r="Q20" s="159"/>
      <c r="R20" s="159">
        <v>0</v>
      </c>
      <c r="S20" s="62">
        <f t="shared" si="5"/>
        <v>0</v>
      </c>
      <c r="T20" s="206"/>
      <c r="V20" s="37">
        <v>21601</v>
      </c>
      <c r="W20" s="38" t="s">
        <v>15</v>
      </c>
      <c r="X20" s="159">
        <v>15000</v>
      </c>
      <c r="Y20" s="159">
        <v>15151.652600000001</v>
      </c>
      <c r="Z20" s="62">
        <f t="shared" si="6"/>
        <v>22727.478900000002</v>
      </c>
      <c r="AA20" s="206">
        <f>20000/2</f>
        <v>10000</v>
      </c>
      <c r="AB20" s="207"/>
      <c r="AC20" s="37">
        <v>21601</v>
      </c>
      <c r="AD20" s="38" t="s">
        <v>15</v>
      </c>
      <c r="AE20" s="62">
        <v>0</v>
      </c>
      <c r="AF20" s="159">
        <v>1237.1425999999999</v>
      </c>
      <c r="AG20" s="62">
        <f t="shared" si="7"/>
        <v>1855.7138999999997</v>
      </c>
      <c r="AH20" s="206">
        <v>0</v>
      </c>
      <c r="AJ20" s="37">
        <v>21601</v>
      </c>
      <c r="AK20" s="38" t="s">
        <v>15</v>
      </c>
      <c r="AL20" s="62">
        <v>0</v>
      </c>
      <c r="AM20" s="159">
        <v>0</v>
      </c>
      <c r="AN20" s="62">
        <f t="shared" si="8"/>
        <v>0</v>
      </c>
      <c r="AO20" s="206"/>
      <c r="AQ20" s="37">
        <v>21601</v>
      </c>
      <c r="AR20" s="38" t="s">
        <v>15</v>
      </c>
      <c r="AS20" s="62">
        <v>0</v>
      </c>
      <c r="AT20" s="159">
        <v>216.85039999999998</v>
      </c>
      <c r="AU20" s="62">
        <f t="shared" si="9"/>
        <v>325.27559999999994</v>
      </c>
      <c r="AV20" s="206"/>
      <c r="AW20" s="210"/>
      <c r="AX20" s="37">
        <v>21601</v>
      </c>
      <c r="AY20" s="38" t="s">
        <v>15</v>
      </c>
      <c r="AZ20" s="62">
        <v>0</v>
      </c>
      <c r="BA20" s="159">
        <v>97.996799999999993</v>
      </c>
      <c r="BB20" s="62">
        <f t="shared" si="10"/>
        <v>146.99519999999998</v>
      </c>
      <c r="BC20" s="206"/>
      <c r="BE20" s="37">
        <v>21601</v>
      </c>
      <c r="BF20" s="38" t="s">
        <v>15</v>
      </c>
      <c r="BG20" s="62">
        <v>0</v>
      </c>
      <c r="BH20" s="159">
        <v>0</v>
      </c>
      <c r="BI20" s="62">
        <f t="shared" si="11"/>
        <v>0</v>
      </c>
      <c r="BJ20" s="206">
        <f>4240/2</f>
        <v>2120</v>
      </c>
    </row>
    <row r="21" spans="1:62" s="209" customFormat="1" ht="22.5">
      <c r="A21" s="37">
        <v>21701</v>
      </c>
      <c r="B21" s="38" t="s">
        <v>16</v>
      </c>
      <c r="C21" s="62">
        <f t="shared" si="0"/>
        <v>0</v>
      </c>
      <c r="D21" s="62">
        <f t="shared" si="1"/>
        <v>0</v>
      </c>
      <c r="E21" s="62">
        <f t="shared" si="2"/>
        <v>0</v>
      </c>
      <c r="F21" s="206">
        <f t="shared" si="3"/>
        <v>0</v>
      </c>
      <c r="H21" s="37">
        <v>21701</v>
      </c>
      <c r="I21" s="38" t="s">
        <v>16</v>
      </c>
      <c r="J21" s="159">
        <v>0</v>
      </c>
      <c r="K21" s="15">
        <v>0</v>
      </c>
      <c r="L21" s="229">
        <f t="shared" si="4"/>
        <v>0</v>
      </c>
      <c r="M21" s="206"/>
      <c r="N21" s="208"/>
      <c r="O21" s="37">
        <v>21701</v>
      </c>
      <c r="P21" s="38" t="s">
        <v>16</v>
      </c>
      <c r="Q21" s="159"/>
      <c r="R21" s="159">
        <v>0</v>
      </c>
      <c r="S21" s="62">
        <f t="shared" si="5"/>
        <v>0</v>
      </c>
      <c r="T21" s="206"/>
      <c r="V21" s="37">
        <v>21701</v>
      </c>
      <c r="W21" s="38" t="s">
        <v>16</v>
      </c>
      <c r="X21" s="159">
        <v>0</v>
      </c>
      <c r="Y21" s="159">
        <v>0</v>
      </c>
      <c r="Z21" s="62">
        <f t="shared" si="6"/>
        <v>0</v>
      </c>
      <c r="AA21" s="206"/>
      <c r="AB21" s="207"/>
      <c r="AC21" s="37">
        <v>21701</v>
      </c>
      <c r="AD21" s="38" t="s">
        <v>16</v>
      </c>
      <c r="AE21" s="62">
        <v>0</v>
      </c>
      <c r="AF21" s="159">
        <v>0</v>
      </c>
      <c r="AG21" s="62">
        <f t="shared" si="7"/>
        <v>0</v>
      </c>
      <c r="AH21" s="206">
        <v>0</v>
      </c>
      <c r="AJ21" s="37">
        <v>21701</v>
      </c>
      <c r="AK21" s="38" t="s">
        <v>16</v>
      </c>
      <c r="AL21" s="62">
        <v>0</v>
      </c>
      <c r="AM21" s="159">
        <v>0</v>
      </c>
      <c r="AN21" s="62">
        <f t="shared" si="8"/>
        <v>0</v>
      </c>
      <c r="AO21" s="206"/>
      <c r="AQ21" s="37">
        <v>21701</v>
      </c>
      <c r="AR21" s="38" t="s">
        <v>16</v>
      </c>
      <c r="AS21" s="62">
        <v>0</v>
      </c>
      <c r="AT21" s="159">
        <v>0</v>
      </c>
      <c r="AU21" s="62">
        <f t="shared" si="9"/>
        <v>0</v>
      </c>
      <c r="AV21" s="206"/>
      <c r="AW21" s="210"/>
      <c r="AX21" s="37">
        <v>21701</v>
      </c>
      <c r="AY21" s="38" t="s">
        <v>16</v>
      </c>
      <c r="AZ21" s="62">
        <v>0</v>
      </c>
      <c r="BA21" s="159">
        <v>0</v>
      </c>
      <c r="BB21" s="62">
        <f t="shared" si="10"/>
        <v>0</v>
      </c>
      <c r="BC21" s="206"/>
      <c r="BE21" s="37">
        <v>21701</v>
      </c>
      <c r="BF21" s="38" t="s">
        <v>16</v>
      </c>
      <c r="BG21" s="62">
        <v>0</v>
      </c>
      <c r="BH21" s="159">
        <v>0</v>
      </c>
      <c r="BI21" s="62">
        <f t="shared" si="11"/>
        <v>0</v>
      </c>
      <c r="BJ21" s="206"/>
    </row>
    <row r="22" spans="1:62" s="209" customFormat="1" ht="33.75">
      <c r="A22" s="37">
        <v>21801</v>
      </c>
      <c r="B22" s="38" t="s">
        <v>17</v>
      </c>
      <c r="C22" s="62">
        <f t="shared" si="0"/>
        <v>47486</v>
      </c>
      <c r="D22" s="62">
        <f t="shared" si="1"/>
        <v>47081</v>
      </c>
      <c r="E22" s="62">
        <f t="shared" si="2"/>
        <v>70621.5</v>
      </c>
      <c r="F22" s="206">
        <f t="shared" si="3"/>
        <v>26306.02</v>
      </c>
      <c r="H22" s="37">
        <v>21801</v>
      </c>
      <c r="I22" s="38" t="s">
        <v>17</v>
      </c>
      <c r="J22" s="159">
        <v>4000</v>
      </c>
      <c r="K22" s="15">
        <v>4212</v>
      </c>
      <c r="L22" s="229">
        <f t="shared" si="4"/>
        <v>6318</v>
      </c>
      <c r="M22" s="206">
        <f>4500/2</f>
        <v>2250</v>
      </c>
      <c r="N22" s="208"/>
      <c r="O22" s="37">
        <v>21801</v>
      </c>
      <c r="P22" s="38" t="s">
        <v>17</v>
      </c>
      <c r="Q22" s="159">
        <v>1343</v>
      </c>
      <c r="R22" s="159">
        <v>1404</v>
      </c>
      <c r="S22" s="62">
        <f t="shared" si="5"/>
        <v>2106</v>
      </c>
      <c r="T22" s="206">
        <f>1423.58/2</f>
        <v>711.79</v>
      </c>
      <c r="V22" s="37">
        <v>21801</v>
      </c>
      <c r="W22" s="38" t="s">
        <v>17</v>
      </c>
      <c r="X22" s="159">
        <v>12252</v>
      </c>
      <c r="Y22" s="159">
        <v>11232</v>
      </c>
      <c r="Z22" s="62">
        <f t="shared" si="6"/>
        <v>16848</v>
      </c>
      <c r="AA22" s="206">
        <f>12500/2</f>
        <v>6250</v>
      </c>
      <c r="AB22" s="207"/>
      <c r="AC22" s="37">
        <v>21801</v>
      </c>
      <c r="AD22" s="38" t="s">
        <v>17</v>
      </c>
      <c r="AE22" s="62">
        <v>7291</v>
      </c>
      <c r="AF22" s="159">
        <v>7769</v>
      </c>
      <c r="AG22" s="62">
        <f t="shared" si="7"/>
        <v>11653.5</v>
      </c>
      <c r="AH22" s="206">
        <f>7728.46/2</f>
        <v>3864.23</v>
      </c>
      <c r="AJ22" s="37">
        <v>21801</v>
      </c>
      <c r="AK22" s="38" t="s">
        <v>17</v>
      </c>
      <c r="AL22" s="62">
        <v>9500</v>
      </c>
      <c r="AM22" s="159">
        <v>9828</v>
      </c>
      <c r="AN22" s="62">
        <f t="shared" si="8"/>
        <v>14742</v>
      </c>
      <c r="AO22" s="365">
        <f>10000/2</f>
        <v>5000</v>
      </c>
      <c r="AP22" s="207"/>
      <c r="AQ22" s="37">
        <v>21801</v>
      </c>
      <c r="AR22" s="38" t="s">
        <v>17</v>
      </c>
      <c r="AS22" s="62">
        <v>8100</v>
      </c>
      <c r="AT22" s="159">
        <v>8424</v>
      </c>
      <c r="AU22" s="62">
        <f t="shared" si="9"/>
        <v>12636</v>
      </c>
      <c r="AV22" s="206">
        <f>8600/2</f>
        <v>4300</v>
      </c>
      <c r="AW22" s="210"/>
      <c r="AX22" s="37">
        <v>21801</v>
      </c>
      <c r="AY22" s="38" t="s">
        <v>17</v>
      </c>
      <c r="AZ22" s="62">
        <v>1000</v>
      </c>
      <c r="BA22" s="159">
        <v>1404</v>
      </c>
      <c r="BB22" s="62">
        <f t="shared" si="10"/>
        <v>2106</v>
      </c>
      <c r="BC22" s="206">
        <f>1500/2</f>
        <v>750</v>
      </c>
      <c r="BE22" s="37">
        <v>21801</v>
      </c>
      <c r="BF22" s="38" t="s">
        <v>17</v>
      </c>
      <c r="BG22" s="62">
        <v>4000</v>
      </c>
      <c r="BH22" s="159">
        <v>2808</v>
      </c>
      <c r="BI22" s="62">
        <f t="shared" si="11"/>
        <v>4212</v>
      </c>
      <c r="BJ22" s="206">
        <f>6360/2</f>
        <v>3180</v>
      </c>
    </row>
    <row r="23" spans="1:62" s="209" customFormat="1" ht="33.75">
      <c r="A23" s="37">
        <v>21802</v>
      </c>
      <c r="B23" s="38" t="s">
        <v>18</v>
      </c>
      <c r="C23" s="62">
        <f t="shared" si="0"/>
        <v>0</v>
      </c>
      <c r="D23" s="62">
        <f t="shared" si="1"/>
        <v>0</v>
      </c>
      <c r="E23" s="62">
        <f t="shared" si="2"/>
        <v>0</v>
      </c>
      <c r="F23" s="206">
        <f t="shared" si="3"/>
        <v>0</v>
      </c>
      <c r="H23" s="37">
        <v>21802</v>
      </c>
      <c r="I23" s="38" t="s">
        <v>18</v>
      </c>
      <c r="J23" s="159">
        <v>0</v>
      </c>
      <c r="K23" s="15">
        <v>0</v>
      </c>
      <c r="L23" s="229">
        <f t="shared" si="4"/>
        <v>0</v>
      </c>
      <c r="M23" s="206"/>
      <c r="N23" s="208"/>
      <c r="O23" s="37">
        <v>21802</v>
      </c>
      <c r="P23" s="38" t="s">
        <v>18</v>
      </c>
      <c r="Q23" s="159"/>
      <c r="R23" s="159">
        <v>0</v>
      </c>
      <c r="S23" s="62">
        <f t="shared" si="5"/>
        <v>0</v>
      </c>
      <c r="T23" s="206"/>
      <c r="V23" s="37">
        <v>21802</v>
      </c>
      <c r="W23" s="38" t="s">
        <v>18</v>
      </c>
      <c r="X23" s="159">
        <v>0</v>
      </c>
      <c r="Y23" s="159">
        <v>0</v>
      </c>
      <c r="Z23" s="62">
        <f t="shared" si="6"/>
        <v>0</v>
      </c>
      <c r="AA23" s="206"/>
      <c r="AB23" s="207"/>
      <c r="AC23" s="37">
        <v>21802</v>
      </c>
      <c r="AD23" s="38" t="s">
        <v>18</v>
      </c>
      <c r="AE23" s="62">
        <v>0</v>
      </c>
      <c r="AF23" s="159">
        <v>0</v>
      </c>
      <c r="AG23" s="62">
        <f t="shared" si="7"/>
        <v>0</v>
      </c>
      <c r="AH23" s="206">
        <v>0</v>
      </c>
      <c r="AJ23" s="37">
        <v>21802</v>
      </c>
      <c r="AK23" s="38" t="s">
        <v>18</v>
      </c>
      <c r="AL23" s="62">
        <v>0</v>
      </c>
      <c r="AM23" s="159">
        <v>0</v>
      </c>
      <c r="AN23" s="62">
        <f t="shared" si="8"/>
        <v>0</v>
      </c>
      <c r="AO23" s="206"/>
      <c r="AQ23" s="37">
        <v>21802</v>
      </c>
      <c r="AR23" s="38" t="s">
        <v>18</v>
      </c>
      <c r="AS23" s="62">
        <v>0</v>
      </c>
      <c r="AT23" s="159">
        <v>0</v>
      </c>
      <c r="AU23" s="62">
        <f t="shared" si="9"/>
        <v>0</v>
      </c>
      <c r="AV23" s="206"/>
      <c r="AW23" s="210"/>
      <c r="AX23" s="37">
        <v>21802</v>
      </c>
      <c r="AY23" s="38" t="s">
        <v>18</v>
      </c>
      <c r="AZ23" s="62">
        <v>0</v>
      </c>
      <c r="BA23" s="159">
        <v>0</v>
      </c>
      <c r="BB23" s="62">
        <f t="shared" si="10"/>
        <v>0</v>
      </c>
      <c r="BC23" s="206"/>
      <c r="BE23" s="37">
        <v>21802</v>
      </c>
      <c r="BF23" s="38" t="s">
        <v>18</v>
      </c>
      <c r="BG23" s="62">
        <v>0</v>
      </c>
      <c r="BH23" s="159">
        <v>0</v>
      </c>
      <c r="BI23" s="62">
        <f t="shared" si="11"/>
        <v>0</v>
      </c>
      <c r="BJ23" s="206"/>
    </row>
    <row r="24" spans="1:62" s="209" customFormat="1" ht="45">
      <c r="A24" s="37">
        <v>22101</v>
      </c>
      <c r="B24" s="38" t="s">
        <v>19</v>
      </c>
      <c r="C24" s="62">
        <f t="shared" si="0"/>
        <v>100300</v>
      </c>
      <c r="D24" s="62">
        <f t="shared" si="1"/>
        <v>139920.68999999997</v>
      </c>
      <c r="E24" s="62">
        <f t="shared" si="2"/>
        <v>209881.03500000003</v>
      </c>
      <c r="F24" s="206">
        <f t="shared" si="3"/>
        <v>64960.67</v>
      </c>
      <c r="H24" s="37">
        <v>22101</v>
      </c>
      <c r="I24" s="38" t="s">
        <v>19</v>
      </c>
      <c r="J24" s="159">
        <v>12000</v>
      </c>
      <c r="K24" s="15">
        <v>12833.694799999999</v>
      </c>
      <c r="L24" s="229">
        <f t="shared" si="4"/>
        <v>19250.5422</v>
      </c>
      <c r="M24" s="206">
        <f>13000/2</f>
        <v>6500</v>
      </c>
      <c r="N24" s="208"/>
      <c r="O24" s="37">
        <v>22101</v>
      </c>
      <c r="P24" s="38" t="s">
        <v>19</v>
      </c>
      <c r="Q24" s="159">
        <v>9000</v>
      </c>
      <c r="R24" s="159">
        <v>19500.351793887214</v>
      </c>
      <c r="S24" s="62">
        <f t="shared" si="5"/>
        <v>29250.527690830822</v>
      </c>
      <c r="T24" s="206">
        <f>9540/2</f>
        <v>4770</v>
      </c>
      <c r="V24" s="37">
        <v>22101</v>
      </c>
      <c r="W24" s="38" t="s">
        <v>19</v>
      </c>
      <c r="X24" s="159">
        <v>60000</v>
      </c>
      <c r="Y24" s="159">
        <v>94021.40149881682</v>
      </c>
      <c r="Z24" s="62">
        <f t="shared" si="6"/>
        <v>141032.10224822524</v>
      </c>
      <c r="AA24" s="206">
        <f>(90000-11848.66)/2</f>
        <v>39075.67</v>
      </c>
      <c r="AB24" s="207"/>
      <c r="AC24" s="37">
        <v>22101</v>
      </c>
      <c r="AD24" s="38" t="s">
        <v>19</v>
      </c>
      <c r="AE24" s="62">
        <v>7500</v>
      </c>
      <c r="AF24" s="159">
        <v>8684.9479072959602</v>
      </c>
      <c r="AG24" s="62">
        <f t="shared" si="7"/>
        <v>13027.421860943941</v>
      </c>
      <c r="AH24" s="206">
        <f>7950/2</f>
        <v>3975</v>
      </c>
      <c r="AJ24" s="37">
        <v>22101</v>
      </c>
      <c r="AK24" s="38" t="s">
        <v>19</v>
      </c>
      <c r="AL24" s="62">
        <v>2000</v>
      </c>
      <c r="AM24" s="159">
        <v>0</v>
      </c>
      <c r="AN24" s="62">
        <f t="shared" si="8"/>
        <v>0</v>
      </c>
      <c r="AO24" s="206"/>
      <c r="AQ24" s="37">
        <v>22101</v>
      </c>
      <c r="AR24" s="38" t="s">
        <v>19</v>
      </c>
      <c r="AS24" s="62">
        <v>3000</v>
      </c>
      <c r="AT24" s="159">
        <v>0</v>
      </c>
      <c r="AU24" s="62">
        <f t="shared" si="9"/>
        <v>0</v>
      </c>
      <c r="AV24" s="206">
        <f>3180/2</f>
        <v>1590</v>
      </c>
      <c r="AW24" s="210"/>
      <c r="AX24" s="37">
        <v>22101</v>
      </c>
      <c r="AY24" s="38" t="s">
        <v>19</v>
      </c>
      <c r="AZ24" s="62">
        <v>5000</v>
      </c>
      <c r="BA24" s="159">
        <v>4880.2939999999999</v>
      </c>
      <c r="BB24" s="62">
        <f t="shared" si="10"/>
        <v>7320.4409999999998</v>
      </c>
      <c r="BC24" s="206">
        <f>7500/2</f>
        <v>3750</v>
      </c>
      <c r="BE24" s="37">
        <v>22101</v>
      </c>
      <c r="BF24" s="38" t="s">
        <v>19</v>
      </c>
      <c r="BG24" s="62">
        <v>1800</v>
      </c>
      <c r="BH24" s="159">
        <v>0</v>
      </c>
      <c r="BI24" s="62">
        <f t="shared" si="11"/>
        <v>0</v>
      </c>
      <c r="BJ24" s="206">
        <f>10600/2</f>
        <v>5300</v>
      </c>
    </row>
    <row r="25" spans="1:62" s="209" customFormat="1" ht="22.5">
      <c r="A25" s="37">
        <v>22106</v>
      </c>
      <c r="B25" s="38" t="s">
        <v>20</v>
      </c>
      <c r="C25" s="62">
        <f t="shared" si="0"/>
        <v>20500</v>
      </c>
      <c r="D25" s="62">
        <f t="shared" si="1"/>
        <v>11632</v>
      </c>
      <c r="E25" s="62">
        <f t="shared" si="2"/>
        <v>17448</v>
      </c>
      <c r="F25" s="206">
        <f t="shared" si="3"/>
        <v>7310</v>
      </c>
      <c r="H25" s="37">
        <v>22106</v>
      </c>
      <c r="I25" s="38" t="s">
        <v>20</v>
      </c>
      <c r="J25" s="159">
        <v>0</v>
      </c>
      <c r="K25" s="15">
        <v>0</v>
      </c>
      <c r="L25" s="229">
        <f t="shared" si="4"/>
        <v>0</v>
      </c>
      <c r="M25" s="206"/>
      <c r="N25" s="208"/>
      <c r="O25" s="37">
        <v>22106</v>
      </c>
      <c r="P25" s="38" t="s">
        <v>20</v>
      </c>
      <c r="Q25" s="159"/>
      <c r="R25" s="159">
        <v>0</v>
      </c>
      <c r="S25" s="62">
        <f t="shared" si="5"/>
        <v>0</v>
      </c>
      <c r="T25" s="206"/>
      <c r="V25" s="37">
        <v>22106</v>
      </c>
      <c r="W25" s="38" t="s">
        <v>20</v>
      </c>
      <c r="X25" s="159">
        <v>20500</v>
      </c>
      <c r="Y25" s="159">
        <v>11632</v>
      </c>
      <c r="Z25" s="62">
        <f t="shared" si="6"/>
        <v>17448</v>
      </c>
      <c r="AA25" s="206">
        <f>12500/2</f>
        <v>6250</v>
      </c>
      <c r="AB25" s="207"/>
      <c r="AC25" s="37">
        <v>22106</v>
      </c>
      <c r="AD25" s="38" t="s">
        <v>20</v>
      </c>
      <c r="AE25" s="62">
        <v>0</v>
      </c>
      <c r="AF25" s="159">
        <v>0</v>
      </c>
      <c r="AG25" s="62">
        <f t="shared" si="7"/>
        <v>0</v>
      </c>
      <c r="AH25" s="206">
        <v>0</v>
      </c>
      <c r="AJ25" s="37">
        <v>22106</v>
      </c>
      <c r="AK25" s="38" t="s">
        <v>20</v>
      </c>
      <c r="AL25" s="62">
        <v>0</v>
      </c>
      <c r="AM25" s="159">
        <v>0</v>
      </c>
      <c r="AN25" s="62">
        <f t="shared" si="8"/>
        <v>0</v>
      </c>
      <c r="AO25" s="206"/>
      <c r="AQ25" s="37">
        <v>22106</v>
      </c>
      <c r="AR25" s="38" t="s">
        <v>20</v>
      </c>
      <c r="AS25" s="62">
        <v>0</v>
      </c>
      <c r="AT25" s="159">
        <v>0</v>
      </c>
      <c r="AU25" s="62">
        <f t="shared" si="9"/>
        <v>0</v>
      </c>
      <c r="AV25" s="206"/>
      <c r="AW25" s="210"/>
      <c r="AX25" s="37">
        <v>22106</v>
      </c>
      <c r="AY25" s="38" t="s">
        <v>20</v>
      </c>
      <c r="AZ25" s="62">
        <v>0</v>
      </c>
      <c r="BA25" s="159">
        <v>0</v>
      </c>
      <c r="BB25" s="62">
        <f t="shared" si="10"/>
        <v>0</v>
      </c>
      <c r="BC25" s="206"/>
      <c r="BE25" s="37">
        <v>22106</v>
      </c>
      <c r="BF25" s="38" t="s">
        <v>20</v>
      </c>
      <c r="BG25" s="62">
        <v>0</v>
      </c>
      <c r="BH25" s="159">
        <v>0</v>
      </c>
      <c r="BI25" s="62">
        <f t="shared" si="11"/>
        <v>0</v>
      </c>
      <c r="BJ25" s="206">
        <f>2120/2</f>
        <v>1060</v>
      </c>
    </row>
    <row r="26" spans="1:62" s="209" customFormat="1" ht="33.75">
      <c r="A26" s="37">
        <v>22301</v>
      </c>
      <c r="B26" s="38" t="s">
        <v>21</v>
      </c>
      <c r="C26" s="62">
        <f t="shared" si="0"/>
        <v>1700</v>
      </c>
      <c r="D26" s="62">
        <f t="shared" si="1"/>
        <v>0</v>
      </c>
      <c r="E26" s="62">
        <f t="shared" si="2"/>
        <v>0</v>
      </c>
      <c r="F26" s="206">
        <f t="shared" si="3"/>
        <v>1380</v>
      </c>
      <c r="H26" s="37">
        <v>22301</v>
      </c>
      <c r="I26" s="38" t="s">
        <v>21</v>
      </c>
      <c r="J26" s="159">
        <v>0</v>
      </c>
      <c r="K26" s="15">
        <v>0</v>
      </c>
      <c r="L26" s="229">
        <f t="shared" si="4"/>
        <v>0</v>
      </c>
      <c r="M26" s="206"/>
      <c r="N26" s="208"/>
      <c r="O26" s="37">
        <v>22301</v>
      </c>
      <c r="P26" s="38" t="s">
        <v>21</v>
      </c>
      <c r="Q26" s="159"/>
      <c r="R26" s="159">
        <v>0</v>
      </c>
      <c r="S26" s="62">
        <f t="shared" si="5"/>
        <v>0</v>
      </c>
      <c r="T26" s="206"/>
      <c r="V26" s="37">
        <v>22301</v>
      </c>
      <c r="W26" s="38" t="s">
        <v>21</v>
      </c>
      <c r="X26" s="159">
        <v>1700</v>
      </c>
      <c r="Y26" s="159">
        <v>0</v>
      </c>
      <c r="Z26" s="62">
        <f t="shared" si="6"/>
        <v>0</v>
      </c>
      <c r="AA26" s="206">
        <f>1700/2</f>
        <v>850</v>
      </c>
      <c r="AB26" s="207"/>
      <c r="AC26" s="37">
        <v>22301</v>
      </c>
      <c r="AD26" s="38" t="s">
        <v>21</v>
      </c>
      <c r="AE26" s="62"/>
      <c r="AF26" s="159">
        <v>0</v>
      </c>
      <c r="AG26" s="62">
        <f t="shared" si="7"/>
        <v>0</v>
      </c>
      <c r="AH26" s="206">
        <v>0</v>
      </c>
      <c r="AJ26" s="37">
        <v>22301</v>
      </c>
      <c r="AK26" s="38" t="s">
        <v>21</v>
      </c>
      <c r="AL26" s="62">
        <v>0</v>
      </c>
      <c r="AM26" s="159">
        <v>0</v>
      </c>
      <c r="AN26" s="62">
        <f t="shared" si="8"/>
        <v>0</v>
      </c>
      <c r="AO26" s="206"/>
      <c r="AQ26" s="37">
        <v>22301</v>
      </c>
      <c r="AR26" s="38" t="s">
        <v>21</v>
      </c>
      <c r="AS26" s="62">
        <v>0</v>
      </c>
      <c r="AT26" s="159">
        <v>0</v>
      </c>
      <c r="AU26" s="62">
        <f t="shared" si="9"/>
        <v>0</v>
      </c>
      <c r="AV26" s="206"/>
      <c r="AW26" s="210"/>
      <c r="AX26" s="37">
        <v>22301</v>
      </c>
      <c r="AY26" s="38" t="s">
        <v>21</v>
      </c>
      <c r="AZ26" s="62">
        <v>0</v>
      </c>
      <c r="BA26" s="159">
        <v>0</v>
      </c>
      <c r="BB26" s="62">
        <f t="shared" si="10"/>
        <v>0</v>
      </c>
      <c r="BC26" s="206"/>
      <c r="BE26" s="37">
        <v>22301</v>
      </c>
      <c r="BF26" s="38" t="s">
        <v>21</v>
      </c>
      <c r="BG26" s="62">
        <v>0</v>
      </c>
      <c r="BH26" s="159">
        <v>0</v>
      </c>
      <c r="BI26" s="62">
        <f t="shared" si="11"/>
        <v>0</v>
      </c>
      <c r="BJ26" s="206">
        <f>1060/2</f>
        <v>530</v>
      </c>
    </row>
    <row r="27" spans="1:62" s="209" customFormat="1" ht="33.75">
      <c r="A27" s="37">
        <v>23901</v>
      </c>
      <c r="B27" s="38" t="s">
        <v>22</v>
      </c>
      <c r="C27" s="62">
        <f t="shared" si="0"/>
        <v>0</v>
      </c>
      <c r="D27" s="62">
        <f t="shared" si="1"/>
        <v>0</v>
      </c>
      <c r="E27" s="62">
        <f t="shared" si="2"/>
        <v>0</v>
      </c>
      <c r="F27" s="206">
        <f t="shared" si="3"/>
        <v>0</v>
      </c>
      <c r="H27" s="37">
        <v>23901</v>
      </c>
      <c r="I27" s="38" t="s">
        <v>22</v>
      </c>
      <c r="J27" s="159">
        <v>0</v>
      </c>
      <c r="K27" s="15">
        <v>0</v>
      </c>
      <c r="L27" s="229">
        <f t="shared" si="4"/>
        <v>0</v>
      </c>
      <c r="M27" s="206"/>
      <c r="N27" s="208"/>
      <c r="O27" s="37">
        <v>23901</v>
      </c>
      <c r="P27" s="38" t="s">
        <v>22</v>
      </c>
      <c r="Q27" s="159"/>
      <c r="R27" s="159">
        <v>0</v>
      </c>
      <c r="S27" s="62">
        <f t="shared" si="5"/>
        <v>0</v>
      </c>
      <c r="T27" s="206"/>
      <c r="V27" s="37">
        <v>23901</v>
      </c>
      <c r="W27" s="38" t="s">
        <v>22</v>
      </c>
      <c r="X27" s="159">
        <v>0</v>
      </c>
      <c r="Y27" s="159">
        <v>0</v>
      </c>
      <c r="Z27" s="62">
        <f t="shared" si="6"/>
        <v>0</v>
      </c>
      <c r="AA27" s="206"/>
      <c r="AB27" s="207"/>
      <c r="AC27" s="37">
        <v>23901</v>
      </c>
      <c r="AD27" s="38" t="s">
        <v>22</v>
      </c>
      <c r="AE27" s="62">
        <v>0</v>
      </c>
      <c r="AF27" s="159">
        <v>0</v>
      </c>
      <c r="AG27" s="62">
        <f t="shared" si="7"/>
        <v>0</v>
      </c>
      <c r="AH27" s="206">
        <v>0</v>
      </c>
      <c r="AJ27" s="37">
        <v>23901</v>
      </c>
      <c r="AK27" s="38" t="s">
        <v>22</v>
      </c>
      <c r="AL27" s="62">
        <v>0</v>
      </c>
      <c r="AM27" s="159">
        <v>0</v>
      </c>
      <c r="AN27" s="62">
        <f t="shared" si="8"/>
        <v>0</v>
      </c>
      <c r="AO27" s="206"/>
      <c r="AQ27" s="37">
        <v>23901</v>
      </c>
      <c r="AR27" s="38" t="s">
        <v>22</v>
      </c>
      <c r="AS27" s="62">
        <v>0</v>
      </c>
      <c r="AT27" s="159">
        <v>0</v>
      </c>
      <c r="AU27" s="62">
        <f t="shared" si="9"/>
        <v>0</v>
      </c>
      <c r="AV27" s="206"/>
      <c r="AW27" s="210"/>
      <c r="AX27" s="37">
        <v>23901</v>
      </c>
      <c r="AY27" s="38" t="s">
        <v>22</v>
      </c>
      <c r="AZ27" s="62">
        <v>0</v>
      </c>
      <c r="BA27" s="159">
        <v>0</v>
      </c>
      <c r="BB27" s="62">
        <f t="shared" si="10"/>
        <v>0</v>
      </c>
      <c r="BC27" s="206"/>
      <c r="BE27" s="37">
        <v>23901</v>
      </c>
      <c r="BF27" s="38" t="s">
        <v>22</v>
      </c>
      <c r="BG27" s="62">
        <v>0</v>
      </c>
      <c r="BH27" s="159">
        <v>0</v>
      </c>
      <c r="BI27" s="62">
        <f t="shared" si="11"/>
        <v>0</v>
      </c>
      <c r="BJ27" s="206"/>
    </row>
    <row r="28" spans="1:62" s="209" customFormat="1" ht="33.75">
      <c r="A28" s="37">
        <v>24201</v>
      </c>
      <c r="B28" s="38" t="s">
        <v>23</v>
      </c>
      <c r="C28" s="62">
        <f t="shared" si="0"/>
        <v>0</v>
      </c>
      <c r="D28" s="62">
        <f t="shared" si="1"/>
        <v>0</v>
      </c>
      <c r="E28" s="62">
        <f t="shared" si="2"/>
        <v>0</v>
      </c>
      <c r="F28" s="206">
        <f t="shared" si="3"/>
        <v>0</v>
      </c>
      <c r="H28" s="37">
        <v>24201</v>
      </c>
      <c r="I28" s="38" t="s">
        <v>23</v>
      </c>
      <c r="J28" s="159">
        <v>0</v>
      </c>
      <c r="K28" s="15">
        <v>0</v>
      </c>
      <c r="L28" s="229">
        <f t="shared" si="4"/>
        <v>0</v>
      </c>
      <c r="M28" s="206"/>
      <c r="N28" s="208"/>
      <c r="O28" s="37">
        <v>24201</v>
      </c>
      <c r="P28" s="38" t="s">
        <v>23</v>
      </c>
      <c r="Q28" s="159"/>
      <c r="R28" s="159">
        <v>0</v>
      </c>
      <c r="S28" s="62">
        <f t="shared" si="5"/>
        <v>0</v>
      </c>
      <c r="T28" s="206"/>
      <c r="V28" s="37">
        <v>24201</v>
      </c>
      <c r="W28" s="38" t="s">
        <v>23</v>
      </c>
      <c r="X28" s="159">
        <v>0</v>
      </c>
      <c r="Y28" s="159">
        <v>0</v>
      </c>
      <c r="Z28" s="62">
        <f t="shared" si="6"/>
        <v>0</v>
      </c>
      <c r="AA28" s="206"/>
      <c r="AB28" s="207"/>
      <c r="AC28" s="37">
        <v>24201</v>
      </c>
      <c r="AD28" s="38" t="s">
        <v>23</v>
      </c>
      <c r="AE28" s="62">
        <v>0</v>
      </c>
      <c r="AF28" s="159">
        <v>0</v>
      </c>
      <c r="AG28" s="62">
        <f t="shared" si="7"/>
        <v>0</v>
      </c>
      <c r="AH28" s="206">
        <v>0</v>
      </c>
      <c r="AJ28" s="37">
        <v>24201</v>
      </c>
      <c r="AK28" s="38" t="s">
        <v>23</v>
      </c>
      <c r="AL28" s="62">
        <v>0</v>
      </c>
      <c r="AM28" s="159">
        <v>0</v>
      </c>
      <c r="AN28" s="62">
        <f t="shared" si="8"/>
        <v>0</v>
      </c>
      <c r="AO28" s="206"/>
      <c r="AQ28" s="37">
        <v>24201</v>
      </c>
      <c r="AR28" s="38" t="s">
        <v>23</v>
      </c>
      <c r="AS28" s="62">
        <v>0</v>
      </c>
      <c r="AT28" s="159">
        <v>0</v>
      </c>
      <c r="AU28" s="62">
        <f t="shared" si="9"/>
        <v>0</v>
      </c>
      <c r="AV28" s="206"/>
      <c r="AW28" s="210"/>
      <c r="AX28" s="37">
        <v>24201</v>
      </c>
      <c r="AY28" s="38" t="s">
        <v>23</v>
      </c>
      <c r="AZ28" s="62">
        <v>0</v>
      </c>
      <c r="BA28" s="159">
        <v>0</v>
      </c>
      <c r="BB28" s="62">
        <f t="shared" si="10"/>
        <v>0</v>
      </c>
      <c r="BC28" s="206"/>
      <c r="BE28" s="37">
        <v>24201</v>
      </c>
      <c r="BF28" s="38" t="s">
        <v>23</v>
      </c>
      <c r="BG28" s="62">
        <v>0</v>
      </c>
      <c r="BH28" s="159">
        <v>0</v>
      </c>
      <c r="BI28" s="62">
        <f t="shared" si="11"/>
        <v>0</v>
      </c>
      <c r="BJ28" s="206"/>
    </row>
    <row r="29" spans="1:62" s="209" customFormat="1" ht="22.5">
      <c r="A29" s="37">
        <v>24301</v>
      </c>
      <c r="B29" s="38" t="s">
        <v>24</v>
      </c>
      <c r="C29" s="62">
        <f t="shared" si="0"/>
        <v>0</v>
      </c>
      <c r="D29" s="62">
        <f t="shared" si="1"/>
        <v>0</v>
      </c>
      <c r="E29" s="62">
        <f t="shared" si="2"/>
        <v>0</v>
      </c>
      <c r="F29" s="206">
        <f t="shared" si="3"/>
        <v>0</v>
      </c>
      <c r="H29" s="37">
        <v>24301</v>
      </c>
      <c r="I29" s="38" t="s">
        <v>24</v>
      </c>
      <c r="J29" s="159">
        <v>0</v>
      </c>
      <c r="K29" s="15">
        <v>0</v>
      </c>
      <c r="L29" s="229">
        <f t="shared" si="4"/>
        <v>0</v>
      </c>
      <c r="M29" s="206"/>
      <c r="N29" s="208"/>
      <c r="O29" s="37">
        <v>24301</v>
      </c>
      <c r="P29" s="38" t="s">
        <v>24</v>
      </c>
      <c r="Q29" s="159"/>
      <c r="R29" s="159">
        <v>0</v>
      </c>
      <c r="S29" s="62">
        <f t="shared" si="5"/>
        <v>0</v>
      </c>
      <c r="T29" s="206"/>
      <c r="V29" s="37">
        <v>24301</v>
      </c>
      <c r="W29" s="38" t="s">
        <v>24</v>
      </c>
      <c r="X29" s="159">
        <v>0</v>
      </c>
      <c r="Y29" s="159">
        <v>0</v>
      </c>
      <c r="Z29" s="62">
        <f t="shared" si="6"/>
        <v>0</v>
      </c>
      <c r="AA29" s="206"/>
      <c r="AB29" s="207"/>
      <c r="AC29" s="37">
        <v>24301</v>
      </c>
      <c r="AD29" s="38" t="s">
        <v>24</v>
      </c>
      <c r="AE29" s="62">
        <v>0</v>
      </c>
      <c r="AF29" s="159">
        <v>0</v>
      </c>
      <c r="AG29" s="62">
        <f t="shared" si="7"/>
        <v>0</v>
      </c>
      <c r="AH29" s="206">
        <v>0</v>
      </c>
      <c r="AJ29" s="37">
        <v>24301</v>
      </c>
      <c r="AK29" s="38" t="s">
        <v>24</v>
      </c>
      <c r="AL29" s="62">
        <v>0</v>
      </c>
      <c r="AM29" s="159">
        <v>0</v>
      </c>
      <c r="AN29" s="62">
        <f t="shared" si="8"/>
        <v>0</v>
      </c>
      <c r="AO29" s="206"/>
      <c r="AQ29" s="37">
        <v>24301</v>
      </c>
      <c r="AR29" s="38" t="s">
        <v>24</v>
      </c>
      <c r="AS29" s="62">
        <v>0</v>
      </c>
      <c r="AT29" s="159">
        <v>0</v>
      </c>
      <c r="AU29" s="62">
        <f t="shared" si="9"/>
        <v>0</v>
      </c>
      <c r="AV29" s="206"/>
      <c r="AW29" s="210"/>
      <c r="AX29" s="37">
        <v>24301</v>
      </c>
      <c r="AY29" s="38" t="s">
        <v>24</v>
      </c>
      <c r="AZ29" s="62">
        <v>0</v>
      </c>
      <c r="BA29" s="159">
        <v>0</v>
      </c>
      <c r="BB29" s="62">
        <f t="shared" si="10"/>
        <v>0</v>
      </c>
      <c r="BC29" s="206"/>
      <c r="BE29" s="37">
        <v>24301</v>
      </c>
      <c r="BF29" s="38" t="s">
        <v>24</v>
      </c>
      <c r="BG29" s="62">
        <v>0</v>
      </c>
      <c r="BH29" s="159">
        <v>0</v>
      </c>
      <c r="BI29" s="62">
        <f t="shared" si="11"/>
        <v>0</v>
      </c>
      <c r="BJ29" s="206"/>
    </row>
    <row r="30" spans="1:62" s="209" customFormat="1" ht="22.5">
      <c r="A30" s="37">
        <v>24401</v>
      </c>
      <c r="B30" s="38" t="s">
        <v>25</v>
      </c>
      <c r="C30" s="62">
        <f t="shared" si="0"/>
        <v>0</v>
      </c>
      <c r="D30" s="62">
        <f t="shared" si="1"/>
        <v>0</v>
      </c>
      <c r="E30" s="62">
        <f t="shared" si="2"/>
        <v>0</v>
      </c>
      <c r="F30" s="206">
        <f t="shared" si="3"/>
        <v>0</v>
      </c>
      <c r="H30" s="37">
        <v>24401</v>
      </c>
      <c r="I30" s="38" t="s">
        <v>25</v>
      </c>
      <c r="J30" s="159">
        <v>0</v>
      </c>
      <c r="K30" s="15">
        <v>0</v>
      </c>
      <c r="L30" s="229">
        <f t="shared" si="4"/>
        <v>0</v>
      </c>
      <c r="M30" s="206"/>
      <c r="N30" s="208"/>
      <c r="O30" s="37">
        <v>24401</v>
      </c>
      <c r="P30" s="38" t="s">
        <v>25</v>
      </c>
      <c r="Q30" s="159"/>
      <c r="R30" s="159">
        <v>0</v>
      </c>
      <c r="S30" s="62">
        <f t="shared" si="5"/>
        <v>0</v>
      </c>
      <c r="T30" s="206"/>
      <c r="V30" s="37">
        <v>24401</v>
      </c>
      <c r="W30" s="38" t="s">
        <v>25</v>
      </c>
      <c r="X30" s="159">
        <v>0</v>
      </c>
      <c r="Y30" s="159">
        <v>0</v>
      </c>
      <c r="Z30" s="62">
        <f t="shared" si="6"/>
        <v>0</v>
      </c>
      <c r="AA30" s="206"/>
      <c r="AB30" s="207"/>
      <c r="AC30" s="37">
        <v>24401</v>
      </c>
      <c r="AD30" s="38" t="s">
        <v>25</v>
      </c>
      <c r="AE30" s="62">
        <v>0</v>
      </c>
      <c r="AF30" s="159">
        <v>0</v>
      </c>
      <c r="AG30" s="62">
        <f t="shared" si="7"/>
        <v>0</v>
      </c>
      <c r="AH30" s="206">
        <v>0</v>
      </c>
      <c r="AJ30" s="37">
        <v>24401</v>
      </c>
      <c r="AK30" s="38" t="s">
        <v>25</v>
      </c>
      <c r="AL30" s="62">
        <v>0</v>
      </c>
      <c r="AM30" s="159">
        <v>0</v>
      </c>
      <c r="AN30" s="62">
        <f t="shared" si="8"/>
        <v>0</v>
      </c>
      <c r="AO30" s="206"/>
      <c r="AQ30" s="37">
        <v>24401</v>
      </c>
      <c r="AR30" s="38" t="s">
        <v>25</v>
      </c>
      <c r="AS30" s="62">
        <v>0</v>
      </c>
      <c r="AT30" s="159">
        <v>0</v>
      </c>
      <c r="AU30" s="62">
        <f t="shared" si="9"/>
        <v>0</v>
      </c>
      <c r="AV30" s="206"/>
      <c r="AW30" s="210"/>
      <c r="AX30" s="37">
        <v>24401</v>
      </c>
      <c r="AY30" s="38" t="s">
        <v>25</v>
      </c>
      <c r="AZ30" s="62">
        <v>0</v>
      </c>
      <c r="BA30" s="159">
        <v>0</v>
      </c>
      <c r="BB30" s="62">
        <f t="shared" si="10"/>
        <v>0</v>
      </c>
      <c r="BC30" s="206"/>
      <c r="BE30" s="37">
        <v>24401</v>
      </c>
      <c r="BF30" s="38" t="s">
        <v>25</v>
      </c>
      <c r="BG30" s="62">
        <v>0</v>
      </c>
      <c r="BH30" s="159">
        <v>0</v>
      </c>
      <c r="BI30" s="62">
        <f t="shared" si="11"/>
        <v>0</v>
      </c>
      <c r="BJ30" s="206"/>
    </row>
    <row r="31" spans="1:62" s="209" customFormat="1" ht="22.5">
      <c r="A31" s="37">
        <v>24501</v>
      </c>
      <c r="B31" s="38" t="s">
        <v>26</v>
      </c>
      <c r="C31" s="62">
        <f t="shared" si="0"/>
        <v>0</v>
      </c>
      <c r="D31" s="62">
        <f t="shared" si="1"/>
        <v>0</v>
      </c>
      <c r="E31" s="62">
        <f t="shared" si="2"/>
        <v>0</v>
      </c>
      <c r="F31" s="206">
        <f t="shared" si="3"/>
        <v>0</v>
      </c>
      <c r="H31" s="37">
        <v>24501</v>
      </c>
      <c r="I31" s="38" t="s">
        <v>26</v>
      </c>
      <c r="J31" s="159">
        <v>0</v>
      </c>
      <c r="K31" s="15">
        <v>0</v>
      </c>
      <c r="L31" s="229">
        <f t="shared" si="4"/>
        <v>0</v>
      </c>
      <c r="M31" s="206"/>
      <c r="N31" s="208"/>
      <c r="O31" s="37">
        <v>24501</v>
      </c>
      <c r="P31" s="38" t="s">
        <v>26</v>
      </c>
      <c r="Q31" s="159"/>
      <c r="R31" s="159">
        <v>0</v>
      </c>
      <c r="S31" s="62">
        <f t="shared" si="5"/>
        <v>0</v>
      </c>
      <c r="T31" s="206"/>
      <c r="V31" s="37">
        <v>24501</v>
      </c>
      <c r="W31" s="38" t="s">
        <v>26</v>
      </c>
      <c r="X31" s="159">
        <v>0</v>
      </c>
      <c r="Y31" s="159">
        <v>0</v>
      </c>
      <c r="Z31" s="62">
        <f t="shared" si="6"/>
        <v>0</v>
      </c>
      <c r="AA31" s="206"/>
      <c r="AB31" s="207"/>
      <c r="AC31" s="37">
        <v>24501</v>
      </c>
      <c r="AD31" s="38" t="s">
        <v>26</v>
      </c>
      <c r="AE31" s="62">
        <v>0</v>
      </c>
      <c r="AF31" s="159">
        <v>0</v>
      </c>
      <c r="AG31" s="62">
        <f t="shared" si="7"/>
        <v>0</v>
      </c>
      <c r="AH31" s="206">
        <v>0</v>
      </c>
      <c r="AJ31" s="37">
        <v>24501</v>
      </c>
      <c r="AK31" s="38" t="s">
        <v>26</v>
      </c>
      <c r="AL31" s="62">
        <v>0</v>
      </c>
      <c r="AM31" s="159">
        <v>0</v>
      </c>
      <c r="AN31" s="62">
        <f t="shared" si="8"/>
        <v>0</v>
      </c>
      <c r="AO31" s="206"/>
      <c r="AQ31" s="37">
        <v>24501</v>
      </c>
      <c r="AR31" s="38" t="s">
        <v>26</v>
      </c>
      <c r="AS31" s="62">
        <v>0</v>
      </c>
      <c r="AT31" s="159">
        <v>0</v>
      </c>
      <c r="AU31" s="62">
        <f t="shared" si="9"/>
        <v>0</v>
      </c>
      <c r="AV31" s="206"/>
      <c r="AW31" s="210"/>
      <c r="AX31" s="37">
        <v>24501</v>
      </c>
      <c r="AY31" s="38" t="s">
        <v>26</v>
      </c>
      <c r="AZ31" s="62">
        <v>0</v>
      </c>
      <c r="BA31" s="159">
        <v>0</v>
      </c>
      <c r="BB31" s="62">
        <f t="shared" si="10"/>
        <v>0</v>
      </c>
      <c r="BC31" s="206"/>
      <c r="BE31" s="37">
        <v>24501</v>
      </c>
      <c r="BF31" s="38" t="s">
        <v>26</v>
      </c>
      <c r="BG31" s="62">
        <v>0</v>
      </c>
      <c r="BH31" s="159">
        <v>0</v>
      </c>
      <c r="BI31" s="62">
        <f t="shared" si="11"/>
        <v>0</v>
      </c>
      <c r="BJ31" s="206"/>
    </row>
    <row r="32" spans="1:62" s="209" customFormat="1" ht="22.5">
      <c r="A32" s="37">
        <v>24601</v>
      </c>
      <c r="B32" s="38" t="s">
        <v>27</v>
      </c>
      <c r="C32" s="62">
        <f t="shared" si="0"/>
        <v>10500</v>
      </c>
      <c r="D32" s="62">
        <f t="shared" si="1"/>
        <v>6974.9951999999994</v>
      </c>
      <c r="E32" s="62">
        <f t="shared" si="2"/>
        <v>10462.4928</v>
      </c>
      <c r="F32" s="206">
        <f t="shared" si="3"/>
        <v>3900</v>
      </c>
      <c r="H32" s="37">
        <v>24601</v>
      </c>
      <c r="I32" s="38" t="s">
        <v>27</v>
      </c>
      <c r="J32" s="159">
        <v>0</v>
      </c>
      <c r="K32" s="15">
        <v>1702.6291999999999</v>
      </c>
      <c r="L32" s="229">
        <f t="shared" si="4"/>
        <v>2553.9438</v>
      </c>
      <c r="M32" s="206">
        <f>1800/2</f>
        <v>900</v>
      </c>
      <c r="N32" s="208"/>
      <c r="O32" s="37">
        <v>24601</v>
      </c>
      <c r="P32" s="38" t="s">
        <v>27</v>
      </c>
      <c r="Q32" s="159"/>
      <c r="R32" s="159">
        <v>0</v>
      </c>
      <c r="S32" s="62">
        <f t="shared" si="5"/>
        <v>0</v>
      </c>
      <c r="T32" s="206"/>
      <c r="V32" s="37">
        <v>24601</v>
      </c>
      <c r="W32" s="38" t="s">
        <v>27</v>
      </c>
      <c r="X32" s="159">
        <v>10000</v>
      </c>
      <c r="Y32" s="159">
        <v>5272.366</v>
      </c>
      <c r="Z32" s="62">
        <f t="shared" si="6"/>
        <v>7908.549</v>
      </c>
      <c r="AA32" s="206">
        <f>6000/2</f>
        <v>3000</v>
      </c>
      <c r="AB32" s="207"/>
      <c r="AC32" s="37">
        <v>24601</v>
      </c>
      <c r="AD32" s="38" t="s">
        <v>27</v>
      </c>
      <c r="AE32" s="62">
        <v>0</v>
      </c>
      <c r="AF32" s="159">
        <v>0</v>
      </c>
      <c r="AG32" s="62">
        <f t="shared" si="7"/>
        <v>0</v>
      </c>
      <c r="AH32" s="206">
        <v>0</v>
      </c>
      <c r="AJ32" s="37">
        <v>24601</v>
      </c>
      <c r="AK32" s="38" t="s">
        <v>27</v>
      </c>
      <c r="AL32" s="62">
        <v>500</v>
      </c>
      <c r="AM32" s="159">
        <v>0</v>
      </c>
      <c r="AN32" s="62">
        <f t="shared" si="8"/>
        <v>0</v>
      </c>
      <c r="AO32" s="206"/>
      <c r="AQ32" s="37">
        <v>24601</v>
      </c>
      <c r="AR32" s="38" t="s">
        <v>27</v>
      </c>
      <c r="AS32" s="62">
        <v>0</v>
      </c>
      <c r="AT32" s="159">
        <v>0</v>
      </c>
      <c r="AU32" s="62">
        <f t="shared" si="9"/>
        <v>0</v>
      </c>
      <c r="AV32" s="206"/>
      <c r="AW32" s="210"/>
      <c r="AX32" s="37">
        <v>24601</v>
      </c>
      <c r="AY32" s="38" t="s">
        <v>27</v>
      </c>
      <c r="AZ32" s="62">
        <v>0</v>
      </c>
      <c r="BA32" s="159">
        <v>0</v>
      </c>
      <c r="BB32" s="62">
        <f t="shared" si="10"/>
        <v>0</v>
      </c>
      <c r="BC32" s="206"/>
      <c r="BE32" s="37">
        <v>24601</v>
      </c>
      <c r="BF32" s="38" t="s">
        <v>27</v>
      </c>
      <c r="BG32" s="62">
        <v>0</v>
      </c>
      <c r="BH32" s="159">
        <v>0</v>
      </c>
      <c r="BI32" s="62">
        <f t="shared" si="11"/>
        <v>0</v>
      </c>
      <c r="BJ32" s="206"/>
    </row>
    <row r="33" spans="1:62" s="209" customFormat="1" ht="22.5">
      <c r="A33" s="37">
        <v>24801</v>
      </c>
      <c r="B33" s="38" t="s">
        <v>28</v>
      </c>
      <c r="C33" s="62">
        <f t="shared" si="0"/>
        <v>5100</v>
      </c>
      <c r="D33" s="62">
        <f t="shared" si="1"/>
        <v>0</v>
      </c>
      <c r="E33" s="62">
        <f t="shared" si="2"/>
        <v>0</v>
      </c>
      <c r="F33" s="206">
        <f t="shared" si="3"/>
        <v>2000</v>
      </c>
      <c r="H33" s="37">
        <v>24801</v>
      </c>
      <c r="I33" s="38" t="s">
        <v>28</v>
      </c>
      <c r="J33" s="159">
        <v>1100</v>
      </c>
      <c r="K33" s="15">
        <v>0</v>
      </c>
      <c r="L33" s="229">
        <f t="shared" si="4"/>
        <v>0</v>
      </c>
      <c r="M33" s="206"/>
      <c r="N33" s="208"/>
      <c r="O33" s="37">
        <v>24801</v>
      </c>
      <c r="P33" s="38" t="s">
        <v>28</v>
      </c>
      <c r="Q33" s="159"/>
      <c r="R33" s="159">
        <v>0</v>
      </c>
      <c r="S33" s="62">
        <f t="shared" si="5"/>
        <v>0</v>
      </c>
      <c r="T33" s="206"/>
      <c r="V33" s="37">
        <v>24801</v>
      </c>
      <c r="W33" s="38" t="s">
        <v>28</v>
      </c>
      <c r="X33" s="159">
        <v>4000</v>
      </c>
      <c r="Y33" s="159">
        <v>0</v>
      </c>
      <c r="Z33" s="62">
        <f t="shared" si="6"/>
        <v>0</v>
      </c>
      <c r="AA33" s="206">
        <f>4000/2</f>
        <v>2000</v>
      </c>
      <c r="AB33" s="207"/>
      <c r="AC33" s="37">
        <v>24801</v>
      </c>
      <c r="AD33" s="38" t="s">
        <v>28</v>
      </c>
      <c r="AE33" s="62">
        <v>0</v>
      </c>
      <c r="AF33" s="159">
        <v>0</v>
      </c>
      <c r="AG33" s="62">
        <f t="shared" si="7"/>
        <v>0</v>
      </c>
      <c r="AH33" s="206">
        <v>0</v>
      </c>
      <c r="AJ33" s="37">
        <v>24801</v>
      </c>
      <c r="AK33" s="38" t="s">
        <v>28</v>
      </c>
      <c r="AL33" s="62">
        <v>0</v>
      </c>
      <c r="AM33" s="159">
        <v>0</v>
      </c>
      <c r="AN33" s="62">
        <f t="shared" si="8"/>
        <v>0</v>
      </c>
      <c r="AO33" s="206"/>
      <c r="AQ33" s="37">
        <v>24801</v>
      </c>
      <c r="AR33" s="38" t="s">
        <v>28</v>
      </c>
      <c r="AS33" s="62">
        <v>0</v>
      </c>
      <c r="AT33" s="159">
        <v>0</v>
      </c>
      <c r="AU33" s="62">
        <f t="shared" si="9"/>
        <v>0</v>
      </c>
      <c r="AV33" s="206"/>
      <c r="AW33" s="210"/>
      <c r="AX33" s="37">
        <v>24801</v>
      </c>
      <c r="AY33" s="38" t="s">
        <v>28</v>
      </c>
      <c r="AZ33" s="62">
        <v>0</v>
      </c>
      <c r="BA33" s="159">
        <v>0</v>
      </c>
      <c r="BB33" s="62">
        <f t="shared" si="10"/>
        <v>0</v>
      </c>
      <c r="BC33" s="206"/>
      <c r="BE33" s="37">
        <v>24801</v>
      </c>
      <c r="BF33" s="38" t="s">
        <v>28</v>
      </c>
      <c r="BG33" s="62">
        <v>0</v>
      </c>
      <c r="BH33" s="159">
        <v>0</v>
      </c>
      <c r="BI33" s="62">
        <f t="shared" si="11"/>
        <v>0</v>
      </c>
      <c r="BJ33" s="206"/>
    </row>
    <row r="34" spans="1:62" s="209" customFormat="1" ht="45">
      <c r="A34" s="37">
        <v>24901</v>
      </c>
      <c r="B34" s="38" t="s">
        <v>29</v>
      </c>
      <c r="C34" s="62">
        <f t="shared" si="0"/>
        <v>0</v>
      </c>
      <c r="D34" s="62">
        <f t="shared" si="1"/>
        <v>0</v>
      </c>
      <c r="E34" s="62">
        <f t="shared" si="2"/>
        <v>0</v>
      </c>
      <c r="F34" s="206">
        <f t="shared" si="3"/>
        <v>0</v>
      </c>
      <c r="H34" s="37">
        <v>24901</v>
      </c>
      <c r="I34" s="38" t="s">
        <v>29</v>
      </c>
      <c r="J34" s="159">
        <v>0</v>
      </c>
      <c r="K34" s="15">
        <v>0</v>
      </c>
      <c r="L34" s="229">
        <f t="shared" si="4"/>
        <v>0</v>
      </c>
      <c r="M34" s="206"/>
      <c r="N34" s="208"/>
      <c r="O34" s="37">
        <v>24901</v>
      </c>
      <c r="P34" s="38" t="s">
        <v>29</v>
      </c>
      <c r="Q34" s="159"/>
      <c r="R34" s="159">
        <v>0</v>
      </c>
      <c r="S34" s="62">
        <f t="shared" si="5"/>
        <v>0</v>
      </c>
      <c r="T34" s="206"/>
      <c r="V34" s="37">
        <v>24901</v>
      </c>
      <c r="W34" s="38" t="s">
        <v>29</v>
      </c>
      <c r="X34" s="159">
        <v>0</v>
      </c>
      <c r="Y34" s="159">
        <v>0</v>
      </c>
      <c r="Z34" s="62">
        <f t="shared" si="6"/>
        <v>0</v>
      </c>
      <c r="AA34" s="206"/>
      <c r="AB34" s="207"/>
      <c r="AC34" s="37">
        <v>24901</v>
      </c>
      <c r="AD34" s="38" t="s">
        <v>29</v>
      </c>
      <c r="AE34" s="62">
        <v>0</v>
      </c>
      <c r="AF34" s="159">
        <v>0</v>
      </c>
      <c r="AG34" s="62">
        <f t="shared" si="7"/>
        <v>0</v>
      </c>
      <c r="AH34" s="206">
        <v>0</v>
      </c>
      <c r="AJ34" s="37">
        <v>24901</v>
      </c>
      <c r="AK34" s="38" t="s">
        <v>29</v>
      </c>
      <c r="AL34" s="62">
        <v>0</v>
      </c>
      <c r="AM34" s="159">
        <v>0</v>
      </c>
      <c r="AN34" s="62">
        <f t="shared" si="8"/>
        <v>0</v>
      </c>
      <c r="AO34" s="206"/>
      <c r="AQ34" s="37">
        <v>24901</v>
      </c>
      <c r="AR34" s="38" t="s">
        <v>29</v>
      </c>
      <c r="AS34" s="62">
        <v>0</v>
      </c>
      <c r="AT34" s="159">
        <v>0</v>
      </c>
      <c r="AU34" s="62">
        <f t="shared" si="9"/>
        <v>0</v>
      </c>
      <c r="AV34" s="206"/>
      <c r="AW34" s="210"/>
      <c r="AX34" s="37">
        <v>24901</v>
      </c>
      <c r="AY34" s="38" t="s">
        <v>29</v>
      </c>
      <c r="AZ34" s="62">
        <v>0</v>
      </c>
      <c r="BA34" s="159">
        <v>0</v>
      </c>
      <c r="BB34" s="62">
        <f t="shared" si="10"/>
        <v>0</v>
      </c>
      <c r="BC34" s="206"/>
      <c r="BE34" s="37">
        <v>24901</v>
      </c>
      <c r="BF34" s="38" t="s">
        <v>29</v>
      </c>
      <c r="BG34" s="62">
        <v>0</v>
      </c>
      <c r="BH34" s="159">
        <v>0</v>
      </c>
      <c r="BI34" s="62">
        <f t="shared" si="11"/>
        <v>0</v>
      </c>
      <c r="BJ34" s="206"/>
    </row>
    <row r="35" spans="1:62" s="209" customFormat="1" ht="22.5">
      <c r="A35" s="37">
        <v>25101</v>
      </c>
      <c r="B35" s="38" t="s">
        <v>30</v>
      </c>
      <c r="C35" s="62">
        <f t="shared" si="0"/>
        <v>0</v>
      </c>
      <c r="D35" s="62">
        <f t="shared" si="1"/>
        <v>0</v>
      </c>
      <c r="E35" s="62">
        <f t="shared" si="2"/>
        <v>0</v>
      </c>
      <c r="F35" s="206">
        <f t="shared" si="3"/>
        <v>0</v>
      </c>
      <c r="H35" s="37">
        <v>25101</v>
      </c>
      <c r="I35" s="38" t="s">
        <v>30</v>
      </c>
      <c r="J35" s="159">
        <v>0</v>
      </c>
      <c r="K35" s="15">
        <v>0</v>
      </c>
      <c r="L35" s="229">
        <f t="shared" si="4"/>
        <v>0</v>
      </c>
      <c r="M35" s="206"/>
      <c r="N35" s="208"/>
      <c r="O35" s="37">
        <v>25101</v>
      </c>
      <c r="P35" s="38" t="s">
        <v>30</v>
      </c>
      <c r="Q35" s="159"/>
      <c r="R35" s="159">
        <v>0</v>
      </c>
      <c r="S35" s="62">
        <f t="shared" si="5"/>
        <v>0</v>
      </c>
      <c r="T35" s="206"/>
      <c r="V35" s="37">
        <v>25101</v>
      </c>
      <c r="W35" s="38" t="s">
        <v>30</v>
      </c>
      <c r="X35" s="159">
        <v>0</v>
      </c>
      <c r="Y35" s="159">
        <v>0</v>
      </c>
      <c r="Z35" s="62">
        <f t="shared" si="6"/>
        <v>0</v>
      </c>
      <c r="AA35" s="206"/>
      <c r="AB35" s="207"/>
      <c r="AC35" s="37">
        <v>25101</v>
      </c>
      <c r="AD35" s="38" t="s">
        <v>30</v>
      </c>
      <c r="AE35" s="62">
        <v>0</v>
      </c>
      <c r="AF35" s="159">
        <v>0</v>
      </c>
      <c r="AG35" s="62">
        <f t="shared" si="7"/>
        <v>0</v>
      </c>
      <c r="AH35" s="206">
        <v>0</v>
      </c>
      <c r="AJ35" s="37">
        <v>25101</v>
      </c>
      <c r="AK35" s="38" t="s">
        <v>30</v>
      </c>
      <c r="AL35" s="62">
        <v>0</v>
      </c>
      <c r="AM35" s="159">
        <v>0</v>
      </c>
      <c r="AN35" s="62">
        <f t="shared" si="8"/>
        <v>0</v>
      </c>
      <c r="AO35" s="206"/>
      <c r="AQ35" s="37">
        <v>25101</v>
      </c>
      <c r="AR35" s="38" t="s">
        <v>30</v>
      </c>
      <c r="AS35" s="62">
        <v>0</v>
      </c>
      <c r="AT35" s="159">
        <v>0</v>
      </c>
      <c r="AU35" s="62">
        <f t="shared" si="9"/>
        <v>0</v>
      </c>
      <c r="AV35" s="206"/>
      <c r="AW35" s="210"/>
      <c r="AX35" s="37">
        <v>25101</v>
      </c>
      <c r="AY35" s="38" t="s">
        <v>30</v>
      </c>
      <c r="AZ35" s="62">
        <v>0</v>
      </c>
      <c r="BA35" s="159">
        <v>0</v>
      </c>
      <c r="BB35" s="62">
        <f t="shared" si="10"/>
        <v>0</v>
      </c>
      <c r="BC35" s="206"/>
      <c r="BE35" s="37">
        <v>25101</v>
      </c>
      <c r="BF35" s="38" t="s">
        <v>30</v>
      </c>
      <c r="BG35" s="62">
        <v>0</v>
      </c>
      <c r="BH35" s="159">
        <v>0</v>
      </c>
      <c r="BI35" s="62">
        <f t="shared" si="11"/>
        <v>0</v>
      </c>
      <c r="BJ35" s="206"/>
    </row>
    <row r="36" spans="1:62" s="209" customFormat="1" ht="33.75">
      <c r="A36" s="37">
        <v>25201</v>
      </c>
      <c r="B36" s="38" t="s">
        <v>31</v>
      </c>
      <c r="C36" s="62">
        <f t="shared" si="0"/>
        <v>0</v>
      </c>
      <c r="D36" s="62">
        <f t="shared" si="1"/>
        <v>0</v>
      </c>
      <c r="E36" s="62">
        <f t="shared" si="2"/>
        <v>0</v>
      </c>
      <c r="F36" s="206">
        <f t="shared" si="3"/>
        <v>0</v>
      </c>
      <c r="H36" s="37">
        <v>25201</v>
      </c>
      <c r="I36" s="38" t="s">
        <v>31</v>
      </c>
      <c r="J36" s="159">
        <v>0</v>
      </c>
      <c r="K36" s="15">
        <v>0</v>
      </c>
      <c r="L36" s="229">
        <f t="shared" si="4"/>
        <v>0</v>
      </c>
      <c r="M36" s="206"/>
      <c r="N36" s="208"/>
      <c r="O36" s="37">
        <v>25201</v>
      </c>
      <c r="P36" s="38" t="s">
        <v>31</v>
      </c>
      <c r="Q36" s="159"/>
      <c r="R36" s="159">
        <v>0</v>
      </c>
      <c r="S36" s="62">
        <f t="shared" si="5"/>
        <v>0</v>
      </c>
      <c r="T36" s="206"/>
      <c r="V36" s="37">
        <v>25201</v>
      </c>
      <c r="W36" s="38" t="s">
        <v>31</v>
      </c>
      <c r="X36" s="159">
        <v>0</v>
      </c>
      <c r="Y36" s="159">
        <v>0</v>
      </c>
      <c r="Z36" s="62">
        <f t="shared" si="6"/>
        <v>0</v>
      </c>
      <c r="AA36" s="206"/>
      <c r="AB36" s="207"/>
      <c r="AC36" s="37">
        <v>25201</v>
      </c>
      <c r="AD36" s="38" t="s">
        <v>31</v>
      </c>
      <c r="AE36" s="62">
        <v>0</v>
      </c>
      <c r="AF36" s="159">
        <v>0</v>
      </c>
      <c r="AG36" s="62">
        <f t="shared" si="7"/>
        <v>0</v>
      </c>
      <c r="AH36" s="206">
        <v>0</v>
      </c>
      <c r="AJ36" s="37">
        <v>25201</v>
      </c>
      <c r="AK36" s="38" t="s">
        <v>31</v>
      </c>
      <c r="AL36" s="62">
        <v>0</v>
      </c>
      <c r="AM36" s="159">
        <v>0</v>
      </c>
      <c r="AN36" s="62">
        <f t="shared" si="8"/>
        <v>0</v>
      </c>
      <c r="AO36" s="206"/>
      <c r="AQ36" s="37">
        <v>25201</v>
      </c>
      <c r="AR36" s="38" t="s">
        <v>31</v>
      </c>
      <c r="AS36" s="62">
        <v>0</v>
      </c>
      <c r="AT36" s="159">
        <v>0</v>
      </c>
      <c r="AU36" s="62">
        <f t="shared" si="9"/>
        <v>0</v>
      </c>
      <c r="AV36" s="206"/>
      <c r="AW36" s="210"/>
      <c r="AX36" s="37">
        <v>25201</v>
      </c>
      <c r="AY36" s="38" t="s">
        <v>31</v>
      </c>
      <c r="AZ36" s="62">
        <v>0</v>
      </c>
      <c r="BA36" s="159">
        <v>0</v>
      </c>
      <c r="BB36" s="62">
        <f t="shared" si="10"/>
        <v>0</v>
      </c>
      <c r="BC36" s="206"/>
      <c r="BE36" s="37">
        <v>25201</v>
      </c>
      <c r="BF36" s="38" t="s">
        <v>31</v>
      </c>
      <c r="BG36" s="62">
        <v>0</v>
      </c>
      <c r="BH36" s="159">
        <v>0</v>
      </c>
      <c r="BI36" s="62">
        <f t="shared" si="11"/>
        <v>0</v>
      </c>
      <c r="BJ36" s="206"/>
    </row>
    <row r="37" spans="1:62" s="209" customFormat="1" ht="33.75">
      <c r="A37" s="37">
        <v>25301</v>
      </c>
      <c r="B37" s="38" t="s">
        <v>32</v>
      </c>
      <c r="C37" s="62">
        <f t="shared" si="0"/>
        <v>4000</v>
      </c>
      <c r="D37" s="62">
        <f t="shared" si="1"/>
        <v>5515.33</v>
      </c>
      <c r="E37" s="62">
        <f t="shared" si="2"/>
        <v>8272.994999999999</v>
      </c>
      <c r="F37" s="206">
        <f t="shared" si="3"/>
        <v>2950</v>
      </c>
      <c r="H37" s="37">
        <v>25301</v>
      </c>
      <c r="I37" s="38" t="s">
        <v>32</v>
      </c>
      <c r="J37" s="159"/>
      <c r="K37" s="15">
        <v>0</v>
      </c>
      <c r="L37" s="229">
        <f t="shared" si="4"/>
        <v>0</v>
      </c>
      <c r="M37" s="206"/>
      <c r="N37" s="208"/>
      <c r="O37" s="37">
        <v>25301</v>
      </c>
      <c r="P37" s="38" t="s">
        <v>32</v>
      </c>
      <c r="Q37" s="159"/>
      <c r="R37" s="159">
        <v>0</v>
      </c>
      <c r="S37" s="62">
        <f t="shared" si="5"/>
        <v>0</v>
      </c>
      <c r="T37" s="206"/>
      <c r="V37" s="37">
        <v>25301</v>
      </c>
      <c r="W37" s="38" t="s">
        <v>32</v>
      </c>
      <c r="X37" s="159">
        <v>4000</v>
      </c>
      <c r="Y37" s="159">
        <v>5515.33</v>
      </c>
      <c r="Z37" s="62">
        <f t="shared" si="6"/>
        <v>8272.994999999999</v>
      </c>
      <c r="AA37" s="206">
        <f>5900/2</f>
        <v>2950</v>
      </c>
      <c r="AB37" s="207"/>
      <c r="AC37" s="37">
        <v>25301</v>
      </c>
      <c r="AD37" s="38" t="s">
        <v>32</v>
      </c>
      <c r="AE37" s="62"/>
      <c r="AF37" s="159">
        <v>0</v>
      </c>
      <c r="AG37" s="62">
        <f t="shared" si="7"/>
        <v>0</v>
      </c>
      <c r="AH37" s="206">
        <v>0</v>
      </c>
      <c r="AJ37" s="37">
        <v>25301</v>
      </c>
      <c r="AK37" s="38" t="s">
        <v>32</v>
      </c>
      <c r="AL37" s="62">
        <v>0</v>
      </c>
      <c r="AM37" s="159">
        <v>0</v>
      </c>
      <c r="AN37" s="62">
        <f t="shared" si="8"/>
        <v>0</v>
      </c>
      <c r="AO37" s="206"/>
      <c r="AQ37" s="37">
        <v>25301</v>
      </c>
      <c r="AR37" s="38" t="s">
        <v>32</v>
      </c>
      <c r="AS37" s="62">
        <v>0</v>
      </c>
      <c r="AT37" s="159">
        <v>0</v>
      </c>
      <c r="AU37" s="62">
        <f t="shared" si="9"/>
        <v>0</v>
      </c>
      <c r="AV37" s="206"/>
      <c r="AW37" s="210"/>
      <c r="AX37" s="37">
        <v>25301</v>
      </c>
      <c r="AY37" s="38" t="s">
        <v>32</v>
      </c>
      <c r="AZ37" s="62">
        <v>0</v>
      </c>
      <c r="BA37" s="159">
        <v>0</v>
      </c>
      <c r="BB37" s="62">
        <f t="shared" si="10"/>
        <v>0</v>
      </c>
      <c r="BC37" s="206"/>
      <c r="BE37" s="37">
        <v>25301</v>
      </c>
      <c r="BF37" s="38" t="s">
        <v>32</v>
      </c>
      <c r="BG37" s="62">
        <v>0</v>
      </c>
      <c r="BH37" s="159">
        <v>0</v>
      </c>
      <c r="BI37" s="62">
        <f t="shared" si="11"/>
        <v>0</v>
      </c>
      <c r="BJ37" s="206"/>
    </row>
    <row r="38" spans="1:62" s="209" customFormat="1" ht="45">
      <c r="A38" s="37">
        <v>25501</v>
      </c>
      <c r="B38" s="38" t="s">
        <v>33</v>
      </c>
      <c r="C38" s="62">
        <f t="shared" si="0"/>
        <v>0</v>
      </c>
      <c r="D38" s="62">
        <f t="shared" si="1"/>
        <v>0</v>
      </c>
      <c r="E38" s="62">
        <f t="shared" si="2"/>
        <v>0</v>
      </c>
      <c r="F38" s="206">
        <f t="shared" si="3"/>
        <v>0</v>
      </c>
      <c r="H38" s="37">
        <v>25501</v>
      </c>
      <c r="I38" s="38" t="s">
        <v>33</v>
      </c>
      <c r="J38" s="159">
        <v>0</v>
      </c>
      <c r="K38" s="15">
        <v>0</v>
      </c>
      <c r="L38" s="229">
        <f t="shared" si="4"/>
        <v>0</v>
      </c>
      <c r="M38" s="206"/>
      <c r="N38" s="208"/>
      <c r="O38" s="37">
        <v>25501</v>
      </c>
      <c r="P38" s="38" t="s">
        <v>33</v>
      </c>
      <c r="Q38" s="159"/>
      <c r="R38" s="159">
        <v>0</v>
      </c>
      <c r="S38" s="62">
        <f t="shared" si="5"/>
        <v>0</v>
      </c>
      <c r="T38" s="206"/>
      <c r="V38" s="37">
        <v>25501</v>
      </c>
      <c r="W38" s="38" t="s">
        <v>33</v>
      </c>
      <c r="X38" s="159">
        <v>0</v>
      </c>
      <c r="Y38" s="159">
        <v>0</v>
      </c>
      <c r="Z38" s="62">
        <f t="shared" si="6"/>
        <v>0</v>
      </c>
      <c r="AA38" s="206"/>
      <c r="AB38" s="207"/>
      <c r="AC38" s="37">
        <v>25501</v>
      </c>
      <c r="AD38" s="38" t="s">
        <v>33</v>
      </c>
      <c r="AE38" s="62">
        <v>0</v>
      </c>
      <c r="AF38" s="159">
        <v>0</v>
      </c>
      <c r="AG38" s="62">
        <f t="shared" si="7"/>
        <v>0</v>
      </c>
      <c r="AH38" s="206">
        <v>0</v>
      </c>
      <c r="AJ38" s="37">
        <v>25501</v>
      </c>
      <c r="AK38" s="38" t="s">
        <v>33</v>
      </c>
      <c r="AL38" s="62">
        <v>0</v>
      </c>
      <c r="AM38" s="159">
        <v>0</v>
      </c>
      <c r="AN38" s="62">
        <f t="shared" si="8"/>
        <v>0</v>
      </c>
      <c r="AO38" s="206"/>
      <c r="AQ38" s="37">
        <v>25501</v>
      </c>
      <c r="AR38" s="38" t="s">
        <v>33</v>
      </c>
      <c r="AS38" s="62">
        <v>0</v>
      </c>
      <c r="AT38" s="159">
        <v>0</v>
      </c>
      <c r="AU38" s="62">
        <f t="shared" si="9"/>
        <v>0</v>
      </c>
      <c r="AV38" s="206"/>
      <c r="AW38" s="210"/>
      <c r="AX38" s="37">
        <v>25501</v>
      </c>
      <c r="AY38" s="38" t="s">
        <v>33</v>
      </c>
      <c r="AZ38" s="62">
        <v>0</v>
      </c>
      <c r="BA38" s="159">
        <v>0</v>
      </c>
      <c r="BB38" s="62">
        <f t="shared" si="10"/>
        <v>0</v>
      </c>
      <c r="BC38" s="206"/>
      <c r="BE38" s="37">
        <v>25501</v>
      </c>
      <c r="BF38" s="38" t="s">
        <v>33</v>
      </c>
      <c r="BG38" s="62">
        <v>0</v>
      </c>
      <c r="BH38" s="159">
        <v>0</v>
      </c>
      <c r="BI38" s="62">
        <f t="shared" si="11"/>
        <v>0</v>
      </c>
      <c r="BJ38" s="206"/>
    </row>
    <row r="39" spans="1:62" s="209" customFormat="1" ht="22.5">
      <c r="A39" s="37">
        <v>25901</v>
      </c>
      <c r="B39" s="38" t="s">
        <v>34</v>
      </c>
      <c r="C39" s="62">
        <f t="shared" si="0"/>
        <v>0</v>
      </c>
      <c r="D39" s="62">
        <f t="shared" si="1"/>
        <v>0</v>
      </c>
      <c r="E39" s="62">
        <f t="shared" si="2"/>
        <v>0</v>
      </c>
      <c r="F39" s="206">
        <f t="shared" si="3"/>
        <v>0</v>
      </c>
      <c r="H39" s="37">
        <v>25901</v>
      </c>
      <c r="I39" s="38" t="s">
        <v>34</v>
      </c>
      <c r="J39" s="159">
        <v>0</v>
      </c>
      <c r="K39" s="15">
        <v>0</v>
      </c>
      <c r="L39" s="229">
        <f t="shared" si="4"/>
        <v>0</v>
      </c>
      <c r="M39" s="206"/>
      <c r="N39" s="208"/>
      <c r="O39" s="37">
        <v>25901</v>
      </c>
      <c r="P39" s="38" t="s">
        <v>34</v>
      </c>
      <c r="Q39" s="159"/>
      <c r="R39" s="159">
        <v>0</v>
      </c>
      <c r="S39" s="62">
        <f t="shared" si="5"/>
        <v>0</v>
      </c>
      <c r="T39" s="206"/>
      <c r="V39" s="37">
        <v>25901</v>
      </c>
      <c r="W39" s="38" t="s">
        <v>34</v>
      </c>
      <c r="X39" s="159">
        <v>0</v>
      </c>
      <c r="Y39" s="159">
        <v>0</v>
      </c>
      <c r="Z39" s="62">
        <f t="shared" si="6"/>
        <v>0</v>
      </c>
      <c r="AA39" s="206"/>
      <c r="AB39" s="207"/>
      <c r="AC39" s="37">
        <v>25901</v>
      </c>
      <c r="AD39" s="38" t="s">
        <v>34</v>
      </c>
      <c r="AE39" s="62">
        <v>0</v>
      </c>
      <c r="AF39" s="159">
        <v>0</v>
      </c>
      <c r="AG39" s="62">
        <f t="shared" si="7"/>
        <v>0</v>
      </c>
      <c r="AH39" s="206">
        <v>0</v>
      </c>
      <c r="AJ39" s="37">
        <v>25901</v>
      </c>
      <c r="AK39" s="38" t="s">
        <v>34</v>
      </c>
      <c r="AL39" s="62">
        <v>0</v>
      </c>
      <c r="AM39" s="159">
        <v>0</v>
      </c>
      <c r="AN39" s="62">
        <f t="shared" si="8"/>
        <v>0</v>
      </c>
      <c r="AO39" s="206"/>
      <c r="AQ39" s="37">
        <v>25901</v>
      </c>
      <c r="AR39" s="38" t="s">
        <v>34</v>
      </c>
      <c r="AS39" s="62">
        <v>0</v>
      </c>
      <c r="AT39" s="159">
        <v>0</v>
      </c>
      <c r="AU39" s="62">
        <f t="shared" si="9"/>
        <v>0</v>
      </c>
      <c r="AV39" s="206"/>
      <c r="AW39" s="210"/>
      <c r="AX39" s="37">
        <v>25901</v>
      </c>
      <c r="AY39" s="38" t="s">
        <v>34</v>
      </c>
      <c r="AZ39" s="62">
        <v>0</v>
      </c>
      <c r="BA39" s="159">
        <v>0</v>
      </c>
      <c r="BB39" s="62">
        <f t="shared" si="10"/>
        <v>0</v>
      </c>
      <c r="BC39" s="206"/>
      <c r="BE39" s="37">
        <v>25901</v>
      </c>
      <c r="BF39" s="38" t="s">
        <v>34</v>
      </c>
      <c r="BG39" s="62">
        <v>0</v>
      </c>
      <c r="BH39" s="159">
        <v>0</v>
      </c>
      <c r="BI39" s="62">
        <f t="shared" si="11"/>
        <v>0</v>
      </c>
      <c r="BJ39" s="206"/>
    </row>
    <row r="40" spans="1:62" s="209" customFormat="1">
      <c r="A40" s="37">
        <v>26101</v>
      </c>
      <c r="B40" s="38" t="s">
        <v>35</v>
      </c>
      <c r="C40" s="62">
        <f t="shared" si="0"/>
        <v>709200.82987999998</v>
      </c>
      <c r="D40" s="62">
        <f t="shared" si="1"/>
        <v>596561.75999999978</v>
      </c>
      <c r="E40" s="62">
        <f t="shared" si="2"/>
        <v>894842.63999999966</v>
      </c>
      <c r="F40" s="206">
        <f t="shared" si="3"/>
        <v>424346.79249999998</v>
      </c>
      <c r="H40" s="37">
        <v>26101</v>
      </c>
      <c r="I40" s="38" t="s">
        <v>35</v>
      </c>
      <c r="J40" s="159">
        <v>60000</v>
      </c>
      <c r="K40" s="15">
        <v>41978.590400000001</v>
      </c>
      <c r="L40" s="229">
        <f t="shared" si="4"/>
        <v>62967.885600000001</v>
      </c>
      <c r="M40" s="206">
        <f>60000/2</f>
        <v>30000</v>
      </c>
      <c r="N40" s="208"/>
      <c r="O40" s="37">
        <v>26101</v>
      </c>
      <c r="P40" s="38" t="s">
        <v>35</v>
      </c>
      <c r="Q40" s="159">
        <v>9500</v>
      </c>
      <c r="R40" s="159">
        <v>2680.7599999999993</v>
      </c>
      <c r="S40" s="62">
        <f t="shared" si="5"/>
        <v>4021.139999999999</v>
      </c>
      <c r="T40" s="206">
        <f>10070/2</f>
        <v>5035</v>
      </c>
      <c r="V40" s="37">
        <v>26101</v>
      </c>
      <c r="W40" s="38" t="s">
        <v>35</v>
      </c>
      <c r="X40" s="159">
        <v>110000</v>
      </c>
      <c r="Y40" s="159">
        <v>96239.805999999982</v>
      </c>
      <c r="Z40" s="62">
        <f t="shared" si="6"/>
        <v>144359.70899999997</v>
      </c>
      <c r="AA40" s="206">
        <f>110000/2</f>
        <v>55000</v>
      </c>
      <c r="AB40" s="207"/>
      <c r="AC40" s="37">
        <v>26101</v>
      </c>
      <c r="AD40" s="38" t="s">
        <v>35</v>
      </c>
      <c r="AE40" s="62">
        <v>95806.75</v>
      </c>
      <c r="AF40" s="159">
        <v>43808.826799999988</v>
      </c>
      <c r="AG40" s="62">
        <f t="shared" si="7"/>
        <v>65713.240199999986</v>
      </c>
      <c r="AH40" s="206">
        <f>101555.155/2</f>
        <v>50777.577499999999</v>
      </c>
      <c r="AJ40" s="37">
        <v>26101</v>
      </c>
      <c r="AK40" s="38" t="s">
        <v>35</v>
      </c>
      <c r="AL40" s="62">
        <v>294357.62</v>
      </c>
      <c r="AM40" s="159">
        <v>241974.39839999992</v>
      </c>
      <c r="AN40" s="62">
        <f t="shared" si="8"/>
        <v>362961.59759999986</v>
      </c>
      <c r="AO40" s="365">
        <f>300000/2</f>
        <v>150000</v>
      </c>
      <c r="AP40" s="207"/>
      <c r="AQ40" s="37">
        <v>26101</v>
      </c>
      <c r="AR40" s="38" t="s">
        <v>35</v>
      </c>
      <c r="AS40" s="62">
        <v>113536.45988000001</v>
      </c>
      <c r="AT40" s="159">
        <v>148766.72879999995</v>
      </c>
      <c r="AU40" s="62">
        <f t="shared" si="9"/>
        <v>223150.09319999994</v>
      </c>
      <c r="AV40" s="206">
        <f>(230000-11091.57)/2</f>
        <v>109454.215</v>
      </c>
      <c r="AW40" s="210"/>
      <c r="AX40" s="37">
        <v>26101</v>
      </c>
      <c r="AY40" s="38" t="s">
        <v>35</v>
      </c>
      <c r="AZ40" s="62">
        <v>10000</v>
      </c>
      <c r="BA40" s="159">
        <v>6445.8415999999997</v>
      </c>
      <c r="BB40" s="62">
        <f t="shared" si="10"/>
        <v>9668.7623999999996</v>
      </c>
      <c r="BC40" s="206">
        <f>10000/2</f>
        <v>5000</v>
      </c>
      <c r="BE40" s="37">
        <v>26101</v>
      </c>
      <c r="BF40" s="38" t="s">
        <v>35</v>
      </c>
      <c r="BG40" s="62">
        <v>16000</v>
      </c>
      <c r="BH40" s="159">
        <v>14666.807999999997</v>
      </c>
      <c r="BI40" s="62">
        <f t="shared" si="11"/>
        <v>22000.211999999996</v>
      </c>
      <c r="BJ40" s="206">
        <f>38160/2</f>
        <v>19080</v>
      </c>
    </row>
    <row r="41" spans="1:62" s="209" customFormat="1" ht="22.5">
      <c r="A41" s="37">
        <v>26102</v>
      </c>
      <c r="B41" s="38" t="s">
        <v>36</v>
      </c>
      <c r="C41" s="62">
        <f t="shared" si="0"/>
        <v>7950</v>
      </c>
      <c r="D41" s="62">
        <f t="shared" si="1"/>
        <v>18420.448</v>
      </c>
      <c r="E41" s="62">
        <f t="shared" si="2"/>
        <v>27630.671999999999</v>
      </c>
      <c r="F41" s="206">
        <f t="shared" si="3"/>
        <v>14074.005000000001</v>
      </c>
      <c r="H41" s="37">
        <v>26102</v>
      </c>
      <c r="I41" s="38" t="s">
        <v>36</v>
      </c>
      <c r="J41" s="159">
        <v>1400</v>
      </c>
      <c r="K41" s="15">
        <v>617.1</v>
      </c>
      <c r="L41" s="229">
        <f t="shared" si="4"/>
        <v>925.65000000000009</v>
      </c>
      <c r="M41" s="206">
        <f>1400/2</f>
        <v>700</v>
      </c>
      <c r="N41" s="208"/>
      <c r="O41" s="37">
        <v>26102</v>
      </c>
      <c r="P41" s="38" t="s">
        <v>36</v>
      </c>
      <c r="Q41" s="159"/>
      <c r="R41" s="159">
        <v>0</v>
      </c>
      <c r="S41" s="62">
        <f t="shared" si="5"/>
        <v>0</v>
      </c>
      <c r="T41" s="206"/>
      <c r="V41" s="37">
        <v>26102</v>
      </c>
      <c r="W41" s="38" t="s">
        <v>36</v>
      </c>
      <c r="X41" s="159">
        <v>2000</v>
      </c>
      <c r="Y41" s="159">
        <v>5076.03</v>
      </c>
      <c r="Z41" s="62">
        <f t="shared" si="6"/>
        <v>7614.0450000000001</v>
      </c>
      <c r="AA41" s="206">
        <f>6000/2</f>
        <v>3000</v>
      </c>
      <c r="AB41" s="207"/>
      <c r="AC41" s="37">
        <v>26102</v>
      </c>
      <c r="AD41" s="38" t="s">
        <v>36</v>
      </c>
      <c r="AE41" s="62">
        <v>1500</v>
      </c>
      <c r="AF41" s="159">
        <v>1622.1076</v>
      </c>
      <c r="AG41" s="62">
        <f t="shared" si="7"/>
        <v>2433.1614</v>
      </c>
      <c r="AH41" s="206">
        <f>1590/2</f>
        <v>795</v>
      </c>
      <c r="AJ41" s="37">
        <v>26102</v>
      </c>
      <c r="AK41" s="38" t="s">
        <v>36</v>
      </c>
      <c r="AL41" s="62">
        <v>1100</v>
      </c>
      <c r="AM41" s="159">
        <v>2382.0003999999999</v>
      </c>
      <c r="AN41" s="62">
        <f t="shared" si="8"/>
        <v>3573.0005999999998</v>
      </c>
      <c r="AO41" s="365">
        <f>2418.01/2</f>
        <v>1209.0050000000001</v>
      </c>
      <c r="AP41" s="207"/>
      <c r="AQ41" s="37">
        <v>26102</v>
      </c>
      <c r="AR41" s="38" t="s">
        <v>36</v>
      </c>
      <c r="AS41" s="62">
        <v>1200</v>
      </c>
      <c r="AT41" s="159">
        <v>8106.0899999999992</v>
      </c>
      <c r="AU41" s="62">
        <f t="shared" si="9"/>
        <v>12159.134999999998</v>
      </c>
      <c r="AV41" s="206">
        <f>12500/2</f>
        <v>6250</v>
      </c>
      <c r="AW41" s="210"/>
      <c r="AX41" s="37">
        <v>26102</v>
      </c>
      <c r="AY41" s="38" t="s">
        <v>36</v>
      </c>
      <c r="AZ41" s="62">
        <v>600</v>
      </c>
      <c r="BA41" s="159">
        <v>0</v>
      </c>
      <c r="BB41" s="62">
        <f t="shared" si="10"/>
        <v>0</v>
      </c>
      <c r="BC41" s="206"/>
      <c r="BE41" s="37">
        <v>26102</v>
      </c>
      <c r="BF41" s="38" t="s">
        <v>36</v>
      </c>
      <c r="BG41" s="62">
        <v>150</v>
      </c>
      <c r="BH41" s="159">
        <v>617.12</v>
      </c>
      <c r="BI41" s="62">
        <f t="shared" si="11"/>
        <v>925.68000000000006</v>
      </c>
      <c r="BJ41" s="206">
        <f>4240/2</f>
        <v>2120</v>
      </c>
    </row>
    <row r="42" spans="1:62" s="209" customFormat="1" ht="22.5">
      <c r="A42" s="37">
        <v>27101</v>
      </c>
      <c r="B42" s="38" t="s">
        <v>37</v>
      </c>
      <c r="C42" s="62">
        <f t="shared" si="0"/>
        <v>0</v>
      </c>
      <c r="D42" s="62">
        <f t="shared" si="1"/>
        <v>0</v>
      </c>
      <c r="E42" s="62">
        <f t="shared" si="2"/>
        <v>0</v>
      </c>
      <c r="F42" s="206">
        <f t="shared" si="3"/>
        <v>0</v>
      </c>
      <c r="H42" s="37">
        <v>27101</v>
      </c>
      <c r="I42" s="38" t="s">
        <v>37</v>
      </c>
      <c r="J42" s="159">
        <v>0</v>
      </c>
      <c r="K42" s="15">
        <v>0</v>
      </c>
      <c r="L42" s="229">
        <f t="shared" si="4"/>
        <v>0</v>
      </c>
      <c r="M42" s="206"/>
      <c r="N42" s="208"/>
      <c r="O42" s="37">
        <v>27101</v>
      </c>
      <c r="P42" s="38" t="s">
        <v>37</v>
      </c>
      <c r="Q42" s="159"/>
      <c r="R42" s="159">
        <v>0</v>
      </c>
      <c r="S42" s="62">
        <f t="shared" si="5"/>
        <v>0</v>
      </c>
      <c r="T42" s="206"/>
      <c r="V42" s="37">
        <v>27101</v>
      </c>
      <c r="W42" s="38" t="s">
        <v>37</v>
      </c>
      <c r="X42" s="159">
        <v>0</v>
      </c>
      <c r="Y42" s="159">
        <v>0</v>
      </c>
      <c r="Z42" s="62">
        <f t="shared" si="6"/>
        <v>0</v>
      </c>
      <c r="AA42" s="206"/>
      <c r="AB42" s="207"/>
      <c r="AC42" s="37">
        <v>27101</v>
      </c>
      <c r="AD42" s="38" t="s">
        <v>37</v>
      </c>
      <c r="AE42" s="62">
        <v>0</v>
      </c>
      <c r="AF42" s="159">
        <v>0</v>
      </c>
      <c r="AG42" s="62">
        <f t="shared" si="7"/>
        <v>0</v>
      </c>
      <c r="AH42" s="206">
        <v>0</v>
      </c>
      <c r="AJ42" s="37">
        <v>27101</v>
      </c>
      <c r="AK42" s="38" t="s">
        <v>37</v>
      </c>
      <c r="AL42" s="62">
        <v>0</v>
      </c>
      <c r="AM42" s="159">
        <v>0</v>
      </c>
      <c r="AN42" s="62">
        <f t="shared" si="8"/>
        <v>0</v>
      </c>
      <c r="AO42" s="206"/>
      <c r="AQ42" s="37">
        <v>27101</v>
      </c>
      <c r="AR42" s="38" t="s">
        <v>37</v>
      </c>
      <c r="AS42" s="62">
        <v>0</v>
      </c>
      <c r="AT42" s="159">
        <v>0</v>
      </c>
      <c r="AU42" s="62">
        <f t="shared" si="9"/>
        <v>0</v>
      </c>
      <c r="AV42" s="206"/>
      <c r="AW42" s="210"/>
      <c r="AX42" s="37">
        <v>27101</v>
      </c>
      <c r="AY42" s="38" t="s">
        <v>37</v>
      </c>
      <c r="AZ42" s="62">
        <v>0</v>
      </c>
      <c r="BA42" s="159">
        <v>0</v>
      </c>
      <c r="BB42" s="62">
        <f t="shared" si="10"/>
        <v>0</v>
      </c>
      <c r="BC42" s="206"/>
      <c r="BE42" s="37">
        <v>27101</v>
      </c>
      <c r="BF42" s="38" t="s">
        <v>37</v>
      </c>
      <c r="BG42" s="62">
        <v>0</v>
      </c>
      <c r="BH42" s="159">
        <v>0</v>
      </c>
      <c r="BI42" s="62">
        <f t="shared" si="11"/>
        <v>0</v>
      </c>
      <c r="BJ42" s="206"/>
    </row>
    <row r="43" spans="1:62" s="209" customFormat="1" ht="33.75">
      <c r="A43" s="37">
        <v>27201</v>
      </c>
      <c r="B43" s="38" t="s">
        <v>38</v>
      </c>
      <c r="C43" s="62">
        <f t="shared" si="0"/>
        <v>18400</v>
      </c>
      <c r="D43" s="62">
        <f t="shared" si="1"/>
        <v>203045.9</v>
      </c>
      <c r="E43" s="62">
        <f t="shared" si="2"/>
        <v>304568.84999999998</v>
      </c>
      <c r="F43" s="206">
        <f t="shared" si="3"/>
        <v>12650</v>
      </c>
      <c r="H43" s="37">
        <v>27201</v>
      </c>
      <c r="I43" s="38" t="s">
        <v>38</v>
      </c>
      <c r="J43" s="159">
        <v>2700</v>
      </c>
      <c r="K43" s="15">
        <v>0</v>
      </c>
      <c r="L43" s="229">
        <f t="shared" si="4"/>
        <v>0</v>
      </c>
      <c r="M43" s="206"/>
      <c r="N43" s="208"/>
      <c r="O43" s="37">
        <v>27201</v>
      </c>
      <c r="P43" s="38" t="s">
        <v>38</v>
      </c>
      <c r="Q43" s="159"/>
      <c r="R43" s="159">
        <v>0</v>
      </c>
      <c r="S43" s="62">
        <f t="shared" si="5"/>
        <v>0</v>
      </c>
      <c r="T43" s="206"/>
      <c r="V43" s="37">
        <v>27201</v>
      </c>
      <c r="W43" s="38" t="s">
        <v>38</v>
      </c>
      <c r="X43" s="159">
        <v>10000</v>
      </c>
      <c r="Y43" s="159">
        <v>203000</v>
      </c>
      <c r="Z43" s="62">
        <f t="shared" si="6"/>
        <v>304500</v>
      </c>
      <c r="AA43" s="206">
        <f>20000/2</f>
        <v>10000</v>
      </c>
      <c r="AB43" s="207"/>
      <c r="AC43" s="37">
        <v>27201</v>
      </c>
      <c r="AD43" s="38" t="s">
        <v>38</v>
      </c>
      <c r="AE43" s="62">
        <v>5000</v>
      </c>
      <c r="AF43" s="159">
        <v>0</v>
      </c>
      <c r="AG43" s="62">
        <f t="shared" si="7"/>
        <v>0</v>
      </c>
      <c r="AH43" s="206">
        <f>5300/2</f>
        <v>2650</v>
      </c>
      <c r="AJ43" s="37">
        <v>27201</v>
      </c>
      <c r="AK43" s="38" t="s">
        <v>38</v>
      </c>
      <c r="AL43" s="62">
        <v>0</v>
      </c>
      <c r="AM43" s="159">
        <v>0</v>
      </c>
      <c r="AN43" s="62">
        <f t="shared" si="8"/>
        <v>0</v>
      </c>
      <c r="AO43" s="206"/>
      <c r="AQ43" s="37">
        <v>27201</v>
      </c>
      <c r="AR43" s="38" t="s">
        <v>38</v>
      </c>
      <c r="AS43" s="62">
        <v>700</v>
      </c>
      <c r="AT43" s="159">
        <v>0</v>
      </c>
      <c r="AU43" s="62">
        <f t="shared" si="9"/>
        <v>0</v>
      </c>
      <c r="AV43" s="206">
        <v>0</v>
      </c>
      <c r="AW43" s="210"/>
      <c r="AX43" s="37">
        <v>27201</v>
      </c>
      <c r="AY43" s="38" t="s">
        <v>38</v>
      </c>
      <c r="AZ43" s="62">
        <v>0</v>
      </c>
      <c r="BA43" s="159">
        <v>45.9</v>
      </c>
      <c r="BB43" s="62">
        <f t="shared" si="10"/>
        <v>68.849999999999994</v>
      </c>
      <c r="BC43" s="206"/>
      <c r="BE43" s="37">
        <v>27201</v>
      </c>
      <c r="BF43" s="38" t="s">
        <v>38</v>
      </c>
      <c r="BG43" s="62">
        <v>0</v>
      </c>
      <c r="BH43" s="159">
        <v>0</v>
      </c>
      <c r="BI43" s="62">
        <f t="shared" si="11"/>
        <v>0</v>
      </c>
      <c r="BJ43" s="206"/>
    </row>
    <row r="44" spans="1:62" s="209" customFormat="1" ht="22.5">
      <c r="A44" s="37">
        <v>29101</v>
      </c>
      <c r="B44" s="38" t="s">
        <v>39</v>
      </c>
      <c r="C44" s="62">
        <f t="shared" si="0"/>
        <v>1400</v>
      </c>
      <c r="D44" s="62">
        <f t="shared" si="1"/>
        <v>0</v>
      </c>
      <c r="E44" s="62">
        <f t="shared" si="2"/>
        <v>0</v>
      </c>
      <c r="F44" s="206">
        <f t="shared" si="3"/>
        <v>742</v>
      </c>
      <c r="H44" s="37">
        <v>29101</v>
      </c>
      <c r="I44" s="38" t="s">
        <v>39</v>
      </c>
      <c r="J44" s="159">
        <v>0</v>
      </c>
      <c r="K44" s="15">
        <v>0</v>
      </c>
      <c r="L44" s="229">
        <f t="shared" si="4"/>
        <v>0</v>
      </c>
      <c r="M44" s="206"/>
      <c r="N44" s="208"/>
      <c r="O44" s="37">
        <v>29101</v>
      </c>
      <c r="P44" s="38" t="s">
        <v>39</v>
      </c>
      <c r="Q44" s="159"/>
      <c r="R44" s="159">
        <v>0</v>
      </c>
      <c r="S44" s="62">
        <f t="shared" si="5"/>
        <v>0</v>
      </c>
      <c r="T44" s="206"/>
      <c r="V44" s="37">
        <v>29101</v>
      </c>
      <c r="W44" s="38" t="s">
        <v>39</v>
      </c>
      <c r="X44" s="159">
        <v>0</v>
      </c>
      <c r="Y44" s="159">
        <v>0</v>
      </c>
      <c r="Z44" s="62">
        <f t="shared" si="6"/>
        <v>0</v>
      </c>
      <c r="AA44" s="206"/>
      <c r="AB44" s="207"/>
      <c r="AC44" s="37">
        <v>29101</v>
      </c>
      <c r="AD44" s="38" t="s">
        <v>39</v>
      </c>
      <c r="AE44" s="62">
        <v>1400</v>
      </c>
      <c r="AF44" s="159">
        <v>0</v>
      </c>
      <c r="AG44" s="62">
        <f t="shared" si="7"/>
        <v>0</v>
      </c>
      <c r="AH44" s="206">
        <f>1484/2</f>
        <v>742</v>
      </c>
      <c r="AJ44" s="37">
        <v>29101</v>
      </c>
      <c r="AK44" s="38" t="s">
        <v>39</v>
      </c>
      <c r="AL44" s="62">
        <v>0</v>
      </c>
      <c r="AM44" s="159">
        <v>0</v>
      </c>
      <c r="AN44" s="62">
        <f t="shared" si="8"/>
        <v>0</v>
      </c>
      <c r="AO44" s="206"/>
      <c r="AQ44" s="37">
        <v>29101</v>
      </c>
      <c r="AR44" s="38" t="s">
        <v>39</v>
      </c>
      <c r="AS44" s="62">
        <v>0</v>
      </c>
      <c r="AT44" s="159">
        <v>0</v>
      </c>
      <c r="AU44" s="62">
        <f t="shared" si="9"/>
        <v>0</v>
      </c>
      <c r="AV44" s="206"/>
      <c r="AW44" s="210"/>
      <c r="AX44" s="37">
        <v>29101</v>
      </c>
      <c r="AY44" s="38" t="s">
        <v>39</v>
      </c>
      <c r="AZ44" s="62">
        <v>0</v>
      </c>
      <c r="BA44" s="159">
        <v>0</v>
      </c>
      <c r="BB44" s="62">
        <f t="shared" si="10"/>
        <v>0</v>
      </c>
      <c r="BC44" s="206"/>
      <c r="BE44" s="37">
        <v>29101</v>
      </c>
      <c r="BF44" s="38" t="s">
        <v>39</v>
      </c>
      <c r="BG44" s="62">
        <v>0</v>
      </c>
      <c r="BH44" s="159">
        <v>0</v>
      </c>
      <c r="BI44" s="62">
        <f t="shared" si="11"/>
        <v>0</v>
      </c>
      <c r="BJ44" s="206"/>
    </row>
    <row r="45" spans="1:62" s="209" customFormat="1" ht="45">
      <c r="A45" s="37">
        <v>29201</v>
      </c>
      <c r="B45" s="38" t="s">
        <v>40</v>
      </c>
      <c r="C45" s="62">
        <f t="shared" si="0"/>
        <v>16500</v>
      </c>
      <c r="D45" s="62">
        <f t="shared" si="1"/>
        <v>19580.2052</v>
      </c>
      <c r="E45" s="62">
        <f t="shared" si="2"/>
        <v>29370.307799999999</v>
      </c>
      <c r="F45" s="206">
        <f t="shared" si="3"/>
        <v>13170</v>
      </c>
      <c r="H45" s="37">
        <v>29201</v>
      </c>
      <c r="I45" s="38" t="s">
        <v>40</v>
      </c>
      <c r="J45" s="159">
        <v>1100</v>
      </c>
      <c r="K45" s="15">
        <v>115.06039999999999</v>
      </c>
      <c r="L45" s="229">
        <f t="shared" si="4"/>
        <v>172.59059999999999</v>
      </c>
      <c r="M45" s="206">
        <f>1100/2</f>
        <v>550</v>
      </c>
      <c r="N45" s="208"/>
      <c r="O45" s="37">
        <v>29201</v>
      </c>
      <c r="P45" s="38" t="s">
        <v>40</v>
      </c>
      <c r="Q45" s="159">
        <v>0</v>
      </c>
      <c r="R45" s="159">
        <v>0</v>
      </c>
      <c r="S45" s="62">
        <f t="shared" si="5"/>
        <v>0</v>
      </c>
      <c r="T45" s="206"/>
      <c r="V45" s="37">
        <v>29201</v>
      </c>
      <c r="W45" s="38" t="s">
        <v>40</v>
      </c>
      <c r="X45" s="159">
        <v>15000</v>
      </c>
      <c r="Y45" s="159">
        <v>18890.6116</v>
      </c>
      <c r="Z45" s="62">
        <f t="shared" si="6"/>
        <v>28335.917399999998</v>
      </c>
      <c r="AA45" s="206">
        <f>20000/2</f>
        <v>10000</v>
      </c>
      <c r="AB45" s="207"/>
      <c r="AC45" s="37">
        <v>29201</v>
      </c>
      <c r="AD45" s="38" t="s">
        <v>40</v>
      </c>
      <c r="AE45" s="62">
        <v>0</v>
      </c>
      <c r="AF45" s="159">
        <v>246.95920000000001</v>
      </c>
      <c r="AG45" s="62">
        <f t="shared" si="7"/>
        <v>370.43880000000001</v>
      </c>
      <c r="AH45" s="206">
        <v>0</v>
      </c>
      <c r="AJ45" s="37">
        <v>29201</v>
      </c>
      <c r="AK45" s="38" t="s">
        <v>40</v>
      </c>
      <c r="AL45" s="62">
        <v>400</v>
      </c>
      <c r="AM45" s="159">
        <v>0</v>
      </c>
      <c r="AN45" s="62">
        <f t="shared" si="8"/>
        <v>0</v>
      </c>
      <c r="AO45" s="206"/>
      <c r="AQ45" s="37">
        <v>29201</v>
      </c>
      <c r="AR45" s="38" t="s">
        <v>40</v>
      </c>
      <c r="AS45" s="62">
        <v>0</v>
      </c>
      <c r="AT45" s="159">
        <v>127.66959999999999</v>
      </c>
      <c r="AU45" s="62">
        <f t="shared" si="9"/>
        <v>191.50439999999998</v>
      </c>
      <c r="AV45" s="206">
        <v>0</v>
      </c>
      <c r="AW45" s="210"/>
      <c r="AX45" s="37">
        <v>29201</v>
      </c>
      <c r="AY45" s="38" t="s">
        <v>40</v>
      </c>
      <c r="AZ45" s="62">
        <v>0</v>
      </c>
      <c r="BA45" s="159">
        <v>199.90440000000001</v>
      </c>
      <c r="BB45" s="62">
        <f t="shared" si="10"/>
        <v>299.85660000000001</v>
      </c>
      <c r="BC45" s="206">
        <f>1000/2</f>
        <v>500</v>
      </c>
      <c r="BE45" s="37">
        <v>29201</v>
      </c>
      <c r="BF45" s="38" t="s">
        <v>40</v>
      </c>
      <c r="BG45" s="62">
        <v>0</v>
      </c>
      <c r="BH45" s="159">
        <v>0</v>
      </c>
      <c r="BI45" s="62">
        <f t="shared" si="11"/>
        <v>0</v>
      </c>
      <c r="BJ45" s="206">
        <f>4240/2</f>
        <v>2120</v>
      </c>
    </row>
    <row r="46" spans="1:62" s="209" customFormat="1" ht="78.75">
      <c r="A46" s="37">
        <v>29301</v>
      </c>
      <c r="B46" s="38" t="s">
        <v>111</v>
      </c>
      <c r="C46" s="62">
        <f t="shared" si="0"/>
        <v>3600</v>
      </c>
      <c r="D46" s="62">
        <f t="shared" si="1"/>
        <v>4139.6007999999993</v>
      </c>
      <c r="E46" s="62">
        <f t="shared" si="2"/>
        <v>6209.4011999999993</v>
      </c>
      <c r="F46" s="206">
        <f t="shared" si="3"/>
        <v>2500</v>
      </c>
      <c r="H46" s="37">
        <v>29301</v>
      </c>
      <c r="I46" s="38" t="s">
        <v>111</v>
      </c>
      <c r="J46" s="159">
        <v>600</v>
      </c>
      <c r="K46" s="15">
        <v>798.99639999999988</v>
      </c>
      <c r="L46" s="229">
        <f t="shared" si="4"/>
        <v>1198.4945999999998</v>
      </c>
      <c r="M46" s="206">
        <f>1000/2</f>
        <v>500</v>
      </c>
      <c r="N46" s="208"/>
      <c r="O46" s="37">
        <v>29301</v>
      </c>
      <c r="P46" s="38" t="s">
        <v>111</v>
      </c>
      <c r="Q46" s="159"/>
      <c r="R46" s="159">
        <v>0</v>
      </c>
      <c r="S46" s="62">
        <f t="shared" si="5"/>
        <v>0</v>
      </c>
      <c r="T46" s="206"/>
      <c r="V46" s="37">
        <v>29301</v>
      </c>
      <c r="W46" s="38" t="s">
        <v>111</v>
      </c>
      <c r="X46" s="159">
        <v>3000</v>
      </c>
      <c r="Y46" s="159">
        <v>3340.6043999999997</v>
      </c>
      <c r="Z46" s="62">
        <f t="shared" si="6"/>
        <v>5010.9065999999993</v>
      </c>
      <c r="AA46" s="206">
        <f>4000/2</f>
        <v>2000</v>
      </c>
      <c r="AB46" s="207"/>
      <c r="AC46" s="37">
        <v>29301</v>
      </c>
      <c r="AD46" s="38" t="s">
        <v>111</v>
      </c>
      <c r="AE46" s="62">
        <v>0</v>
      </c>
      <c r="AF46" s="159">
        <v>0</v>
      </c>
      <c r="AG46" s="62">
        <f t="shared" si="7"/>
        <v>0</v>
      </c>
      <c r="AH46" s="206">
        <v>0</v>
      </c>
      <c r="AJ46" s="37">
        <v>29301</v>
      </c>
      <c r="AK46" s="38" t="s">
        <v>111</v>
      </c>
      <c r="AL46" s="62"/>
      <c r="AM46" s="159">
        <v>0</v>
      </c>
      <c r="AN46" s="62">
        <f t="shared" si="8"/>
        <v>0</v>
      </c>
      <c r="AO46" s="206"/>
      <c r="AQ46" s="37">
        <v>29301</v>
      </c>
      <c r="AR46" s="38" t="s">
        <v>111</v>
      </c>
      <c r="AS46" s="62">
        <v>0</v>
      </c>
      <c r="AT46" s="159">
        <v>0</v>
      </c>
      <c r="AU46" s="62">
        <f t="shared" si="9"/>
        <v>0</v>
      </c>
      <c r="AV46" s="206"/>
      <c r="AW46" s="210"/>
      <c r="AX46" s="37">
        <v>29301</v>
      </c>
      <c r="AY46" s="38" t="s">
        <v>111</v>
      </c>
      <c r="AZ46" s="62">
        <v>0</v>
      </c>
      <c r="BA46" s="159">
        <v>0</v>
      </c>
      <c r="BB46" s="62">
        <f t="shared" si="10"/>
        <v>0</v>
      </c>
      <c r="BC46" s="206"/>
      <c r="BE46" s="37">
        <v>29301</v>
      </c>
      <c r="BF46" s="38" t="s">
        <v>111</v>
      </c>
      <c r="BG46" s="62">
        <v>0</v>
      </c>
      <c r="BH46" s="159">
        <v>0</v>
      </c>
      <c r="BI46" s="62">
        <f t="shared" si="11"/>
        <v>0</v>
      </c>
      <c r="BJ46" s="206"/>
    </row>
    <row r="47" spans="1:62" s="209" customFormat="1" ht="67.5">
      <c r="A47" s="37">
        <v>29401</v>
      </c>
      <c r="B47" s="38" t="s">
        <v>41</v>
      </c>
      <c r="C47" s="62">
        <f t="shared" si="0"/>
        <v>10700</v>
      </c>
      <c r="D47" s="62">
        <f t="shared" si="1"/>
        <v>10935.953600000001</v>
      </c>
      <c r="E47" s="62">
        <f t="shared" si="2"/>
        <v>16403.930399999997</v>
      </c>
      <c r="F47" s="206">
        <f t="shared" si="3"/>
        <v>8952.4650000000001</v>
      </c>
      <c r="H47" s="37">
        <v>29401</v>
      </c>
      <c r="I47" s="38" t="s">
        <v>41</v>
      </c>
      <c r="J47" s="159">
        <v>0</v>
      </c>
      <c r="K47" s="15">
        <v>1359.1951999999999</v>
      </c>
      <c r="L47" s="229">
        <f t="shared" si="4"/>
        <v>2038.7927999999997</v>
      </c>
      <c r="M47" s="206">
        <f>1500/2</f>
        <v>750</v>
      </c>
      <c r="N47" s="208"/>
      <c r="O47" s="37">
        <v>29401</v>
      </c>
      <c r="P47" s="38" t="s">
        <v>41</v>
      </c>
      <c r="Q47" s="159"/>
      <c r="R47" s="159">
        <v>0</v>
      </c>
      <c r="S47" s="62">
        <f t="shared" si="5"/>
        <v>0</v>
      </c>
      <c r="T47" s="206"/>
      <c r="V47" s="37">
        <v>29401</v>
      </c>
      <c r="W47" s="38" t="s">
        <v>41</v>
      </c>
      <c r="X47" s="159">
        <v>10000</v>
      </c>
      <c r="Y47" s="159">
        <v>8448.0087999999996</v>
      </c>
      <c r="Z47" s="62">
        <f t="shared" si="6"/>
        <v>12672.013199999999</v>
      </c>
      <c r="AA47" s="206">
        <f>10000/2</f>
        <v>5000</v>
      </c>
      <c r="AB47" s="207"/>
      <c r="AC47" s="37">
        <v>29401</v>
      </c>
      <c r="AD47" s="38" t="s">
        <v>41</v>
      </c>
      <c r="AE47" s="62">
        <v>0</v>
      </c>
      <c r="AF47" s="159">
        <v>0</v>
      </c>
      <c r="AG47" s="62">
        <f t="shared" si="7"/>
        <v>0</v>
      </c>
      <c r="AH47" s="206">
        <v>0</v>
      </c>
      <c r="AJ47" s="37">
        <v>29401</v>
      </c>
      <c r="AK47" s="38" t="s">
        <v>41</v>
      </c>
      <c r="AL47" s="62">
        <v>700</v>
      </c>
      <c r="AM47" s="159">
        <v>0</v>
      </c>
      <c r="AN47" s="62">
        <f t="shared" si="8"/>
        <v>0</v>
      </c>
      <c r="AO47" s="206"/>
      <c r="AQ47" s="37">
        <v>29401</v>
      </c>
      <c r="AR47" s="38" t="s">
        <v>41</v>
      </c>
      <c r="AS47" s="62">
        <v>0</v>
      </c>
      <c r="AT47" s="159">
        <v>529.35439999999994</v>
      </c>
      <c r="AU47" s="62">
        <f t="shared" si="9"/>
        <v>794.03159999999991</v>
      </c>
      <c r="AV47" s="206">
        <f>4284.93/2</f>
        <v>2142.4650000000001</v>
      </c>
      <c r="AW47" s="210"/>
      <c r="AX47" s="37">
        <v>29401</v>
      </c>
      <c r="AY47" s="38" t="s">
        <v>41</v>
      </c>
      <c r="AZ47" s="62">
        <v>0</v>
      </c>
      <c r="BA47" s="159">
        <v>0</v>
      </c>
      <c r="BB47" s="62">
        <f t="shared" si="10"/>
        <v>0</v>
      </c>
      <c r="BC47" s="206"/>
      <c r="BE47" s="37">
        <v>29401</v>
      </c>
      <c r="BF47" s="38" t="s">
        <v>41</v>
      </c>
      <c r="BG47" s="62">
        <v>0</v>
      </c>
      <c r="BH47" s="159">
        <v>599.39520000000005</v>
      </c>
      <c r="BI47" s="62">
        <f t="shared" si="11"/>
        <v>899.09280000000012</v>
      </c>
      <c r="BJ47" s="206">
        <f>2120/2</f>
        <v>1060</v>
      </c>
    </row>
    <row r="48" spans="1:62" s="209" customFormat="1" ht="45">
      <c r="A48" s="37">
        <v>29501</v>
      </c>
      <c r="B48" s="38" t="s">
        <v>106</v>
      </c>
      <c r="C48" s="62">
        <f t="shared" si="0"/>
        <v>4000</v>
      </c>
      <c r="D48" s="62">
        <f t="shared" si="1"/>
        <v>0</v>
      </c>
      <c r="E48" s="62">
        <f t="shared" si="2"/>
        <v>0</v>
      </c>
      <c r="F48" s="206">
        <f t="shared" si="3"/>
        <v>0</v>
      </c>
      <c r="H48" s="37">
        <v>29501</v>
      </c>
      <c r="I48" s="38" t="s">
        <v>106</v>
      </c>
      <c r="J48" s="159">
        <v>0</v>
      </c>
      <c r="K48" s="15">
        <v>0</v>
      </c>
      <c r="L48" s="229">
        <f t="shared" si="4"/>
        <v>0</v>
      </c>
      <c r="M48" s="206">
        <v>0</v>
      </c>
      <c r="N48" s="208">
        <v>0</v>
      </c>
      <c r="O48" s="37">
        <v>29501</v>
      </c>
      <c r="P48" s="38" t="s">
        <v>106</v>
      </c>
      <c r="Q48" s="159"/>
      <c r="R48" s="159">
        <v>0</v>
      </c>
      <c r="S48" s="62">
        <f t="shared" si="5"/>
        <v>0</v>
      </c>
      <c r="T48" s="206"/>
      <c r="V48" s="37">
        <v>29501</v>
      </c>
      <c r="W48" s="38" t="s">
        <v>106</v>
      </c>
      <c r="X48" s="159">
        <v>4000</v>
      </c>
      <c r="Y48" s="159">
        <v>0</v>
      </c>
      <c r="Z48" s="62">
        <f t="shared" si="6"/>
        <v>0</v>
      </c>
      <c r="AA48" s="206"/>
      <c r="AB48" s="207"/>
      <c r="AC48" s="37">
        <v>29501</v>
      </c>
      <c r="AD48" s="38" t="s">
        <v>106</v>
      </c>
      <c r="AE48" s="62">
        <v>0</v>
      </c>
      <c r="AF48" s="159">
        <v>0</v>
      </c>
      <c r="AG48" s="62">
        <f t="shared" si="7"/>
        <v>0</v>
      </c>
      <c r="AH48" s="206">
        <v>0</v>
      </c>
      <c r="AJ48" s="37">
        <v>29501</v>
      </c>
      <c r="AK48" s="38" t="s">
        <v>106</v>
      </c>
      <c r="AL48" s="62">
        <v>0</v>
      </c>
      <c r="AM48" s="159">
        <v>0</v>
      </c>
      <c r="AN48" s="62">
        <f t="shared" si="8"/>
        <v>0</v>
      </c>
      <c r="AO48" s="206"/>
      <c r="AQ48" s="37">
        <v>29501</v>
      </c>
      <c r="AR48" s="38" t="s">
        <v>106</v>
      </c>
      <c r="AS48" s="62">
        <v>0</v>
      </c>
      <c r="AT48" s="159">
        <v>0</v>
      </c>
      <c r="AU48" s="62">
        <f t="shared" si="9"/>
        <v>0</v>
      </c>
      <c r="AV48" s="206"/>
      <c r="AW48" s="210"/>
      <c r="AX48" s="37">
        <v>29501</v>
      </c>
      <c r="AY48" s="38" t="s">
        <v>106</v>
      </c>
      <c r="AZ48" s="62">
        <v>0</v>
      </c>
      <c r="BA48" s="159">
        <v>0</v>
      </c>
      <c r="BB48" s="62">
        <f t="shared" si="10"/>
        <v>0</v>
      </c>
      <c r="BC48" s="206"/>
      <c r="BE48" s="37">
        <v>29501</v>
      </c>
      <c r="BF48" s="38" t="s">
        <v>106</v>
      </c>
      <c r="BG48" s="62">
        <v>0</v>
      </c>
      <c r="BH48" s="159">
        <v>0</v>
      </c>
      <c r="BI48" s="62">
        <f t="shared" si="11"/>
        <v>0</v>
      </c>
      <c r="BJ48" s="206"/>
    </row>
    <row r="49" spans="1:63" s="209" customFormat="1" ht="45">
      <c r="A49" s="37">
        <v>29601</v>
      </c>
      <c r="B49" s="38" t="s">
        <v>42</v>
      </c>
      <c r="C49" s="62">
        <f t="shared" si="0"/>
        <v>164633.69</v>
      </c>
      <c r="D49" s="62">
        <f t="shared" si="1"/>
        <v>447001.86139999999</v>
      </c>
      <c r="E49" s="62">
        <f t="shared" si="2"/>
        <v>670502.79209999985</v>
      </c>
      <c r="F49" s="206">
        <f t="shared" si="3"/>
        <v>212270.78999999998</v>
      </c>
      <c r="H49" s="37">
        <v>29601</v>
      </c>
      <c r="I49" s="38" t="s">
        <v>42</v>
      </c>
      <c r="J49" s="159">
        <f>15000-668.87</f>
        <v>14331.13</v>
      </c>
      <c r="K49" s="15">
        <v>28745.395799999998</v>
      </c>
      <c r="L49" s="229">
        <f t="shared" si="4"/>
        <v>43118.093699999998</v>
      </c>
      <c r="M49" s="206">
        <f>20000/2</f>
        <v>10000</v>
      </c>
      <c r="N49" s="208"/>
      <c r="O49" s="37">
        <v>29601</v>
      </c>
      <c r="P49" s="38" t="s">
        <v>42</v>
      </c>
      <c r="Q49" s="159">
        <v>3500</v>
      </c>
      <c r="R49" s="159">
        <v>16355.999999999998</v>
      </c>
      <c r="S49" s="62">
        <f t="shared" si="5"/>
        <v>24533.999999999996</v>
      </c>
      <c r="T49" s="206">
        <f>3710/2</f>
        <v>1855</v>
      </c>
      <c r="V49" s="37">
        <v>29601</v>
      </c>
      <c r="W49" s="38" t="s">
        <v>42</v>
      </c>
      <c r="X49" s="159">
        <v>65000</v>
      </c>
      <c r="Y49" s="159">
        <v>106476.91039999999</v>
      </c>
      <c r="Z49" s="62">
        <f t="shared" si="6"/>
        <v>159715.36559999999</v>
      </c>
      <c r="AA49" s="206">
        <f>100000/2</f>
        <v>50000</v>
      </c>
      <c r="AB49" s="207"/>
      <c r="AC49" s="37">
        <v>29601</v>
      </c>
      <c r="AD49" s="38" t="s">
        <v>42</v>
      </c>
      <c r="AE49" s="62">
        <v>15000</v>
      </c>
      <c r="AF49" s="159">
        <v>46514.314799999993</v>
      </c>
      <c r="AG49" s="62">
        <f t="shared" si="7"/>
        <v>69771.472199999989</v>
      </c>
      <c r="AH49" s="206">
        <f>15900/2</f>
        <v>7950</v>
      </c>
      <c r="AJ49" s="37">
        <v>29601</v>
      </c>
      <c r="AK49" s="38" t="s">
        <v>42</v>
      </c>
      <c r="AL49" s="62">
        <v>28802.559999999998</v>
      </c>
      <c r="AM49" s="159">
        <v>94274.267200000002</v>
      </c>
      <c r="AN49" s="62">
        <f t="shared" si="8"/>
        <v>141411.4008</v>
      </c>
      <c r="AO49" s="365">
        <f>80000/2</f>
        <v>40000</v>
      </c>
      <c r="AP49" s="207"/>
      <c r="AQ49" s="37">
        <v>29601</v>
      </c>
      <c r="AR49" s="38" t="s">
        <v>42</v>
      </c>
      <c r="AS49" s="62">
        <v>30000</v>
      </c>
      <c r="AT49" s="159">
        <v>130559.1632</v>
      </c>
      <c r="AU49" s="62">
        <f t="shared" si="9"/>
        <v>195838.74479999999</v>
      </c>
      <c r="AV49" s="206">
        <f>(195000-15344.42)/2</f>
        <v>89827.79</v>
      </c>
      <c r="AW49" s="210"/>
      <c r="AX49" s="37">
        <v>29601</v>
      </c>
      <c r="AY49" s="38" t="s">
        <v>42</v>
      </c>
      <c r="AZ49" s="62">
        <v>3000</v>
      </c>
      <c r="BA49" s="159">
        <v>0</v>
      </c>
      <c r="BB49" s="62">
        <f t="shared" si="10"/>
        <v>0</v>
      </c>
      <c r="BC49" s="206">
        <f>9376/2</f>
        <v>4688</v>
      </c>
      <c r="BE49" s="37">
        <v>29601</v>
      </c>
      <c r="BF49" s="38" t="s">
        <v>42</v>
      </c>
      <c r="BG49" s="62">
        <v>5000</v>
      </c>
      <c r="BH49" s="159">
        <v>24075.81</v>
      </c>
      <c r="BI49" s="62">
        <f t="shared" si="11"/>
        <v>36113.715000000004</v>
      </c>
      <c r="BJ49" s="206">
        <f>15900/2</f>
        <v>7950</v>
      </c>
    </row>
    <row r="50" spans="1:63" s="209" customFormat="1" ht="56.25">
      <c r="A50" s="37">
        <v>29801</v>
      </c>
      <c r="B50" s="38" t="s">
        <v>43</v>
      </c>
      <c r="C50" s="62">
        <f t="shared" si="0"/>
        <v>4500</v>
      </c>
      <c r="D50" s="62">
        <f t="shared" si="1"/>
        <v>2200</v>
      </c>
      <c r="E50" s="62">
        <f t="shared" si="2"/>
        <v>3300</v>
      </c>
      <c r="F50" s="206">
        <f t="shared" si="3"/>
        <v>2385</v>
      </c>
      <c r="G50" s="211"/>
      <c r="H50" s="37">
        <v>29801</v>
      </c>
      <c r="I50" s="38" t="s">
        <v>43</v>
      </c>
      <c r="J50" s="159">
        <v>0</v>
      </c>
      <c r="K50" s="15">
        <v>0</v>
      </c>
      <c r="L50" s="229">
        <f t="shared" si="4"/>
        <v>0</v>
      </c>
      <c r="M50" s="206"/>
      <c r="N50" s="208"/>
      <c r="O50" s="37">
        <v>29801</v>
      </c>
      <c r="P50" s="38" t="s">
        <v>43</v>
      </c>
      <c r="Q50" s="159"/>
      <c r="R50" s="159">
        <v>0</v>
      </c>
      <c r="S50" s="62">
        <f t="shared" si="5"/>
        <v>0</v>
      </c>
      <c r="T50" s="206"/>
      <c r="V50" s="37">
        <v>29801</v>
      </c>
      <c r="W50" s="38" t="s">
        <v>43</v>
      </c>
      <c r="X50" s="159">
        <v>0</v>
      </c>
      <c r="Y50" s="159">
        <v>0</v>
      </c>
      <c r="Z50" s="62">
        <f t="shared" si="6"/>
        <v>0</v>
      </c>
      <c r="AA50" s="206"/>
      <c r="AB50" s="207"/>
      <c r="AC50" s="37">
        <v>29801</v>
      </c>
      <c r="AD50" s="38" t="s">
        <v>43</v>
      </c>
      <c r="AE50" s="62">
        <v>4500</v>
      </c>
      <c r="AF50" s="159">
        <v>2200</v>
      </c>
      <c r="AG50" s="62">
        <f t="shared" si="7"/>
        <v>3300</v>
      </c>
      <c r="AH50" s="206">
        <f>4770/2</f>
        <v>2385</v>
      </c>
      <c r="AJ50" s="37">
        <v>29801</v>
      </c>
      <c r="AK50" s="38" t="s">
        <v>43</v>
      </c>
      <c r="AL50" s="62">
        <v>0</v>
      </c>
      <c r="AM50" s="159">
        <v>0</v>
      </c>
      <c r="AN50" s="62">
        <f t="shared" si="8"/>
        <v>0</v>
      </c>
      <c r="AO50" s="206"/>
      <c r="AQ50" s="37">
        <v>29801</v>
      </c>
      <c r="AR50" s="38" t="s">
        <v>43</v>
      </c>
      <c r="AS50" s="62">
        <v>0</v>
      </c>
      <c r="AT50" s="159">
        <v>0</v>
      </c>
      <c r="AU50" s="62">
        <f t="shared" si="9"/>
        <v>0</v>
      </c>
      <c r="AV50" s="206"/>
      <c r="AW50" s="210"/>
      <c r="AX50" s="37">
        <v>29801</v>
      </c>
      <c r="AY50" s="38" t="s">
        <v>43</v>
      </c>
      <c r="AZ50" s="62">
        <v>0</v>
      </c>
      <c r="BA50" s="159">
        <v>0</v>
      </c>
      <c r="BB50" s="62">
        <f t="shared" si="10"/>
        <v>0</v>
      </c>
      <c r="BC50" s="206"/>
      <c r="BE50" s="37">
        <v>29801</v>
      </c>
      <c r="BF50" s="38" t="s">
        <v>43</v>
      </c>
      <c r="BG50" s="62">
        <v>0</v>
      </c>
      <c r="BH50" s="159">
        <v>0</v>
      </c>
      <c r="BI50" s="62">
        <f t="shared" si="11"/>
        <v>0</v>
      </c>
      <c r="BJ50" s="206"/>
    </row>
    <row r="51" spans="1:63" s="64" customFormat="1">
      <c r="A51" s="37"/>
      <c r="B51" s="38"/>
      <c r="C51" s="212"/>
      <c r="D51" s="15"/>
      <c r="E51" s="229"/>
      <c r="F51" s="213"/>
      <c r="G51" s="209"/>
      <c r="H51" s="37"/>
      <c r="I51" s="38"/>
      <c r="J51" s="212"/>
      <c r="K51" s="15"/>
      <c r="L51" s="229"/>
      <c r="M51" s="213"/>
      <c r="N51" s="208"/>
      <c r="O51" s="37"/>
      <c r="P51" s="38"/>
      <c r="Q51" s="212"/>
      <c r="R51" s="214"/>
      <c r="S51" s="212"/>
      <c r="T51" s="213"/>
      <c r="U51" s="209"/>
      <c r="V51" s="37"/>
      <c r="W51" s="38"/>
      <c r="X51" s="212"/>
      <c r="Y51" s="214"/>
      <c r="Z51" s="212"/>
      <c r="AA51" s="213"/>
      <c r="AB51" s="207"/>
      <c r="AC51" s="37"/>
      <c r="AD51" s="38"/>
      <c r="AE51" s="212"/>
      <c r="AF51" s="214"/>
      <c r="AG51" s="212"/>
      <c r="AH51" s="213"/>
      <c r="AI51" s="209"/>
      <c r="AJ51" s="37"/>
      <c r="AK51" s="38"/>
      <c r="AL51" s="212"/>
      <c r="AM51" s="214"/>
      <c r="AN51" s="212"/>
      <c r="AO51" s="213"/>
      <c r="AP51" s="209"/>
      <c r="AQ51" s="37"/>
      <c r="AR51" s="38"/>
      <c r="AS51" s="212"/>
      <c r="AT51" s="214"/>
      <c r="AU51" s="212"/>
      <c r="AV51" s="213">
        <v>0</v>
      </c>
      <c r="AW51" s="210"/>
      <c r="AX51" s="37"/>
      <c r="AY51" s="38"/>
      <c r="AZ51" s="212"/>
      <c r="BA51" s="214"/>
      <c r="BB51" s="212"/>
      <c r="BC51" s="213"/>
      <c r="BD51" s="209"/>
      <c r="BE51" s="37"/>
      <c r="BF51" s="38"/>
      <c r="BG51" s="212"/>
      <c r="BH51" s="214"/>
      <c r="BI51" s="212"/>
      <c r="BJ51" s="213"/>
    </row>
    <row r="52" spans="1:63" s="64" customFormat="1" ht="22.5">
      <c r="A52" s="31">
        <v>3000</v>
      </c>
      <c r="B52" s="2" t="s">
        <v>44</v>
      </c>
      <c r="C52" s="61">
        <f>SUM(C53:C113)</f>
        <v>22145259.9976</v>
      </c>
      <c r="D52" s="61">
        <f>SUM(D53:D113)</f>
        <v>8737183.862999998</v>
      </c>
      <c r="E52" s="61">
        <f>SUM(E53:E113)</f>
        <v>13090535.13462129</v>
      </c>
      <c r="F52" s="215">
        <f>SUM(F53:F113)</f>
        <v>5000000</v>
      </c>
      <c r="G52" s="207">
        <f>F52*1.032</f>
        <v>5160000</v>
      </c>
      <c r="H52" s="31">
        <v>3000</v>
      </c>
      <c r="I52" s="2" t="s">
        <v>44</v>
      </c>
      <c r="J52" s="61">
        <f>SUM(J53:J113)</f>
        <v>962994.19440000004</v>
      </c>
      <c r="K52" s="61">
        <f>SUM(K53:K113)</f>
        <v>147952.21961638192</v>
      </c>
      <c r="L52" s="61">
        <f>SUM(L53:L113)</f>
        <v>221928.32942457285</v>
      </c>
      <c r="M52" s="215">
        <f>SUM(M53:M113)</f>
        <v>200779.66</v>
      </c>
      <c r="N52" s="390">
        <f>M52*1.032</f>
        <v>207204.60912000001</v>
      </c>
      <c r="O52" s="31">
        <v>3000</v>
      </c>
      <c r="P52" s="2" t="s">
        <v>44</v>
      </c>
      <c r="Q52" s="61">
        <f>SUM(Q53:Q112)</f>
        <v>3240544.51</v>
      </c>
      <c r="R52" s="61">
        <f>SUM(R53:R112)</f>
        <v>1732882.8058120611</v>
      </c>
      <c r="S52" s="61">
        <f>SUM(S53:S112)</f>
        <v>2599324.2087180917</v>
      </c>
      <c r="T52" s="215">
        <f>SUM(T53:T112)</f>
        <v>285512</v>
      </c>
      <c r="U52" s="388">
        <f>T52*1.032</f>
        <v>294648.38400000002</v>
      </c>
      <c r="V52" s="31">
        <v>3000</v>
      </c>
      <c r="W52" s="2" t="s">
        <v>44</v>
      </c>
      <c r="X52" s="61">
        <f>SUM(X53:X112)</f>
        <v>13565755.9604</v>
      </c>
      <c r="Y52" s="61">
        <f>SUM(Y53:Y112)</f>
        <v>5570593.8422799725</v>
      </c>
      <c r="Z52" s="61">
        <f>SUM(Z53:Z112)</f>
        <v>8355890.7634199616</v>
      </c>
      <c r="AA52" s="215">
        <f>SUM(AA53:AA112)</f>
        <v>2873308.34</v>
      </c>
      <c r="AB52" s="388">
        <f>AA52*1.032</f>
        <v>2965254.20688</v>
      </c>
      <c r="AC52" s="31">
        <v>3000</v>
      </c>
      <c r="AD52" s="2" t="s">
        <v>44</v>
      </c>
      <c r="AE52" s="61">
        <f>SUM(AE53:AE112)</f>
        <v>1197819.4552</v>
      </c>
      <c r="AF52" s="61">
        <f>SUM(AF53:AF112)</f>
        <v>159984.12431913795</v>
      </c>
      <c r="AG52" s="61">
        <f>SUM(AG53:AG112)</f>
        <v>224735.52660000001</v>
      </c>
      <c r="AH52" s="215">
        <f>SUM(AH53:AH112)</f>
        <v>96730</v>
      </c>
      <c r="AI52" s="387">
        <f>AH52*1.032</f>
        <v>99825.36</v>
      </c>
      <c r="AJ52" s="31">
        <v>3000</v>
      </c>
      <c r="AK52" s="2" t="s">
        <v>44</v>
      </c>
      <c r="AL52" s="61">
        <f>SUM(AL53:AL112)</f>
        <v>883767.30079999997</v>
      </c>
      <c r="AM52" s="61">
        <f>SUM(AM53:AM112)</f>
        <v>449346.8202126174</v>
      </c>
      <c r="AN52" s="61">
        <f>SUM(AN53:AN112)</f>
        <v>674020.23031892616</v>
      </c>
      <c r="AO52" s="215">
        <f>SUM(AO53:AO112)</f>
        <v>443800</v>
      </c>
      <c r="AP52" s="387">
        <f>AO52*1.032</f>
        <v>458001.60000000003</v>
      </c>
      <c r="AQ52" s="31">
        <v>3000</v>
      </c>
      <c r="AR52" s="2" t="s">
        <v>44</v>
      </c>
      <c r="AS52" s="61">
        <f>SUM(AS53:AS112)</f>
        <v>1266069.8319999999</v>
      </c>
      <c r="AT52" s="61">
        <f>SUM(AT53:AT112)</f>
        <v>507193.61333448306</v>
      </c>
      <c r="AU52" s="61">
        <f>SUM(AU53:AU112)</f>
        <v>760790.42000172462</v>
      </c>
      <c r="AV52" s="215">
        <f>SUM(AV53:AV113)</f>
        <v>183800</v>
      </c>
      <c r="AW52" s="390">
        <f>AV52*1.032</f>
        <v>189681.6</v>
      </c>
      <c r="AX52" s="31">
        <v>3000</v>
      </c>
      <c r="AY52" s="2" t="s">
        <v>44</v>
      </c>
      <c r="AZ52" s="61">
        <f>SUM(AZ53:AZ112)</f>
        <v>850068.64679999999</v>
      </c>
      <c r="BA52" s="61">
        <f>SUM(BA53:BA112)</f>
        <v>93106.798800000004</v>
      </c>
      <c r="BB52" s="61">
        <f>SUM(BB53:BB112)</f>
        <v>139660.19819999998</v>
      </c>
      <c r="BC52" s="215">
        <f>SUM(BC53:BC112)</f>
        <v>636000</v>
      </c>
      <c r="BD52" s="387">
        <f>BC52*1.032</f>
        <v>656352</v>
      </c>
      <c r="BE52" s="31">
        <v>3000</v>
      </c>
      <c r="BF52" s="2" t="s">
        <v>44</v>
      </c>
      <c r="BG52" s="61">
        <f>SUM(BG53:BG112)</f>
        <v>178240.098</v>
      </c>
      <c r="BH52" s="61">
        <f>SUM(BH53:BH112)</f>
        <v>76123.638625344873</v>
      </c>
      <c r="BI52" s="61">
        <f>SUM(BI53:BI112)</f>
        <v>114185.45793801729</v>
      </c>
      <c r="BJ52" s="215">
        <f>SUM(BJ53:BJ112)</f>
        <v>280070</v>
      </c>
      <c r="BK52" s="387">
        <f>BJ52*1.032</f>
        <v>289032.24</v>
      </c>
    </row>
    <row r="53" spans="1:63" s="209" customFormat="1">
      <c r="A53" s="37">
        <v>31101</v>
      </c>
      <c r="B53" s="38" t="s">
        <v>45</v>
      </c>
      <c r="C53" s="62">
        <f t="shared" ref="C53:C84" si="12">J53+Q53+X53+AE53+AL53+AS53+AZ53+BG53</f>
        <v>1600000</v>
      </c>
      <c r="D53" s="62">
        <f t="shared" ref="D53:D84" si="13">K53+R53+Y53+AF53+AM53+AT53+BA53+BH53</f>
        <v>418757</v>
      </c>
      <c r="E53" s="62">
        <f t="shared" ref="E53:E84" si="14">L53+S53+Z53+AG53+AN53+AU53+BB53+BI53</f>
        <v>628135.5</v>
      </c>
      <c r="F53" s="206">
        <f t="shared" ref="F53:F84" si="15">M53+T53+AA53+AH53+AO53+AV53+BC53+BJ53</f>
        <v>552794.86</v>
      </c>
      <c r="G53" s="207"/>
      <c r="H53" s="37">
        <v>31101</v>
      </c>
      <c r="I53" s="38" t="s">
        <v>45</v>
      </c>
      <c r="J53" s="159">
        <v>0</v>
      </c>
      <c r="K53" s="15">
        <v>0</v>
      </c>
      <c r="L53" s="229">
        <f t="shared" ref="L53:L84" si="16">((K53/8)*4)+K53</f>
        <v>0</v>
      </c>
      <c r="M53" s="206"/>
      <c r="N53" s="208"/>
      <c r="O53" s="37">
        <v>31101</v>
      </c>
      <c r="P53" s="38" t="s">
        <v>45</v>
      </c>
      <c r="Q53" s="159"/>
      <c r="R53" s="159">
        <v>0</v>
      </c>
      <c r="S53" s="62">
        <f t="shared" ref="S53:S112" si="17">((R53/8)*4)+R53</f>
        <v>0</v>
      </c>
      <c r="T53" s="206"/>
      <c r="U53" s="207"/>
      <c r="V53" s="37">
        <v>31101</v>
      </c>
      <c r="W53" s="38" t="s">
        <v>45</v>
      </c>
      <c r="X53" s="62">
        <v>1600000</v>
      </c>
      <c r="Y53" s="159">
        <v>418757</v>
      </c>
      <c r="Z53" s="62">
        <f t="shared" ref="Z53:Z112" si="18">((Y53/8)*4)+Y53</f>
        <v>628135.5</v>
      </c>
      <c r="AA53" s="206">
        <f>700000+52511.86-249717</f>
        <v>502794.86</v>
      </c>
      <c r="AB53" s="388">
        <f>AB52+BK52</f>
        <v>3254286.4468799997</v>
      </c>
      <c r="AC53" s="37">
        <v>31101</v>
      </c>
      <c r="AD53" s="38" t="s">
        <v>45</v>
      </c>
      <c r="AE53" s="62">
        <v>0</v>
      </c>
      <c r="AF53" s="159">
        <v>0</v>
      </c>
      <c r="AG53" s="62">
        <f t="shared" ref="AG53:AG112" si="19">((AF53/8)*4)+AF53</f>
        <v>0</v>
      </c>
      <c r="AH53" s="206"/>
      <c r="AI53" s="388">
        <f>AI52+AP52</f>
        <v>557826.96000000008</v>
      </c>
      <c r="AJ53" s="37">
        <v>31101</v>
      </c>
      <c r="AK53" s="38" t="s">
        <v>45</v>
      </c>
      <c r="AL53" s="62">
        <v>0</v>
      </c>
      <c r="AM53" s="159">
        <v>0</v>
      </c>
      <c r="AN53" s="62">
        <f t="shared" ref="AN53:AN112" si="20">((AM53/8)*4)+AM53</f>
        <v>0</v>
      </c>
      <c r="AO53" s="206"/>
      <c r="AP53" s="207">
        <f>AO53*1.032</f>
        <v>0</v>
      </c>
      <c r="AQ53" s="37">
        <v>31101</v>
      </c>
      <c r="AR53" s="38" t="s">
        <v>45</v>
      </c>
      <c r="AS53" s="62">
        <v>0</v>
      </c>
      <c r="AT53" s="159">
        <v>0</v>
      </c>
      <c r="AU53" s="62">
        <f t="shared" ref="AU53:AU112" si="21">((AT53/8)*4)+AT53</f>
        <v>0</v>
      </c>
      <c r="AV53" s="206"/>
      <c r="AW53" s="210"/>
      <c r="AX53" s="37">
        <v>31101</v>
      </c>
      <c r="AY53" s="38" t="s">
        <v>45</v>
      </c>
      <c r="AZ53" s="62">
        <v>0</v>
      </c>
      <c r="BA53" s="159">
        <v>0</v>
      </c>
      <c r="BB53" s="62">
        <f t="shared" ref="BB53:BB112" si="22">((BA53/8)*4)+BA53</f>
        <v>0</v>
      </c>
      <c r="BC53" s="206"/>
      <c r="BD53" s="207"/>
      <c r="BE53" s="37">
        <v>31101</v>
      </c>
      <c r="BF53" s="38" t="s">
        <v>45</v>
      </c>
      <c r="BG53" s="62">
        <v>0</v>
      </c>
      <c r="BH53" s="159">
        <v>0</v>
      </c>
      <c r="BI53" s="62">
        <f t="shared" ref="BI53:BI112" si="23">((BH53/8)*4)+BH53</f>
        <v>0</v>
      </c>
      <c r="BJ53" s="206">
        <v>50000</v>
      </c>
      <c r="BK53" s="207"/>
    </row>
    <row r="54" spans="1:63" s="209" customFormat="1">
      <c r="A54" s="37">
        <v>31201</v>
      </c>
      <c r="B54" s="38" t="s">
        <v>46</v>
      </c>
      <c r="C54" s="62">
        <f t="shared" si="12"/>
        <v>0</v>
      </c>
      <c r="D54" s="62">
        <f t="shared" si="13"/>
        <v>0</v>
      </c>
      <c r="E54" s="62">
        <f t="shared" si="14"/>
        <v>0</v>
      </c>
      <c r="F54" s="206">
        <f t="shared" si="15"/>
        <v>0</v>
      </c>
      <c r="G54" s="207"/>
      <c r="H54" s="37">
        <v>31201</v>
      </c>
      <c r="I54" s="38" t="s">
        <v>46</v>
      </c>
      <c r="J54" s="159">
        <v>0</v>
      </c>
      <c r="K54" s="15">
        <v>0</v>
      </c>
      <c r="L54" s="229">
        <f t="shared" si="16"/>
        <v>0</v>
      </c>
      <c r="M54" s="206"/>
      <c r="N54" s="208"/>
      <c r="O54" s="37">
        <v>31201</v>
      </c>
      <c r="P54" s="38" t="s">
        <v>46</v>
      </c>
      <c r="Q54" s="159"/>
      <c r="R54" s="159">
        <v>0</v>
      </c>
      <c r="S54" s="62">
        <f t="shared" si="17"/>
        <v>0</v>
      </c>
      <c r="T54" s="206"/>
      <c r="V54" s="37">
        <v>31201</v>
      </c>
      <c r="W54" s="38" t="s">
        <v>46</v>
      </c>
      <c r="X54" s="62">
        <v>0</v>
      </c>
      <c r="Y54" s="159">
        <v>0</v>
      </c>
      <c r="Z54" s="62">
        <f t="shared" si="18"/>
        <v>0</v>
      </c>
      <c r="AA54" s="206"/>
      <c r="AB54" s="207"/>
      <c r="AC54" s="37">
        <v>31201</v>
      </c>
      <c r="AD54" s="38" t="s">
        <v>46</v>
      </c>
      <c r="AE54" s="62">
        <v>0</v>
      </c>
      <c r="AF54" s="159">
        <v>0</v>
      </c>
      <c r="AG54" s="62">
        <f t="shared" si="19"/>
        <v>0</v>
      </c>
      <c r="AH54" s="206"/>
      <c r="AI54" s="207">
        <v>110423999.99999999</v>
      </c>
      <c r="AJ54" s="37">
        <v>31201</v>
      </c>
      <c r="AK54" s="38" t="s">
        <v>46</v>
      </c>
      <c r="AL54" s="62">
        <v>0</v>
      </c>
      <c r="AM54" s="159">
        <v>0</v>
      </c>
      <c r="AN54" s="62">
        <f t="shared" si="20"/>
        <v>0</v>
      </c>
      <c r="AO54" s="206"/>
      <c r="AQ54" s="37">
        <v>31201</v>
      </c>
      <c r="AR54" s="38" t="s">
        <v>46</v>
      </c>
      <c r="AS54" s="62">
        <v>0</v>
      </c>
      <c r="AT54" s="159">
        <v>0</v>
      </c>
      <c r="AU54" s="62">
        <f t="shared" si="21"/>
        <v>0</v>
      </c>
      <c r="AV54" s="206"/>
      <c r="AW54" s="210"/>
      <c r="AX54" s="37">
        <v>31201</v>
      </c>
      <c r="AY54" s="38" t="s">
        <v>46</v>
      </c>
      <c r="AZ54" s="62">
        <v>0</v>
      </c>
      <c r="BA54" s="159">
        <v>0</v>
      </c>
      <c r="BB54" s="62">
        <f t="shared" si="22"/>
        <v>0</v>
      </c>
      <c r="BC54" s="206"/>
      <c r="BE54" s="37">
        <v>31201</v>
      </c>
      <c r="BF54" s="38" t="s">
        <v>46</v>
      </c>
      <c r="BG54" s="62">
        <v>0</v>
      </c>
      <c r="BH54" s="159">
        <v>0</v>
      </c>
      <c r="BI54" s="62">
        <f t="shared" si="23"/>
        <v>0</v>
      </c>
      <c r="BJ54" s="206"/>
    </row>
    <row r="55" spans="1:63" s="209" customFormat="1">
      <c r="A55" s="37">
        <v>31301</v>
      </c>
      <c r="B55" s="38" t="s">
        <v>47</v>
      </c>
      <c r="C55" s="62">
        <f t="shared" si="12"/>
        <v>42000</v>
      </c>
      <c r="D55" s="62">
        <f t="shared" si="13"/>
        <v>23859</v>
      </c>
      <c r="E55" s="62">
        <f t="shared" si="14"/>
        <v>35788.5</v>
      </c>
      <c r="F55" s="206">
        <f t="shared" si="15"/>
        <v>32752</v>
      </c>
      <c r="G55" s="207"/>
      <c r="H55" s="37">
        <v>31301</v>
      </c>
      <c r="I55" s="38" t="s">
        <v>47</v>
      </c>
      <c r="J55" s="159">
        <v>0</v>
      </c>
      <c r="K55" s="15">
        <v>0</v>
      </c>
      <c r="L55" s="229">
        <f t="shared" si="16"/>
        <v>0</v>
      </c>
      <c r="M55" s="206"/>
      <c r="N55" s="208"/>
      <c r="O55" s="37">
        <v>31301</v>
      </c>
      <c r="P55" s="38" t="s">
        <v>47</v>
      </c>
      <c r="Q55" s="159"/>
      <c r="R55" s="159">
        <v>0</v>
      </c>
      <c r="S55" s="62">
        <f t="shared" si="17"/>
        <v>0</v>
      </c>
      <c r="T55" s="206"/>
      <c r="V55" s="37">
        <v>31301</v>
      </c>
      <c r="W55" s="38" t="s">
        <v>47</v>
      </c>
      <c r="X55" s="62">
        <v>42000</v>
      </c>
      <c r="Y55" s="159">
        <v>23859</v>
      </c>
      <c r="Z55" s="62">
        <f t="shared" si="18"/>
        <v>35788.5</v>
      </c>
      <c r="AA55" s="206">
        <f>36000-18248</f>
        <v>17752</v>
      </c>
      <c r="AB55" s="207"/>
      <c r="AC55" s="37">
        <v>31301</v>
      </c>
      <c r="AD55" s="38" t="s">
        <v>47</v>
      </c>
      <c r="AE55" s="62">
        <v>0</v>
      </c>
      <c r="AF55" s="159">
        <v>0</v>
      </c>
      <c r="AG55" s="62">
        <f t="shared" si="19"/>
        <v>0</v>
      </c>
      <c r="AH55" s="206"/>
      <c r="AI55" s="207"/>
      <c r="AJ55" s="37">
        <v>31301</v>
      </c>
      <c r="AK55" s="38" t="s">
        <v>47</v>
      </c>
      <c r="AL55" s="62">
        <v>0</v>
      </c>
      <c r="AM55" s="159">
        <v>0</v>
      </c>
      <c r="AN55" s="62">
        <f t="shared" si="20"/>
        <v>0</v>
      </c>
      <c r="AO55" s="206"/>
      <c r="AQ55" s="37">
        <v>31301</v>
      </c>
      <c r="AR55" s="38" t="s">
        <v>47</v>
      </c>
      <c r="AS55" s="62">
        <v>0</v>
      </c>
      <c r="AT55" s="159">
        <v>0</v>
      </c>
      <c r="AU55" s="62">
        <f t="shared" si="21"/>
        <v>0</v>
      </c>
      <c r="AV55" s="206"/>
      <c r="AW55" s="210"/>
      <c r="AX55" s="37">
        <v>31301</v>
      </c>
      <c r="AY55" s="38" t="s">
        <v>47</v>
      </c>
      <c r="AZ55" s="62">
        <v>0</v>
      </c>
      <c r="BA55" s="159">
        <v>0</v>
      </c>
      <c r="BB55" s="62">
        <f t="shared" si="22"/>
        <v>0</v>
      </c>
      <c r="BC55" s="206"/>
      <c r="BE55" s="37">
        <v>31301</v>
      </c>
      <c r="BF55" s="38" t="s">
        <v>47</v>
      </c>
      <c r="BG55" s="62">
        <v>0</v>
      </c>
      <c r="BH55" s="159">
        <v>0</v>
      </c>
      <c r="BI55" s="62">
        <f t="shared" si="23"/>
        <v>0</v>
      </c>
      <c r="BJ55" s="206">
        <v>15000</v>
      </c>
    </row>
    <row r="56" spans="1:63" s="209" customFormat="1">
      <c r="A56" s="37">
        <v>31401</v>
      </c>
      <c r="B56" s="38" t="s">
        <v>48</v>
      </c>
      <c r="C56" s="62">
        <f t="shared" si="12"/>
        <v>150000</v>
      </c>
      <c r="D56" s="62">
        <f t="shared" si="13"/>
        <v>133399.84</v>
      </c>
      <c r="E56" s="62">
        <f t="shared" si="14"/>
        <v>200099.76</v>
      </c>
      <c r="F56" s="206">
        <f t="shared" si="15"/>
        <v>450000</v>
      </c>
      <c r="G56" s="207"/>
      <c r="H56" s="37">
        <v>31401</v>
      </c>
      <c r="I56" s="38" t="s">
        <v>48</v>
      </c>
      <c r="J56" s="159">
        <v>0</v>
      </c>
      <c r="K56" s="15">
        <v>0</v>
      </c>
      <c r="L56" s="229">
        <f t="shared" si="16"/>
        <v>0</v>
      </c>
      <c r="M56" s="206"/>
      <c r="N56" s="208"/>
      <c r="O56" s="37">
        <v>31401</v>
      </c>
      <c r="P56" s="38" t="s">
        <v>48</v>
      </c>
      <c r="Q56" s="159"/>
      <c r="R56" s="159">
        <v>0</v>
      </c>
      <c r="S56" s="62">
        <f t="shared" si="17"/>
        <v>0</v>
      </c>
      <c r="T56" s="206"/>
      <c r="V56" s="37">
        <v>31401</v>
      </c>
      <c r="W56" s="38" t="s">
        <v>48</v>
      </c>
      <c r="X56" s="62">
        <v>150000</v>
      </c>
      <c r="Y56" s="159">
        <v>133399.84</v>
      </c>
      <c r="Z56" s="62">
        <f t="shared" si="18"/>
        <v>200099.76</v>
      </c>
      <c r="AA56" s="206">
        <v>400000</v>
      </c>
      <c r="AB56" s="207"/>
      <c r="AC56" s="37">
        <v>31401</v>
      </c>
      <c r="AD56" s="38" t="s">
        <v>48</v>
      </c>
      <c r="AE56" s="62">
        <v>0</v>
      </c>
      <c r="AF56" s="159">
        <v>0</v>
      </c>
      <c r="AG56" s="62">
        <f t="shared" si="19"/>
        <v>0</v>
      </c>
      <c r="AH56" s="206"/>
      <c r="AJ56" s="37">
        <v>31401</v>
      </c>
      <c r="AK56" s="38" t="s">
        <v>48</v>
      </c>
      <c r="AL56" s="62">
        <v>0</v>
      </c>
      <c r="AM56" s="159">
        <v>0</v>
      </c>
      <c r="AN56" s="62">
        <f t="shared" si="20"/>
        <v>0</v>
      </c>
      <c r="AO56" s="206"/>
      <c r="AQ56" s="37">
        <v>31401</v>
      </c>
      <c r="AR56" s="38" t="s">
        <v>48</v>
      </c>
      <c r="AS56" s="62">
        <v>0</v>
      </c>
      <c r="AT56" s="159">
        <v>0</v>
      </c>
      <c r="AU56" s="62">
        <f t="shared" si="21"/>
        <v>0</v>
      </c>
      <c r="AV56" s="206"/>
      <c r="AW56" s="210"/>
      <c r="AX56" s="37">
        <v>31401</v>
      </c>
      <c r="AY56" s="38" t="s">
        <v>48</v>
      </c>
      <c r="AZ56" s="62">
        <v>0</v>
      </c>
      <c r="BA56" s="159">
        <v>0</v>
      </c>
      <c r="BB56" s="62">
        <f t="shared" si="22"/>
        <v>0</v>
      </c>
      <c r="BC56" s="206"/>
      <c r="BE56" s="37">
        <v>31401</v>
      </c>
      <c r="BF56" s="38" t="s">
        <v>48</v>
      </c>
      <c r="BG56" s="62">
        <v>0</v>
      </c>
      <c r="BH56" s="159">
        <v>0</v>
      </c>
      <c r="BI56" s="62">
        <f t="shared" si="23"/>
        <v>0</v>
      </c>
      <c r="BJ56" s="206">
        <v>50000</v>
      </c>
    </row>
    <row r="57" spans="1:63" s="209" customFormat="1">
      <c r="A57" s="37">
        <v>31501</v>
      </c>
      <c r="B57" s="38" t="s">
        <v>49</v>
      </c>
      <c r="C57" s="62">
        <f t="shared" si="12"/>
        <v>2000</v>
      </c>
      <c r="D57" s="62">
        <f t="shared" si="13"/>
        <v>1005.65</v>
      </c>
      <c r="E57" s="62">
        <f t="shared" si="14"/>
        <v>1508.4749999999999</v>
      </c>
      <c r="F57" s="206">
        <f t="shared" si="15"/>
        <v>0</v>
      </c>
      <c r="G57" s="211"/>
      <c r="H57" s="37">
        <v>31501</v>
      </c>
      <c r="I57" s="38" t="s">
        <v>49</v>
      </c>
      <c r="J57" s="159">
        <v>0</v>
      </c>
      <c r="K57" s="15">
        <v>0</v>
      </c>
      <c r="L57" s="229">
        <f t="shared" si="16"/>
        <v>0</v>
      </c>
      <c r="M57" s="206"/>
      <c r="N57" s="208"/>
      <c r="O57" s="37">
        <v>31501</v>
      </c>
      <c r="P57" s="38" t="s">
        <v>49</v>
      </c>
      <c r="Q57" s="159"/>
      <c r="R57" s="159">
        <v>0</v>
      </c>
      <c r="S57" s="62">
        <f t="shared" si="17"/>
        <v>0</v>
      </c>
      <c r="T57" s="206"/>
      <c r="V57" s="37">
        <v>31501</v>
      </c>
      <c r="W57" s="38" t="s">
        <v>49</v>
      </c>
      <c r="X57" s="62">
        <v>2000</v>
      </c>
      <c r="Y57" s="159">
        <v>1005.65</v>
      </c>
      <c r="Z57" s="62">
        <f t="shared" si="18"/>
        <v>1508.4749999999999</v>
      </c>
      <c r="AA57" s="206">
        <v>0</v>
      </c>
      <c r="AB57" s="207"/>
      <c r="AC57" s="37">
        <v>31501</v>
      </c>
      <c r="AD57" s="38" t="s">
        <v>49</v>
      </c>
      <c r="AE57" s="62">
        <v>0</v>
      </c>
      <c r="AF57" s="159">
        <v>0</v>
      </c>
      <c r="AG57" s="62">
        <f t="shared" si="19"/>
        <v>0</v>
      </c>
      <c r="AH57" s="206"/>
      <c r="AJ57" s="37">
        <v>31501</v>
      </c>
      <c r="AK57" s="38" t="s">
        <v>49</v>
      </c>
      <c r="AL57" s="62">
        <v>0</v>
      </c>
      <c r="AM57" s="159">
        <v>0</v>
      </c>
      <c r="AN57" s="62">
        <f t="shared" si="20"/>
        <v>0</v>
      </c>
      <c r="AO57" s="206"/>
      <c r="AQ57" s="37">
        <v>31501</v>
      </c>
      <c r="AR57" s="38" t="s">
        <v>49</v>
      </c>
      <c r="AS57" s="62">
        <v>0</v>
      </c>
      <c r="AT57" s="159">
        <v>0</v>
      </c>
      <c r="AU57" s="62">
        <f t="shared" si="21"/>
        <v>0</v>
      </c>
      <c r="AV57" s="206"/>
      <c r="AW57" s="210"/>
      <c r="AX57" s="37">
        <v>31501</v>
      </c>
      <c r="AY57" s="38" t="s">
        <v>49</v>
      </c>
      <c r="AZ57" s="62">
        <v>0</v>
      </c>
      <c r="BA57" s="159">
        <v>0</v>
      </c>
      <c r="BB57" s="62">
        <f t="shared" si="22"/>
        <v>0</v>
      </c>
      <c r="BC57" s="206"/>
      <c r="BE57" s="37">
        <v>31501</v>
      </c>
      <c r="BF57" s="38" t="s">
        <v>49</v>
      </c>
      <c r="BG57" s="62">
        <v>0</v>
      </c>
      <c r="BH57" s="159">
        <v>0</v>
      </c>
      <c r="BI57" s="62">
        <f t="shared" si="23"/>
        <v>0</v>
      </c>
      <c r="BJ57" s="206"/>
    </row>
    <row r="58" spans="1:63" s="209" customFormat="1" ht="33.75">
      <c r="A58" s="37">
        <v>31601</v>
      </c>
      <c r="B58" s="38" t="s">
        <v>50</v>
      </c>
      <c r="C58" s="62">
        <f t="shared" si="12"/>
        <v>0</v>
      </c>
      <c r="D58" s="62">
        <f t="shared" si="13"/>
        <v>0</v>
      </c>
      <c r="E58" s="62">
        <f t="shared" si="14"/>
        <v>0</v>
      </c>
      <c r="F58" s="206">
        <f t="shared" si="15"/>
        <v>0</v>
      </c>
      <c r="G58" s="207"/>
      <c r="H58" s="37">
        <v>31601</v>
      </c>
      <c r="I58" s="38" t="s">
        <v>50</v>
      </c>
      <c r="J58" s="159">
        <v>0</v>
      </c>
      <c r="K58" s="15">
        <v>0</v>
      </c>
      <c r="L58" s="229">
        <f t="shared" si="16"/>
        <v>0</v>
      </c>
      <c r="M58" s="206"/>
      <c r="N58" s="208"/>
      <c r="O58" s="37">
        <v>31601</v>
      </c>
      <c r="P58" s="38" t="s">
        <v>50</v>
      </c>
      <c r="Q58" s="159"/>
      <c r="R58" s="159">
        <v>0</v>
      </c>
      <c r="S58" s="62">
        <f t="shared" si="17"/>
        <v>0</v>
      </c>
      <c r="T58" s="206"/>
      <c r="V58" s="37">
        <v>31601</v>
      </c>
      <c r="W58" s="38" t="s">
        <v>50</v>
      </c>
      <c r="X58" s="62">
        <v>0</v>
      </c>
      <c r="Y58" s="159">
        <v>0</v>
      </c>
      <c r="Z58" s="62">
        <f t="shared" si="18"/>
        <v>0</v>
      </c>
      <c r="AA58" s="206"/>
      <c r="AB58" s="207"/>
      <c r="AC58" s="37">
        <v>31601</v>
      </c>
      <c r="AD58" s="38" t="s">
        <v>50</v>
      </c>
      <c r="AE58" s="62">
        <v>0</v>
      </c>
      <c r="AF58" s="159">
        <v>0</v>
      </c>
      <c r="AG58" s="62">
        <f t="shared" si="19"/>
        <v>0</v>
      </c>
      <c r="AH58" s="206"/>
      <c r="AJ58" s="37">
        <v>31601</v>
      </c>
      <c r="AK58" s="38" t="s">
        <v>50</v>
      </c>
      <c r="AL58" s="62">
        <v>0</v>
      </c>
      <c r="AM58" s="159">
        <v>0</v>
      </c>
      <c r="AN58" s="62">
        <f t="shared" si="20"/>
        <v>0</v>
      </c>
      <c r="AO58" s="206"/>
      <c r="AQ58" s="37">
        <v>31601</v>
      </c>
      <c r="AR58" s="38" t="s">
        <v>50</v>
      </c>
      <c r="AS58" s="62">
        <v>0</v>
      </c>
      <c r="AT58" s="159">
        <v>0</v>
      </c>
      <c r="AU58" s="62">
        <f t="shared" si="21"/>
        <v>0</v>
      </c>
      <c r="AV58" s="206"/>
      <c r="AW58" s="210"/>
      <c r="AX58" s="37">
        <v>31601</v>
      </c>
      <c r="AY58" s="38" t="s">
        <v>50</v>
      </c>
      <c r="AZ58" s="62">
        <v>0</v>
      </c>
      <c r="BA58" s="159">
        <v>0</v>
      </c>
      <c r="BB58" s="62">
        <f t="shared" si="22"/>
        <v>0</v>
      </c>
      <c r="BC58" s="206"/>
      <c r="BE58" s="37">
        <v>31601</v>
      </c>
      <c r="BF58" s="38" t="s">
        <v>50</v>
      </c>
      <c r="BG58" s="62">
        <v>0</v>
      </c>
      <c r="BH58" s="159">
        <v>0</v>
      </c>
      <c r="BI58" s="62">
        <f t="shared" si="23"/>
        <v>0</v>
      </c>
      <c r="BJ58" s="206"/>
    </row>
    <row r="59" spans="1:63" s="209" customFormat="1" ht="56.25">
      <c r="A59" s="37">
        <v>31701</v>
      </c>
      <c r="B59" s="38" t="s">
        <v>51</v>
      </c>
      <c r="C59" s="62">
        <f t="shared" si="12"/>
        <v>50000</v>
      </c>
      <c r="D59" s="62">
        <f t="shared" si="13"/>
        <v>29598.590000000004</v>
      </c>
      <c r="E59" s="62">
        <f t="shared" si="14"/>
        <v>44397.885000000009</v>
      </c>
      <c r="F59" s="206">
        <f t="shared" si="15"/>
        <v>80000</v>
      </c>
      <c r="H59" s="37">
        <v>31701</v>
      </c>
      <c r="I59" s="38" t="s">
        <v>51</v>
      </c>
      <c r="J59" s="159">
        <v>0</v>
      </c>
      <c r="K59" s="15">
        <v>0</v>
      </c>
      <c r="L59" s="229">
        <f t="shared" si="16"/>
        <v>0</v>
      </c>
      <c r="M59" s="206"/>
      <c r="N59" s="208"/>
      <c r="O59" s="37">
        <v>31701</v>
      </c>
      <c r="P59" s="38" t="s">
        <v>51</v>
      </c>
      <c r="Q59" s="159"/>
      <c r="R59" s="159">
        <v>0</v>
      </c>
      <c r="S59" s="62">
        <f t="shared" si="17"/>
        <v>0</v>
      </c>
      <c r="T59" s="206"/>
      <c r="V59" s="37">
        <v>31701</v>
      </c>
      <c r="W59" s="38" t="s">
        <v>51</v>
      </c>
      <c r="X59" s="62">
        <v>50000</v>
      </c>
      <c r="Y59" s="159">
        <v>29598.590000000004</v>
      </c>
      <c r="Z59" s="62">
        <f t="shared" si="18"/>
        <v>44397.885000000009</v>
      </c>
      <c r="AA59" s="206">
        <v>80000</v>
      </c>
      <c r="AB59" s="207"/>
      <c r="AC59" s="37">
        <v>31701</v>
      </c>
      <c r="AD59" s="38" t="s">
        <v>51</v>
      </c>
      <c r="AE59" s="62">
        <v>0</v>
      </c>
      <c r="AF59" s="159">
        <v>0</v>
      </c>
      <c r="AG59" s="62">
        <f t="shared" si="19"/>
        <v>0</v>
      </c>
      <c r="AH59" s="206"/>
      <c r="AJ59" s="37">
        <v>31701</v>
      </c>
      <c r="AK59" s="38" t="s">
        <v>51</v>
      </c>
      <c r="AL59" s="62">
        <v>0</v>
      </c>
      <c r="AM59" s="159">
        <v>0</v>
      </c>
      <c r="AN59" s="62">
        <f t="shared" si="20"/>
        <v>0</v>
      </c>
      <c r="AO59" s="206"/>
      <c r="AQ59" s="37">
        <v>31701</v>
      </c>
      <c r="AR59" s="38" t="s">
        <v>51</v>
      </c>
      <c r="AS59" s="62">
        <v>0</v>
      </c>
      <c r="AT59" s="159">
        <v>0</v>
      </c>
      <c r="AU59" s="62">
        <f t="shared" si="21"/>
        <v>0</v>
      </c>
      <c r="AV59" s="206"/>
      <c r="AW59" s="210"/>
      <c r="AX59" s="37">
        <v>31701</v>
      </c>
      <c r="AY59" s="38" t="s">
        <v>51</v>
      </c>
      <c r="AZ59" s="62">
        <v>0</v>
      </c>
      <c r="BA59" s="159">
        <v>0</v>
      </c>
      <c r="BB59" s="62">
        <f t="shared" si="22"/>
        <v>0</v>
      </c>
      <c r="BC59" s="206"/>
      <c r="BE59" s="37">
        <v>31701</v>
      </c>
      <c r="BF59" s="38" t="s">
        <v>51</v>
      </c>
      <c r="BG59" s="62">
        <v>0</v>
      </c>
      <c r="BH59" s="159">
        <v>0</v>
      </c>
      <c r="BI59" s="62">
        <f t="shared" si="23"/>
        <v>0</v>
      </c>
      <c r="BJ59" s="206"/>
    </row>
    <row r="60" spans="1:63" s="209" customFormat="1">
      <c r="A60" s="37">
        <v>31801</v>
      </c>
      <c r="B60" s="38" t="s">
        <v>52</v>
      </c>
      <c r="C60" s="62">
        <f t="shared" si="12"/>
        <v>37700</v>
      </c>
      <c r="D60" s="62">
        <f t="shared" si="13"/>
        <v>13170.4432</v>
      </c>
      <c r="E60" s="62">
        <f t="shared" si="14"/>
        <v>19755.664800000002</v>
      </c>
      <c r="F60" s="206">
        <f t="shared" si="15"/>
        <v>26812</v>
      </c>
      <c r="H60" s="37">
        <v>31801</v>
      </c>
      <c r="I60" s="38" t="s">
        <v>52</v>
      </c>
      <c r="J60" s="159">
        <v>4000</v>
      </c>
      <c r="K60" s="15">
        <v>7315.3792870674797</v>
      </c>
      <c r="L60" s="229">
        <f t="shared" si="16"/>
        <v>10973.068930601219</v>
      </c>
      <c r="M60" s="206">
        <v>10000</v>
      </c>
      <c r="N60" s="208"/>
      <c r="O60" s="37">
        <v>31801</v>
      </c>
      <c r="P60" s="38" t="s">
        <v>52</v>
      </c>
      <c r="Q60" s="159">
        <v>1200</v>
      </c>
      <c r="R60" s="159">
        <v>0</v>
      </c>
      <c r="S60" s="62">
        <f t="shared" si="17"/>
        <v>0</v>
      </c>
      <c r="T60" s="206">
        <v>1272</v>
      </c>
      <c r="V60" s="37">
        <v>31801</v>
      </c>
      <c r="W60" s="38" t="s">
        <v>52</v>
      </c>
      <c r="X60" s="62">
        <v>2000</v>
      </c>
      <c r="Y60" s="159">
        <v>1148.9671228271163</v>
      </c>
      <c r="Z60" s="62">
        <f t="shared" si="18"/>
        <v>1723.4506842406745</v>
      </c>
      <c r="AA60" s="206">
        <v>2000</v>
      </c>
      <c r="AB60" s="207"/>
      <c r="AC60" s="37">
        <v>31801</v>
      </c>
      <c r="AD60" s="38" t="s">
        <v>52</v>
      </c>
      <c r="AE60" s="62">
        <v>3500</v>
      </c>
      <c r="AF60" s="159">
        <v>2033.9208000000001</v>
      </c>
      <c r="AG60" s="62">
        <f t="shared" si="19"/>
        <v>3050.8812000000003</v>
      </c>
      <c r="AH60" s="206">
        <v>3710</v>
      </c>
      <c r="AJ60" s="37">
        <v>31801</v>
      </c>
      <c r="AK60" s="38" t="s">
        <v>52</v>
      </c>
      <c r="AL60" s="62">
        <v>12000</v>
      </c>
      <c r="AM60" s="159">
        <v>891.23381261739542</v>
      </c>
      <c r="AN60" s="62">
        <f t="shared" si="20"/>
        <v>1336.8507189260931</v>
      </c>
      <c r="AO60" s="206">
        <v>2000</v>
      </c>
      <c r="AQ60" s="37">
        <v>31801</v>
      </c>
      <c r="AR60" s="38" t="s">
        <v>52</v>
      </c>
      <c r="AS60" s="62">
        <v>5000</v>
      </c>
      <c r="AT60" s="159">
        <v>889.43577748800828</v>
      </c>
      <c r="AU60" s="62">
        <f t="shared" si="21"/>
        <v>1334.1536662320125</v>
      </c>
      <c r="AV60" s="206">
        <v>5300</v>
      </c>
      <c r="AW60" s="210"/>
      <c r="AX60" s="37">
        <v>31801</v>
      </c>
      <c r="AY60" s="38" t="s">
        <v>52</v>
      </c>
      <c r="AZ60" s="62">
        <v>10000</v>
      </c>
      <c r="BA60" s="159">
        <v>891.50639999999987</v>
      </c>
      <c r="BB60" s="62">
        <f t="shared" si="22"/>
        <v>1337.2595999999999</v>
      </c>
      <c r="BC60" s="206">
        <v>2000</v>
      </c>
      <c r="BE60" s="37">
        <v>31801</v>
      </c>
      <c r="BF60" s="38" t="s">
        <v>52</v>
      </c>
      <c r="BG60" s="62">
        <v>0</v>
      </c>
      <c r="BH60" s="159">
        <v>0</v>
      </c>
      <c r="BI60" s="62">
        <f t="shared" si="23"/>
        <v>0</v>
      </c>
      <c r="BJ60" s="206">
        <v>530</v>
      </c>
    </row>
    <row r="61" spans="1:63" s="209" customFormat="1" ht="22.5">
      <c r="A61" s="37">
        <v>32101</v>
      </c>
      <c r="B61" s="38" t="s">
        <v>53</v>
      </c>
      <c r="C61" s="62">
        <f t="shared" si="12"/>
        <v>225000</v>
      </c>
      <c r="D61" s="62">
        <f t="shared" si="13"/>
        <v>0</v>
      </c>
      <c r="E61" s="62">
        <f t="shared" si="14"/>
        <v>0</v>
      </c>
      <c r="F61" s="206">
        <f t="shared" si="15"/>
        <v>0</v>
      </c>
      <c r="H61" s="37">
        <v>32101</v>
      </c>
      <c r="I61" s="38" t="s">
        <v>53</v>
      </c>
      <c r="J61" s="159">
        <v>0</v>
      </c>
      <c r="K61" s="15">
        <v>0</v>
      </c>
      <c r="L61" s="229">
        <f t="shared" si="16"/>
        <v>0</v>
      </c>
      <c r="M61" s="206"/>
      <c r="N61" s="208"/>
      <c r="O61" s="37">
        <v>32101</v>
      </c>
      <c r="P61" s="38" t="s">
        <v>53</v>
      </c>
      <c r="Q61" s="159"/>
      <c r="R61" s="159">
        <v>0</v>
      </c>
      <c r="S61" s="62">
        <f t="shared" si="17"/>
        <v>0</v>
      </c>
      <c r="T61" s="206"/>
      <c r="V61" s="37">
        <v>32101</v>
      </c>
      <c r="W61" s="38" t="s">
        <v>53</v>
      </c>
      <c r="X61" s="62">
        <v>225000</v>
      </c>
      <c r="Y61" s="159">
        <v>0</v>
      </c>
      <c r="Z61" s="62">
        <f t="shared" si="18"/>
        <v>0</v>
      </c>
      <c r="AA61" s="206">
        <v>0</v>
      </c>
      <c r="AB61" s="207"/>
      <c r="AC61" s="37">
        <v>32101</v>
      </c>
      <c r="AD61" s="38" t="s">
        <v>53</v>
      </c>
      <c r="AE61" s="62">
        <v>0</v>
      </c>
      <c r="AF61" s="159">
        <v>0</v>
      </c>
      <c r="AG61" s="62">
        <f t="shared" si="19"/>
        <v>0</v>
      </c>
      <c r="AH61" s="206">
        <v>0</v>
      </c>
      <c r="AJ61" s="37">
        <v>32101</v>
      </c>
      <c r="AK61" s="38" t="s">
        <v>53</v>
      </c>
      <c r="AL61" s="62">
        <v>0</v>
      </c>
      <c r="AM61" s="159">
        <v>0</v>
      </c>
      <c r="AN61" s="62">
        <f t="shared" si="20"/>
        <v>0</v>
      </c>
      <c r="AO61" s="206"/>
      <c r="AQ61" s="37">
        <v>32101</v>
      </c>
      <c r="AR61" s="38" t="s">
        <v>53</v>
      </c>
      <c r="AS61" s="62">
        <v>0</v>
      </c>
      <c r="AT61" s="159">
        <v>0</v>
      </c>
      <c r="AU61" s="62">
        <f t="shared" si="21"/>
        <v>0</v>
      </c>
      <c r="AV61" s="206"/>
      <c r="AW61" s="210"/>
      <c r="AX61" s="37">
        <v>32101</v>
      </c>
      <c r="AY61" s="38" t="s">
        <v>53</v>
      </c>
      <c r="AZ61" s="62">
        <v>0</v>
      </c>
      <c r="BA61" s="159">
        <v>0</v>
      </c>
      <c r="BB61" s="62">
        <f t="shared" si="22"/>
        <v>0</v>
      </c>
      <c r="BC61" s="206"/>
      <c r="BE61" s="37">
        <v>32101</v>
      </c>
      <c r="BF61" s="38" t="s">
        <v>53</v>
      </c>
      <c r="BG61" s="62">
        <v>0</v>
      </c>
      <c r="BH61" s="159">
        <v>0</v>
      </c>
      <c r="BI61" s="62">
        <f t="shared" si="23"/>
        <v>0</v>
      </c>
      <c r="BJ61" s="206"/>
    </row>
    <row r="62" spans="1:63" s="209" customFormat="1" ht="22.5">
      <c r="A62" s="37">
        <v>32201</v>
      </c>
      <c r="B62" s="38" t="s">
        <v>54</v>
      </c>
      <c r="C62" s="62">
        <f t="shared" si="12"/>
        <v>650000</v>
      </c>
      <c r="D62" s="62">
        <f t="shared" si="13"/>
        <v>416096.64000000007</v>
      </c>
      <c r="E62" s="62">
        <f t="shared" si="14"/>
        <v>624144.96000000008</v>
      </c>
      <c r="F62" s="206">
        <f t="shared" si="15"/>
        <v>0</v>
      </c>
      <c r="H62" s="37">
        <v>32201</v>
      </c>
      <c r="I62" s="38" t="s">
        <v>54</v>
      </c>
      <c r="J62" s="159">
        <v>0</v>
      </c>
      <c r="K62" s="15">
        <v>0</v>
      </c>
      <c r="L62" s="229">
        <f t="shared" si="16"/>
        <v>0</v>
      </c>
      <c r="M62" s="206"/>
      <c r="N62" s="208"/>
      <c r="O62" s="37">
        <v>32201</v>
      </c>
      <c r="P62" s="38" t="s">
        <v>54</v>
      </c>
      <c r="Q62" s="159"/>
      <c r="R62" s="159">
        <v>0</v>
      </c>
      <c r="S62" s="62">
        <f t="shared" si="17"/>
        <v>0</v>
      </c>
      <c r="T62" s="206"/>
      <c r="V62" s="37">
        <v>32201</v>
      </c>
      <c r="W62" s="38" t="s">
        <v>54</v>
      </c>
      <c r="X62" s="62">
        <v>650000</v>
      </c>
      <c r="Y62" s="159">
        <v>416096.64000000007</v>
      </c>
      <c r="Z62" s="62">
        <f t="shared" si="18"/>
        <v>624144.96000000008</v>
      </c>
      <c r="AA62" s="206"/>
      <c r="AB62" s="207"/>
      <c r="AC62" s="37">
        <v>32201</v>
      </c>
      <c r="AD62" s="38" t="s">
        <v>54</v>
      </c>
      <c r="AE62" s="62">
        <v>0</v>
      </c>
      <c r="AF62" s="159">
        <v>0</v>
      </c>
      <c r="AG62" s="62">
        <f t="shared" si="19"/>
        <v>0</v>
      </c>
      <c r="AH62" s="206">
        <v>0</v>
      </c>
      <c r="AJ62" s="37">
        <v>32201</v>
      </c>
      <c r="AK62" s="38" t="s">
        <v>54</v>
      </c>
      <c r="AL62" s="62">
        <v>0</v>
      </c>
      <c r="AM62" s="159">
        <v>0</v>
      </c>
      <c r="AN62" s="62">
        <f t="shared" si="20"/>
        <v>0</v>
      </c>
      <c r="AO62" s="206"/>
      <c r="AQ62" s="37">
        <v>32201</v>
      </c>
      <c r="AR62" s="38" t="s">
        <v>54</v>
      </c>
      <c r="AS62" s="62">
        <v>0</v>
      </c>
      <c r="AT62" s="159">
        <v>0</v>
      </c>
      <c r="AU62" s="62">
        <f t="shared" si="21"/>
        <v>0</v>
      </c>
      <c r="AV62" s="206"/>
      <c r="AW62" s="210"/>
      <c r="AX62" s="37">
        <v>32201</v>
      </c>
      <c r="AY62" s="38" t="s">
        <v>54</v>
      </c>
      <c r="AZ62" s="62">
        <v>0</v>
      </c>
      <c r="BA62" s="159">
        <v>0</v>
      </c>
      <c r="BB62" s="62">
        <f t="shared" si="22"/>
        <v>0</v>
      </c>
      <c r="BC62" s="206"/>
      <c r="BE62" s="37">
        <v>32201</v>
      </c>
      <c r="BF62" s="38" t="s">
        <v>54</v>
      </c>
      <c r="BG62" s="62">
        <v>0</v>
      </c>
      <c r="BH62" s="159">
        <v>0</v>
      </c>
      <c r="BI62" s="62">
        <f t="shared" si="23"/>
        <v>0</v>
      </c>
      <c r="BJ62" s="206"/>
    </row>
    <row r="63" spans="1:63" s="209" customFormat="1" ht="33.75">
      <c r="A63" s="37">
        <v>32301</v>
      </c>
      <c r="B63" s="38" t="s">
        <v>55</v>
      </c>
      <c r="C63" s="62">
        <f t="shared" si="12"/>
        <v>32000</v>
      </c>
      <c r="D63" s="62">
        <f t="shared" si="13"/>
        <v>47130.8</v>
      </c>
      <c r="E63" s="62">
        <f t="shared" si="14"/>
        <v>70696.2</v>
      </c>
      <c r="F63" s="206">
        <f t="shared" si="15"/>
        <v>0</v>
      </c>
      <c r="H63" s="37">
        <v>32301</v>
      </c>
      <c r="I63" s="38" t="s">
        <v>55</v>
      </c>
      <c r="J63" s="159">
        <v>0</v>
      </c>
      <c r="K63" s="15">
        <v>0</v>
      </c>
      <c r="L63" s="229">
        <f t="shared" si="16"/>
        <v>0</v>
      </c>
      <c r="M63" s="206"/>
      <c r="N63" s="208"/>
      <c r="O63" s="37">
        <v>32301</v>
      </c>
      <c r="P63" s="38" t="s">
        <v>55</v>
      </c>
      <c r="Q63" s="159"/>
      <c r="R63" s="159">
        <v>0</v>
      </c>
      <c r="S63" s="62">
        <f t="shared" si="17"/>
        <v>0</v>
      </c>
      <c r="T63" s="206"/>
      <c r="V63" s="37">
        <v>32301</v>
      </c>
      <c r="W63" s="38" t="s">
        <v>55</v>
      </c>
      <c r="X63" s="62">
        <v>30000</v>
      </c>
      <c r="Y63" s="159">
        <v>0</v>
      </c>
      <c r="Z63" s="62">
        <f t="shared" si="18"/>
        <v>0</v>
      </c>
      <c r="AA63" s="206">
        <v>0</v>
      </c>
      <c r="AB63" s="207"/>
      <c r="AC63" s="37">
        <v>32301</v>
      </c>
      <c r="AD63" s="38" t="s">
        <v>55</v>
      </c>
      <c r="AE63" s="62">
        <v>2000</v>
      </c>
      <c r="AF63" s="159">
        <v>2122.8000000000002</v>
      </c>
      <c r="AG63" s="62">
        <f t="shared" si="19"/>
        <v>3184.2000000000003</v>
      </c>
      <c r="AH63" s="206">
        <v>0</v>
      </c>
      <c r="AJ63" s="37">
        <v>32301</v>
      </c>
      <c r="AK63" s="38" t="s">
        <v>55</v>
      </c>
      <c r="AL63" s="62">
        <v>0</v>
      </c>
      <c r="AM63" s="159">
        <v>45008</v>
      </c>
      <c r="AN63" s="62">
        <f t="shared" si="20"/>
        <v>67512</v>
      </c>
      <c r="AO63" s="206"/>
      <c r="AP63" s="207"/>
      <c r="AQ63" s="37">
        <v>32301</v>
      </c>
      <c r="AR63" s="38" t="s">
        <v>55</v>
      </c>
      <c r="AS63" s="62">
        <v>0</v>
      </c>
      <c r="AT63" s="159">
        <v>0</v>
      </c>
      <c r="AU63" s="62">
        <f t="shared" si="21"/>
        <v>0</v>
      </c>
      <c r="AV63" s="206"/>
      <c r="AW63" s="210"/>
      <c r="AX63" s="37">
        <v>32301</v>
      </c>
      <c r="AY63" s="38" t="s">
        <v>55</v>
      </c>
      <c r="AZ63" s="62">
        <v>0</v>
      </c>
      <c r="BA63" s="159">
        <v>0</v>
      </c>
      <c r="BB63" s="62">
        <f t="shared" si="22"/>
        <v>0</v>
      </c>
      <c r="BC63" s="206"/>
      <c r="BE63" s="37">
        <v>32301</v>
      </c>
      <c r="BF63" s="38" t="s">
        <v>55</v>
      </c>
      <c r="BG63" s="62">
        <v>0</v>
      </c>
      <c r="BH63" s="159">
        <v>0</v>
      </c>
      <c r="BI63" s="62">
        <f t="shared" si="23"/>
        <v>0</v>
      </c>
      <c r="BJ63" s="206"/>
    </row>
    <row r="64" spans="1:63" s="209" customFormat="1" ht="33.75">
      <c r="A64" s="37">
        <v>32302</v>
      </c>
      <c r="B64" s="38" t="s">
        <v>56</v>
      </c>
      <c r="C64" s="62">
        <f t="shared" si="12"/>
        <v>0</v>
      </c>
      <c r="D64" s="62">
        <f t="shared" si="13"/>
        <v>0</v>
      </c>
      <c r="E64" s="62">
        <f t="shared" si="14"/>
        <v>0</v>
      </c>
      <c r="F64" s="206">
        <f t="shared" si="15"/>
        <v>0</v>
      </c>
      <c r="H64" s="37">
        <v>32302</v>
      </c>
      <c r="I64" s="38" t="s">
        <v>56</v>
      </c>
      <c r="J64" s="159">
        <v>0</v>
      </c>
      <c r="K64" s="15">
        <v>0</v>
      </c>
      <c r="L64" s="229">
        <f t="shared" si="16"/>
        <v>0</v>
      </c>
      <c r="M64" s="206"/>
      <c r="N64" s="208"/>
      <c r="O64" s="37">
        <v>32302</v>
      </c>
      <c r="P64" s="38" t="s">
        <v>56</v>
      </c>
      <c r="Q64" s="159"/>
      <c r="R64" s="159">
        <v>0</v>
      </c>
      <c r="S64" s="62">
        <f t="shared" si="17"/>
        <v>0</v>
      </c>
      <c r="T64" s="206"/>
      <c r="V64" s="37">
        <v>32302</v>
      </c>
      <c r="W64" s="38" t="s">
        <v>56</v>
      </c>
      <c r="X64" s="62">
        <v>0</v>
      </c>
      <c r="Y64" s="159">
        <v>0</v>
      </c>
      <c r="Z64" s="62">
        <f t="shared" si="18"/>
        <v>0</v>
      </c>
      <c r="AA64" s="206"/>
      <c r="AB64" s="207"/>
      <c r="AC64" s="37">
        <v>32302</v>
      </c>
      <c r="AD64" s="38" t="s">
        <v>56</v>
      </c>
      <c r="AE64" s="62">
        <v>0</v>
      </c>
      <c r="AF64" s="159">
        <v>0</v>
      </c>
      <c r="AG64" s="62">
        <f t="shared" si="19"/>
        <v>0</v>
      </c>
      <c r="AH64" s="206">
        <v>0</v>
      </c>
      <c r="AJ64" s="37">
        <v>32302</v>
      </c>
      <c r="AK64" s="38" t="s">
        <v>56</v>
      </c>
      <c r="AL64" s="62">
        <v>0</v>
      </c>
      <c r="AM64" s="159">
        <v>0</v>
      </c>
      <c r="AN64" s="62">
        <f t="shared" si="20"/>
        <v>0</v>
      </c>
      <c r="AO64" s="206"/>
      <c r="AQ64" s="37">
        <v>32302</v>
      </c>
      <c r="AR64" s="38" t="s">
        <v>56</v>
      </c>
      <c r="AS64" s="62">
        <v>0</v>
      </c>
      <c r="AT64" s="159">
        <v>0</v>
      </c>
      <c r="AU64" s="62">
        <f t="shared" si="21"/>
        <v>0</v>
      </c>
      <c r="AV64" s="206"/>
      <c r="AW64" s="210"/>
      <c r="AX64" s="37">
        <v>32302</v>
      </c>
      <c r="AY64" s="38" t="s">
        <v>56</v>
      </c>
      <c r="AZ64" s="62">
        <v>0</v>
      </c>
      <c r="BA64" s="159">
        <v>0</v>
      </c>
      <c r="BB64" s="62">
        <f t="shared" si="22"/>
        <v>0</v>
      </c>
      <c r="BC64" s="206"/>
      <c r="BE64" s="37">
        <v>32302</v>
      </c>
      <c r="BF64" s="38" t="s">
        <v>56</v>
      </c>
      <c r="BG64" s="62">
        <v>0</v>
      </c>
      <c r="BH64" s="159">
        <v>0</v>
      </c>
      <c r="BI64" s="62">
        <f t="shared" si="23"/>
        <v>0</v>
      </c>
      <c r="BJ64" s="206"/>
    </row>
    <row r="65" spans="1:62" s="209" customFormat="1" ht="33.75">
      <c r="A65" s="37">
        <v>32501</v>
      </c>
      <c r="B65" s="38" t="s">
        <v>57</v>
      </c>
      <c r="C65" s="62">
        <f t="shared" si="12"/>
        <v>8000</v>
      </c>
      <c r="D65" s="62">
        <f t="shared" si="13"/>
        <v>0</v>
      </c>
      <c r="E65" s="62">
        <f t="shared" si="14"/>
        <v>0</v>
      </c>
      <c r="F65" s="206">
        <f t="shared" si="15"/>
        <v>0</v>
      </c>
      <c r="H65" s="37">
        <v>32501</v>
      </c>
      <c r="I65" s="38" t="s">
        <v>57</v>
      </c>
      <c r="J65" s="159">
        <v>2000</v>
      </c>
      <c r="K65" s="15">
        <v>0</v>
      </c>
      <c r="L65" s="229">
        <f t="shared" si="16"/>
        <v>0</v>
      </c>
      <c r="M65" s="206">
        <v>0</v>
      </c>
      <c r="N65" s="208"/>
      <c r="O65" s="37">
        <v>32501</v>
      </c>
      <c r="P65" s="38" t="s">
        <v>57</v>
      </c>
      <c r="Q65" s="159"/>
      <c r="R65" s="159">
        <v>0</v>
      </c>
      <c r="S65" s="62">
        <f t="shared" si="17"/>
        <v>0</v>
      </c>
      <c r="T65" s="206"/>
      <c r="V65" s="37">
        <v>32501</v>
      </c>
      <c r="W65" s="38" t="s">
        <v>57</v>
      </c>
      <c r="X65" s="62">
        <v>0</v>
      </c>
      <c r="Y65" s="159">
        <v>0</v>
      </c>
      <c r="Z65" s="62">
        <f t="shared" si="18"/>
        <v>0</v>
      </c>
      <c r="AA65" s="206"/>
      <c r="AB65" s="207"/>
      <c r="AC65" s="37">
        <v>32501</v>
      </c>
      <c r="AD65" s="38" t="s">
        <v>57</v>
      </c>
      <c r="AE65" s="62">
        <v>0</v>
      </c>
      <c r="AF65" s="159">
        <v>0</v>
      </c>
      <c r="AG65" s="62">
        <f t="shared" si="19"/>
        <v>0</v>
      </c>
      <c r="AH65" s="206">
        <v>0</v>
      </c>
      <c r="AJ65" s="37">
        <v>32501</v>
      </c>
      <c r="AK65" s="38" t="s">
        <v>57</v>
      </c>
      <c r="AL65" s="62">
        <v>0</v>
      </c>
      <c r="AM65" s="159">
        <v>0</v>
      </c>
      <c r="AN65" s="62">
        <f t="shared" si="20"/>
        <v>0</v>
      </c>
      <c r="AO65" s="206"/>
      <c r="AQ65" s="37">
        <v>32501</v>
      </c>
      <c r="AR65" s="38" t="s">
        <v>57</v>
      </c>
      <c r="AS65" s="62">
        <v>0</v>
      </c>
      <c r="AT65" s="159">
        <v>0</v>
      </c>
      <c r="AU65" s="62">
        <f t="shared" si="21"/>
        <v>0</v>
      </c>
      <c r="AV65" s="206"/>
      <c r="AW65" s="210"/>
      <c r="AX65" s="37">
        <v>32501</v>
      </c>
      <c r="AY65" s="38" t="s">
        <v>57</v>
      </c>
      <c r="AZ65" s="62">
        <v>6000</v>
      </c>
      <c r="BA65" s="159">
        <v>0</v>
      </c>
      <c r="BB65" s="62">
        <f t="shared" si="22"/>
        <v>0</v>
      </c>
      <c r="BC65" s="206"/>
      <c r="BE65" s="37">
        <v>32501</v>
      </c>
      <c r="BF65" s="38" t="s">
        <v>57</v>
      </c>
      <c r="BG65" s="62">
        <v>0</v>
      </c>
      <c r="BH65" s="159">
        <v>0</v>
      </c>
      <c r="BI65" s="62">
        <f t="shared" si="23"/>
        <v>0</v>
      </c>
      <c r="BJ65" s="206"/>
    </row>
    <row r="66" spans="1:62" s="209" customFormat="1" ht="45">
      <c r="A66" s="37">
        <v>32601</v>
      </c>
      <c r="B66" s="38" t="s">
        <v>58</v>
      </c>
      <c r="C66" s="62">
        <f t="shared" si="12"/>
        <v>0</v>
      </c>
      <c r="D66" s="62">
        <f t="shared" si="13"/>
        <v>0</v>
      </c>
      <c r="E66" s="62">
        <f t="shared" si="14"/>
        <v>0</v>
      </c>
      <c r="F66" s="206">
        <f t="shared" si="15"/>
        <v>0</v>
      </c>
      <c r="H66" s="37">
        <v>32601</v>
      </c>
      <c r="I66" s="38" t="s">
        <v>58</v>
      </c>
      <c r="J66" s="159">
        <v>0</v>
      </c>
      <c r="K66" s="15">
        <v>0</v>
      </c>
      <c r="L66" s="229">
        <f t="shared" si="16"/>
        <v>0</v>
      </c>
      <c r="M66" s="206"/>
      <c r="N66" s="208"/>
      <c r="O66" s="37">
        <v>32601</v>
      </c>
      <c r="P66" s="38" t="s">
        <v>58</v>
      </c>
      <c r="Q66" s="159"/>
      <c r="R66" s="159">
        <v>0</v>
      </c>
      <c r="S66" s="62">
        <f t="shared" si="17"/>
        <v>0</v>
      </c>
      <c r="T66" s="206"/>
      <c r="V66" s="37">
        <v>32601</v>
      </c>
      <c r="W66" s="38" t="s">
        <v>58</v>
      </c>
      <c r="X66" s="62">
        <v>0</v>
      </c>
      <c r="Y66" s="159">
        <v>0</v>
      </c>
      <c r="Z66" s="62">
        <f t="shared" si="18"/>
        <v>0</v>
      </c>
      <c r="AA66" s="206"/>
      <c r="AB66" s="207"/>
      <c r="AC66" s="37">
        <v>32601</v>
      </c>
      <c r="AD66" s="38" t="s">
        <v>58</v>
      </c>
      <c r="AE66" s="62">
        <v>0</v>
      </c>
      <c r="AF66" s="159">
        <v>0</v>
      </c>
      <c r="AG66" s="62">
        <f t="shared" si="19"/>
        <v>0</v>
      </c>
      <c r="AH66" s="206">
        <v>0</v>
      </c>
      <c r="AJ66" s="37">
        <v>32601</v>
      </c>
      <c r="AK66" s="38" t="s">
        <v>58</v>
      </c>
      <c r="AL66" s="62">
        <v>0</v>
      </c>
      <c r="AM66" s="159">
        <v>0</v>
      </c>
      <c r="AN66" s="62">
        <f t="shared" si="20"/>
        <v>0</v>
      </c>
      <c r="AO66" s="206"/>
      <c r="AQ66" s="37">
        <v>32601</v>
      </c>
      <c r="AR66" s="38" t="s">
        <v>58</v>
      </c>
      <c r="AS66" s="62">
        <v>0</v>
      </c>
      <c r="AT66" s="159">
        <v>0</v>
      </c>
      <c r="AU66" s="62">
        <f t="shared" si="21"/>
        <v>0</v>
      </c>
      <c r="AV66" s="206"/>
      <c r="AW66" s="210"/>
      <c r="AX66" s="37">
        <v>32601</v>
      </c>
      <c r="AY66" s="38" t="s">
        <v>58</v>
      </c>
      <c r="AZ66" s="62">
        <v>0</v>
      </c>
      <c r="BA66" s="159">
        <v>0</v>
      </c>
      <c r="BB66" s="62">
        <f t="shared" si="22"/>
        <v>0</v>
      </c>
      <c r="BC66" s="206"/>
      <c r="BE66" s="37">
        <v>32601</v>
      </c>
      <c r="BF66" s="38" t="s">
        <v>58</v>
      </c>
      <c r="BG66" s="62">
        <v>0</v>
      </c>
      <c r="BH66" s="159">
        <v>0</v>
      </c>
      <c r="BI66" s="62">
        <f t="shared" si="23"/>
        <v>0</v>
      </c>
      <c r="BJ66" s="206"/>
    </row>
    <row r="67" spans="1:62" s="209" customFormat="1" ht="22.5">
      <c r="A67" s="37">
        <v>32901</v>
      </c>
      <c r="B67" s="38" t="s">
        <v>59</v>
      </c>
      <c r="C67" s="62">
        <f t="shared" si="12"/>
        <v>0</v>
      </c>
      <c r="D67" s="62">
        <f t="shared" si="13"/>
        <v>0</v>
      </c>
      <c r="E67" s="62">
        <f t="shared" si="14"/>
        <v>0</v>
      </c>
      <c r="F67" s="206">
        <f t="shared" si="15"/>
        <v>0</v>
      </c>
      <c r="H67" s="37">
        <v>32901</v>
      </c>
      <c r="I67" s="38" t="s">
        <v>59</v>
      </c>
      <c r="J67" s="159">
        <v>0</v>
      </c>
      <c r="K67" s="15">
        <v>0</v>
      </c>
      <c r="L67" s="229">
        <f t="shared" si="16"/>
        <v>0</v>
      </c>
      <c r="M67" s="206"/>
      <c r="N67" s="208"/>
      <c r="O67" s="37">
        <v>32901</v>
      </c>
      <c r="P67" s="38" t="s">
        <v>59</v>
      </c>
      <c r="Q67" s="159"/>
      <c r="R67" s="159">
        <v>0</v>
      </c>
      <c r="S67" s="62">
        <f t="shared" si="17"/>
        <v>0</v>
      </c>
      <c r="T67" s="206"/>
      <c r="V67" s="37">
        <v>32901</v>
      </c>
      <c r="W67" s="38" t="s">
        <v>59</v>
      </c>
      <c r="X67" s="62">
        <v>0</v>
      </c>
      <c r="Y67" s="159">
        <v>0</v>
      </c>
      <c r="Z67" s="62">
        <f t="shared" si="18"/>
        <v>0</v>
      </c>
      <c r="AA67" s="206"/>
      <c r="AB67" s="207"/>
      <c r="AC67" s="37">
        <v>32901</v>
      </c>
      <c r="AD67" s="38" t="s">
        <v>59</v>
      </c>
      <c r="AE67" s="62">
        <v>0</v>
      </c>
      <c r="AF67" s="159">
        <v>0</v>
      </c>
      <c r="AG67" s="62">
        <f t="shared" si="19"/>
        <v>0</v>
      </c>
      <c r="AH67" s="206">
        <v>0</v>
      </c>
      <c r="AJ67" s="37">
        <v>32901</v>
      </c>
      <c r="AK67" s="38" t="s">
        <v>59</v>
      </c>
      <c r="AL67" s="62">
        <v>0</v>
      </c>
      <c r="AM67" s="159">
        <v>0</v>
      </c>
      <c r="AN67" s="62">
        <f t="shared" si="20"/>
        <v>0</v>
      </c>
      <c r="AO67" s="206"/>
      <c r="AQ67" s="37">
        <v>32901</v>
      </c>
      <c r="AR67" s="38" t="s">
        <v>59</v>
      </c>
      <c r="AS67" s="62">
        <v>0</v>
      </c>
      <c r="AT67" s="159">
        <v>0</v>
      </c>
      <c r="AU67" s="62">
        <f t="shared" si="21"/>
        <v>0</v>
      </c>
      <c r="AV67" s="206"/>
      <c r="AW67" s="210"/>
      <c r="AX67" s="37">
        <v>32901</v>
      </c>
      <c r="AY67" s="38" t="s">
        <v>59</v>
      </c>
      <c r="AZ67" s="62">
        <v>0</v>
      </c>
      <c r="BA67" s="159">
        <v>0</v>
      </c>
      <c r="BB67" s="62">
        <f t="shared" si="22"/>
        <v>0</v>
      </c>
      <c r="BC67" s="206"/>
      <c r="BE67" s="37">
        <v>32901</v>
      </c>
      <c r="BF67" s="38" t="s">
        <v>59</v>
      </c>
      <c r="BG67" s="62">
        <v>0</v>
      </c>
      <c r="BH67" s="159">
        <v>0</v>
      </c>
      <c r="BI67" s="62">
        <f t="shared" si="23"/>
        <v>0</v>
      </c>
      <c r="BJ67" s="206"/>
    </row>
    <row r="68" spans="1:62" s="209" customFormat="1" ht="45">
      <c r="A68" s="37">
        <v>33101</v>
      </c>
      <c r="B68" s="38" t="s">
        <v>60</v>
      </c>
      <c r="C68" s="62">
        <f t="shared" si="12"/>
        <v>6318958.8100000005</v>
      </c>
      <c r="D68" s="62">
        <f t="shared" si="13"/>
        <v>3529852.8870000001</v>
      </c>
      <c r="E68" s="62">
        <f t="shared" si="14"/>
        <v>5294779.3305000002</v>
      </c>
      <c r="F68" s="206">
        <f t="shared" si="15"/>
        <v>750000</v>
      </c>
      <c r="H68" s="37">
        <v>33101</v>
      </c>
      <c r="I68" s="38" t="s">
        <v>60</v>
      </c>
      <c r="J68" s="159">
        <v>0</v>
      </c>
      <c r="K68" s="15">
        <v>0</v>
      </c>
      <c r="L68" s="229">
        <f t="shared" si="16"/>
        <v>0</v>
      </c>
      <c r="M68" s="206"/>
      <c r="N68" s="208"/>
      <c r="O68" s="37">
        <v>33101</v>
      </c>
      <c r="P68" s="38" t="s">
        <v>60</v>
      </c>
      <c r="Q68" s="159">
        <v>3000000</v>
      </c>
      <c r="R68" s="159">
        <v>1711788.8022120611</v>
      </c>
      <c r="S68" s="62">
        <f t="shared" si="17"/>
        <v>2567683.2033180916</v>
      </c>
      <c r="T68" s="206">
        <v>250000</v>
      </c>
      <c r="U68" s="207"/>
      <c r="V68" s="37">
        <v>33101</v>
      </c>
      <c r="W68" s="38" t="s">
        <v>60</v>
      </c>
      <c r="X68" s="62">
        <v>2606958.81</v>
      </c>
      <c r="Y68" s="159">
        <v>1358154.8661595215</v>
      </c>
      <c r="Z68" s="62">
        <f t="shared" si="18"/>
        <v>2037232.2992392823</v>
      </c>
      <c r="AA68" s="206">
        <v>500000</v>
      </c>
      <c r="AB68" s="207"/>
      <c r="AC68" s="37">
        <v>33101</v>
      </c>
      <c r="AD68" s="38" t="s">
        <v>60</v>
      </c>
      <c r="AE68" s="62">
        <v>164500</v>
      </c>
      <c r="AF68" s="159">
        <v>87000</v>
      </c>
      <c r="AG68" s="62">
        <f t="shared" si="19"/>
        <v>130500</v>
      </c>
      <c r="AH68" s="206"/>
      <c r="AJ68" s="37">
        <v>33101</v>
      </c>
      <c r="AK68" s="38" t="s">
        <v>60</v>
      </c>
      <c r="AL68" s="62"/>
      <c r="AM68" s="159">
        <v>0</v>
      </c>
      <c r="AN68" s="62">
        <f t="shared" si="20"/>
        <v>0</v>
      </c>
      <c r="AO68" s="206"/>
      <c r="AQ68" s="37">
        <v>33101</v>
      </c>
      <c r="AR68" s="38" t="s">
        <v>60</v>
      </c>
      <c r="AS68" s="62">
        <v>493000</v>
      </c>
      <c r="AT68" s="159">
        <v>351731.50622841745</v>
      </c>
      <c r="AU68" s="62">
        <f t="shared" si="21"/>
        <v>527597.2593426262</v>
      </c>
      <c r="AV68" s="206"/>
      <c r="AW68" s="210"/>
      <c r="AX68" s="37">
        <v>33101</v>
      </c>
      <c r="AY68" s="38" t="s">
        <v>60</v>
      </c>
      <c r="AZ68" s="62">
        <v>54500</v>
      </c>
      <c r="BA68" s="159">
        <v>21177.7124</v>
      </c>
      <c r="BB68" s="62">
        <f t="shared" si="22"/>
        <v>31766.568599999999</v>
      </c>
      <c r="BC68" s="206"/>
      <c r="BE68" s="37">
        <v>33101</v>
      </c>
      <c r="BF68" s="38" t="s">
        <v>60</v>
      </c>
      <c r="BG68" s="62">
        <v>0</v>
      </c>
      <c r="BH68" s="159">
        <v>0</v>
      </c>
      <c r="BI68" s="62">
        <f t="shared" si="23"/>
        <v>0</v>
      </c>
      <c r="BJ68" s="206"/>
    </row>
    <row r="69" spans="1:62" s="209" customFormat="1" ht="67.5">
      <c r="A69" s="37">
        <v>33201</v>
      </c>
      <c r="B69" s="38" t="s">
        <v>61</v>
      </c>
      <c r="C69" s="62">
        <f t="shared" si="12"/>
        <v>240000</v>
      </c>
      <c r="D69" s="62">
        <f t="shared" si="13"/>
        <v>99156.800000000003</v>
      </c>
      <c r="E69" s="62">
        <f t="shared" si="14"/>
        <v>148735.20000000001</v>
      </c>
      <c r="F69" s="206">
        <f t="shared" si="15"/>
        <v>0</v>
      </c>
      <c r="H69" s="37">
        <v>33201</v>
      </c>
      <c r="I69" s="38" t="s">
        <v>61</v>
      </c>
      <c r="J69" s="159">
        <v>0</v>
      </c>
      <c r="K69" s="15">
        <v>0</v>
      </c>
      <c r="L69" s="229">
        <f t="shared" si="16"/>
        <v>0</v>
      </c>
      <c r="M69" s="206"/>
      <c r="N69" s="208"/>
      <c r="O69" s="37">
        <v>33201</v>
      </c>
      <c r="P69" s="38" t="s">
        <v>61</v>
      </c>
      <c r="Q69" s="159"/>
      <c r="R69" s="159">
        <v>0</v>
      </c>
      <c r="S69" s="62">
        <f t="shared" si="17"/>
        <v>0</v>
      </c>
      <c r="T69" s="206"/>
      <c r="V69" s="37">
        <v>33201</v>
      </c>
      <c r="W69" s="38" t="s">
        <v>61</v>
      </c>
      <c r="X69" s="62">
        <v>200000</v>
      </c>
      <c r="Y69" s="159">
        <v>0</v>
      </c>
      <c r="Z69" s="62">
        <f t="shared" si="18"/>
        <v>0</v>
      </c>
      <c r="AA69" s="206"/>
      <c r="AB69" s="207"/>
      <c r="AC69" s="37">
        <v>33201</v>
      </c>
      <c r="AD69" s="38" t="s">
        <v>61</v>
      </c>
      <c r="AE69" s="62">
        <v>0</v>
      </c>
      <c r="AF69" s="159">
        <v>0</v>
      </c>
      <c r="AG69" s="62">
        <f t="shared" si="19"/>
        <v>0</v>
      </c>
      <c r="AH69" s="206">
        <v>0</v>
      </c>
      <c r="AJ69" s="37">
        <v>33201</v>
      </c>
      <c r="AK69" s="38" t="s">
        <v>61</v>
      </c>
      <c r="AL69" s="62">
        <v>40000</v>
      </c>
      <c r="AM69" s="159">
        <v>99156.800000000003</v>
      </c>
      <c r="AN69" s="62">
        <f t="shared" si="20"/>
        <v>148735.20000000001</v>
      </c>
      <c r="AO69" s="206"/>
      <c r="AP69" s="207"/>
      <c r="AQ69" s="37">
        <v>33201</v>
      </c>
      <c r="AR69" s="38" t="s">
        <v>61</v>
      </c>
      <c r="AS69" s="62">
        <v>0</v>
      </c>
      <c r="AT69" s="159">
        <v>0</v>
      </c>
      <c r="AU69" s="62">
        <f t="shared" si="21"/>
        <v>0</v>
      </c>
      <c r="AV69" s="206"/>
      <c r="AW69" s="210"/>
      <c r="AX69" s="37">
        <v>33201</v>
      </c>
      <c r="AY69" s="38" t="s">
        <v>61</v>
      </c>
      <c r="AZ69" s="62">
        <v>0</v>
      </c>
      <c r="BA69" s="159">
        <v>0</v>
      </c>
      <c r="BB69" s="62">
        <f t="shared" si="22"/>
        <v>0</v>
      </c>
      <c r="BC69" s="206"/>
      <c r="BE69" s="37">
        <v>33201</v>
      </c>
      <c r="BF69" s="38" t="s">
        <v>61</v>
      </c>
      <c r="BG69" s="62">
        <v>0</v>
      </c>
      <c r="BH69" s="159">
        <v>0</v>
      </c>
      <c r="BI69" s="62">
        <f t="shared" si="23"/>
        <v>0</v>
      </c>
      <c r="BJ69" s="206"/>
    </row>
    <row r="70" spans="1:62" s="209" customFormat="1" ht="22.5">
      <c r="A70" s="37">
        <v>33301</v>
      </c>
      <c r="B70" s="38" t="s">
        <v>62</v>
      </c>
      <c r="C70" s="62">
        <f t="shared" si="12"/>
        <v>310200</v>
      </c>
      <c r="D70" s="62">
        <f t="shared" si="13"/>
        <v>184758.13000000003</v>
      </c>
      <c r="E70" s="62">
        <f t="shared" si="14"/>
        <v>277137.19500000007</v>
      </c>
      <c r="F70" s="206">
        <f t="shared" si="15"/>
        <v>75000</v>
      </c>
      <c r="H70" s="37">
        <v>33301</v>
      </c>
      <c r="I70" s="38" t="s">
        <v>62</v>
      </c>
      <c r="J70" s="159">
        <v>25000</v>
      </c>
      <c r="K70" s="15">
        <v>0</v>
      </c>
      <c r="L70" s="229">
        <f t="shared" si="16"/>
        <v>0</v>
      </c>
      <c r="M70" s="206"/>
      <c r="N70" s="208"/>
      <c r="O70" s="37">
        <v>33301</v>
      </c>
      <c r="P70" s="38" t="s">
        <v>62</v>
      </c>
      <c r="Q70" s="159"/>
      <c r="R70" s="159">
        <v>0</v>
      </c>
      <c r="S70" s="62">
        <f t="shared" si="17"/>
        <v>0</v>
      </c>
      <c r="T70" s="206"/>
      <c r="V70" s="37">
        <v>33301</v>
      </c>
      <c r="W70" s="38" t="s">
        <v>62</v>
      </c>
      <c r="X70" s="62">
        <v>280000</v>
      </c>
      <c r="Y70" s="159">
        <v>184758.13000000003</v>
      </c>
      <c r="Z70" s="62">
        <f t="shared" si="18"/>
        <v>277137.19500000007</v>
      </c>
      <c r="AA70" s="206">
        <v>75000</v>
      </c>
      <c r="AB70" s="207"/>
      <c r="AC70" s="37">
        <v>33301</v>
      </c>
      <c r="AD70" s="38" t="s">
        <v>62</v>
      </c>
      <c r="AE70" s="62">
        <v>0</v>
      </c>
      <c r="AF70" s="159">
        <v>0</v>
      </c>
      <c r="AG70" s="62">
        <f t="shared" si="19"/>
        <v>0</v>
      </c>
      <c r="AH70" s="206">
        <v>0</v>
      </c>
      <c r="AJ70" s="37">
        <v>33301</v>
      </c>
      <c r="AK70" s="38" t="s">
        <v>62</v>
      </c>
      <c r="AL70" s="62">
        <v>4000</v>
      </c>
      <c r="AM70" s="159">
        <v>0</v>
      </c>
      <c r="AN70" s="62">
        <f t="shared" si="20"/>
        <v>0</v>
      </c>
      <c r="AO70" s="206"/>
      <c r="AP70" s="207"/>
      <c r="AQ70" s="37">
        <v>33301</v>
      </c>
      <c r="AR70" s="38" t="s">
        <v>62</v>
      </c>
      <c r="AS70" s="62">
        <v>700</v>
      </c>
      <c r="AT70" s="159">
        <v>0</v>
      </c>
      <c r="AU70" s="62">
        <f t="shared" si="21"/>
        <v>0</v>
      </c>
      <c r="AV70" s="206"/>
      <c r="AW70" s="210"/>
      <c r="AX70" s="37">
        <v>33301</v>
      </c>
      <c r="AY70" s="38" t="s">
        <v>62</v>
      </c>
      <c r="AZ70" s="62">
        <v>500</v>
      </c>
      <c r="BA70" s="159">
        <v>0</v>
      </c>
      <c r="BB70" s="62">
        <f t="shared" si="22"/>
        <v>0</v>
      </c>
      <c r="BC70" s="206"/>
      <c r="BE70" s="37">
        <v>33301</v>
      </c>
      <c r="BF70" s="38" t="s">
        <v>62</v>
      </c>
      <c r="BG70" s="62">
        <v>0</v>
      </c>
      <c r="BH70" s="159">
        <v>0</v>
      </c>
      <c r="BI70" s="62">
        <f t="shared" si="23"/>
        <v>0</v>
      </c>
      <c r="BJ70" s="206"/>
    </row>
    <row r="71" spans="1:62" s="209" customFormat="1" ht="22.5">
      <c r="A71" s="37">
        <v>33302</v>
      </c>
      <c r="B71" s="38" t="s">
        <v>63</v>
      </c>
      <c r="C71" s="62">
        <f t="shared" si="12"/>
        <v>220000</v>
      </c>
      <c r="D71" s="62">
        <f t="shared" si="13"/>
        <v>87000</v>
      </c>
      <c r="E71" s="62">
        <f t="shared" si="14"/>
        <v>130500</v>
      </c>
      <c r="F71" s="206">
        <f t="shared" si="15"/>
        <v>10000</v>
      </c>
      <c r="H71" s="37">
        <v>33302</v>
      </c>
      <c r="I71" s="38" t="s">
        <v>63</v>
      </c>
      <c r="J71" s="159">
        <v>0</v>
      </c>
      <c r="K71" s="15">
        <v>0</v>
      </c>
      <c r="L71" s="229">
        <f t="shared" si="16"/>
        <v>0</v>
      </c>
      <c r="M71" s="206"/>
      <c r="N71" s="208"/>
      <c r="O71" s="37">
        <v>33302</v>
      </c>
      <c r="P71" s="38" t="s">
        <v>63</v>
      </c>
      <c r="Q71" s="159"/>
      <c r="R71" s="159">
        <v>0</v>
      </c>
      <c r="S71" s="62">
        <f t="shared" si="17"/>
        <v>0</v>
      </c>
      <c r="T71" s="206"/>
      <c r="V71" s="37">
        <v>33302</v>
      </c>
      <c r="W71" s="38" t="s">
        <v>63</v>
      </c>
      <c r="X71" s="62">
        <v>220000</v>
      </c>
      <c r="Y71" s="159">
        <v>87000</v>
      </c>
      <c r="Z71" s="62">
        <f t="shared" si="18"/>
        <v>130500</v>
      </c>
      <c r="AA71" s="206"/>
      <c r="AB71" s="207"/>
      <c r="AC71" s="37">
        <v>33302</v>
      </c>
      <c r="AD71" s="38" t="s">
        <v>63</v>
      </c>
      <c r="AE71" s="62">
        <v>0</v>
      </c>
      <c r="AF71" s="159">
        <v>0</v>
      </c>
      <c r="AG71" s="62">
        <f t="shared" si="19"/>
        <v>0</v>
      </c>
      <c r="AH71" s="206">
        <v>0</v>
      </c>
      <c r="AJ71" s="37">
        <v>33302</v>
      </c>
      <c r="AK71" s="38" t="s">
        <v>63</v>
      </c>
      <c r="AL71" s="62">
        <v>0</v>
      </c>
      <c r="AM71" s="159">
        <v>0</v>
      </c>
      <c r="AN71" s="62">
        <f t="shared" si="20"/>
        <v>0</v>
      </c>
      <c r="AO71" s="206"/>
      <c r="AQ71" s="37">
        <v>33302</v>
      </c>
      <c r="AR71" s="38" t="s">
        <v>63</v>
      </c>
      <c r="AS71" s="62">
        <v>0</v>
      </c>
      <c r="AT71" s="159">
        <v>0</v>
      </c>
      <c r="AU71" s="62">
        <f t="shared" si="21"/>
        <v>0</v>
      </c>
      <c r="AV71" s="206"/>
      <c r="AW71" s="210"/>
      <c r="AX71" s="37">
        <v>33302</v>
      </c>
      <c r="AY71" s="38" t="s">
        <v>63</v>
      </c>
      <c r="AZ71" s="62">
        <v>0</v>
      </c>
      <c r="BA71" s="159">
        <v>0</v>
      </c>
      <c r="BB71" s="62">
        <f t="shared" si="22"/>
        <v>0</v>
      </c>
      <c r="BC71" s="206"/>
      <c r="BE71" s="37">
        <v>33302</v>
      </c>
      <c r="BF71" s="38" t="s">
        <v>63</v>
      </c>
      <c r="BG71" s="62">
        <v>0</v>
      </c>
      <c r="BH71" s="159">
        <v>0</v>
      </c>
      <c r="BI71" s="62">
        <f t="shared" si="23"/>
        <v>0</v>
      </c>
      <c r="BJ71" s="206">
        <v>10000</v>
      </c>
    </row>
    <row r="72" spans="1:62" s="209" customFormat="1" ht="22.5">
      <c r="A72" s="37">
        <v>33401</v>
      </c>
      <c r="B72" s="38" t="s">
        <v>64</v>
      </c>
      <c r="C72" s="62">
        <f t="shared" si="12"/>
        <v>155000</v>
      </c>
      <c r="D72" s="62">
        <f t="shared" si="13"/>
        <v>13837.64</v>
      </c>
      <c r="E72" s="62">
        <f t="shared" si="14"/>
        <v>20756.46</v>
      </c>
      <c r="F72" s="206">
        <f t="shared" si="15"/>
        <v>40000</v>
      </c>
      <c r="H72" s="37">
        <v>33401</v>
      </c>
      <c r="I72" s="38" t="s">
        <v>64</v>
      </c>
      <c r="J72" s="159">
        <v>0</v>
      </c>
      <c r="K72" s="15">
        <v>13837.64</v>
      </c>
      <c r="L72" s="229">
        <f t="shared" si="16"/>
        <v>20756.46</v>
      </c>
      <c r="M72" s="206"/>
      <c r="N72" s="208"/>
      <c r="O72" s="37">
        <v>33401</v>
      </c>
      <c r="P72" s="38" t="s">
        <v>64</v>
      </c>
      <c r="Q72" s="159">
        <v>15000</v>
      </c>
      <c r="R72" s="159">
        <v>0</v>
      </c>
      <c r="S72" s="62">
        <f t="shared" si="17"/>
        <v>0</v>
      </c>
      <c r="T72" s="206"/>
      <c r="V72" s="37">
        <v>33401</v>
      </c>
      <c r="W72" s="38" t="s">
        <v>64</v>
      </c>
      <c r="X72" s="62">
        <v>140000</v>
      </c>
      <c r="Y72" s="159">
        <v>0</v>
      </c>
      <c r="Z72" s="62">
        <f t="shared" si="18"/>
        <v>0</v>
      </c>
      <c r="AA72" s="206">
        <v>40000</v>
      </c>
      <c r="AB72" s="207"/>
      <c r="AC72" s="37">
        <v>33401</v>
      </c>
      <c r="AD72" s="38" t="s">
        <v>64</v>
      </c>
      <c r="AE72" s="62">
        <v>0</v>
      </c>
      <c r="AF72" s="159">
        <v>0</v>
      </c>
      <c r="AG72" s="62">
        <f t="shared" si="19"/>
        <v>0</v>
      </c>
      <c r="AH72" s="206">
        <v>0</v>
      </c>
      <c r="AJ72" s="37">
        <v>33401</v>
      </c>
      <c r="AK72" s="38" t="s">
        <v>64</v>
      </c>
      <c r="AL72" s="62">
        <v>0</v>
      </c>
      <c r="AM72" s="159">
        <v>0</v>
      </c>
      <c r="AN72" s="62">
        <f t="shared" si="20"/>
        <v>0</v>
      </c>
      <c r="AO72" s="206"/>
      <c r="AQ72" s="37">
        <v>33401</v>
      </c>
      <c r="AR72" s="38" t="s">
        <v>64</v>
      </c>
      <c r="AS72" s="62">
        <v>0</v>
      </c>
      <c r="AT72" s="159">
        <v>0</v>
      </c>
      <c r="AU72" s="62">
        <f t="shared" si="21"/>
        <v>0</v>
      </c>
      <c r="AV72" s="206"/>
      <c r="AW72" s="210"/>
      <c r="AX72" s="37">
        <v>33401</v>
      </c>
      <c r="AY72" s="38" t="s">
        <v>64</v>
      </c>
      <c r="AZ72" s="62">
        <v>0</v>
      </c>
      <c r="BA72" s="159">
        <v>0</v>
      </c>
      <c r="BB72" s="62">
        <f t="shared" si="22"/>
        <v>0</v>
      </c>
      <c r="BC72" s="206"/>
      <c r="BE72" s="37">
        <v>33401</v>
      </c>
      <c r="BF72" s="38" t="s">
        <v>64</v>
      </c>
      <c r="BG72" s="62">
        <v>0</v>
      </c>
      <c r="BH72" s="159">
        <v>0</v>
      </c>
      <c r="BI72" s="62">
        <f t="shared" si="23"/>
        <v>0</v>
      </c>
      <c r="BJ72" s="206"/>
    </row>
    <row r="73" spans="1:62" s="209" customFormat="1" ht="22.5">
      <c r="A73" s="37">
        <v>33601</v>
      </c>
      <c r="B73" s="38" t="s">
        <v>65</v>
      </c>
      <c r="C73" s="62">
        <f t="shared" si="12"/>
        <v>0</v>
      </c>
      <c r="D73" s="62">
        <f t="shared" si="13"/>
        <v>0</v>
      </c>
      <c r="E73" s="62">
        <f t="shared" si="14"/>
        <v>0</v>
      </c>
      <c r="F73" s="206">
        <f t="shared" si="15"/>
        <v>0</v>
      </c>
      <c r="H73" s="37">
        <v>33601</v>
      </c>
      <c r="I73" s="38" t="s">
        <v>65</v>
      </c>
      <c r="J73" s="159">
        <v>0</v>
      </c>
      <c r="K73" s="15">
        <v>0</v>
      </c>
      <c r="L73" s="229">
        <f t="shared" si="16"/>
        <v>0</v>
      </c>
      <c r="M73" s="206"/>
      <c r="N73" s="208"/>
      <c r="O73" s="37">
        <v>33601</v>
      </c>
      <c r="P73" s="38" t="s">
        <v>65</v>
      </c>
      <c r="Q73" s="159"/>
      <c r="R73" s="159">
        <v>0</v>
      </c>
      <c r="S73" s="62">
        <f t="shared" si="17"/>
        <v>0</v>
      </c>
      <c r="T73" s="206"/>
      <c r="V73" s="37">
        <v>33601</v>
      </c>
      <c r="W73" s="38" t="s">
        <v>65</v>
      </c>
      <c r="X73" s="62">
        <v>0</v>
      </c>
      <c r="Y73" s="159">
        <v>0</v>
      </c>
      <c r="Z73" s="62">
        <f t="shared" si="18"/>
        <v>0</v>
      </c>
      <c r="AA73" s="206"/>
      <c r="AB73" s="207"/>
      <c r="AC73" s="37">
        <v>33601</v>
      </c>
      <c r="AD73" s="38" t="s">
        <v>65</v>
      </c>
      <c r="AE73" s="62">
        <v>0</v>
      </c>
      <c r="AF73" s="159">
        <v>0</v>
      </c>
      <c r="AG73" s="62">
        <f t="shared" si="19"/>
        <v>0</v>
      </c>
      <c r="AH73" s="206">
        <v>0</v>
      </c>
      <c r="AJ73" s="37">
        <v>33601</v>
      </c>
      <c r="AK73" s="38" t="s">
        <v>65</v>
      </c>
      <c r="AL73" s="62">
        <v>0</v>
      </c>
      <c r="AM73" s="159">
        <v>0</v>
      </c>
      <c r="AN73" s="62">
        <f t="shared" si="20"/>
        <v>0</v>
      </c>
      <c r="AO73" s="206"/>
      <c r="AQ73" s="37">
        <v>33601</v>
      </c>
      <c r="AR73" s="38" t="s">
        <v>65</v>
      </c>
      <c r="AS73" s="62">
        <v>0</v>
      </c>
      <c r="AT73" s="159">
        <v>0</v>
      </c>
      <c r="AU73" s="62">
        <f t="shared" si="21"/>
        <v>0</v>
      </c>
      <c r="AV73" s="206"/>
      <c r="AW73" s="210"/>
      <c r="AX73" s="37">
        <v>33601</v>
      </c>
      <c r="AY73" s="38" t="s">
        <v>65</v>
      </c>
      <c r="AZ73" s="62">
        <v>0</v>
      </c>
      <c r="BA73" s="159">
        <v>0</v>
      </c>
      <c r="BB73" s="62">
        <f t="shared" si="22"/>
        <v>0</v>
      </c>
      <c r="BC73" s="206"/>
      <c r="BE73" s="37">
        <v>33601</v>
      </c>
      <c r="BF73" s="38" t="s">
        <v>65</v>
      </c>
      <c r="BG73" s="62">
        <v>0</v>
      </c>
      <c r="BH73" s="159">
        <v>0</v>
      </c>
      <c r="BI73" s="62">
        <f t="shared" si="23"/>
        <v>0</v>
      </c>
      <c r="BJ73" s="206"/>
    </row>
    <row r="74" spans="1:62" s="209" customFormat="1" ht="33.75">
      <c r="A74" s="37">
        <v>33603</v>
      </c>
      <c r="B74" s="38" t="s">
        <v>66</v>
      </c>
      <c r="C74" s="62">
        <f t="shared" si="12"/>
        <v>100500</v>
      </c>
      <c r="D74" s="62">
        <f t="shared" si="13"/>
        <v>26111.89</v>
      </c>
      <c r="E74" s="62">
        <f t="shared" si="14"/>
        <v>39167.834999999992</v>
      </c>
      <c r="F74" s="206">
        <f t="shared" si="15"/>
        <v>93020</v>
      </c>
      <c r="H74" s="37">
        <v>33603</v>
      </c>
      <c r="I74" s="38" t="s">
        <v>66</v>
      </c>
      <c r="J74" s="159">
        <v>30000</v>
      </c>
      <c r="K74" s="15">
        <v>0</v>
      </c>
      <c r="L74" s="229">
        <f t="shared" si="16"/>
        <v>0</v>
      </c>
      <c r="M74" s="206">
        <v>30000</v>
      </c>
      <c r="N74" s="208"/>
      <c r="O74" s="37">
        <v>33603</v>
      </c>
      <c r="P74" s="38" t="s">
        <v>66</v>
      </c>
      <c r="Q74" s="159">
        <v>2000</v>
      </c>
      <c r="R74" s="159">
        <v>0</v>
      </c>
      <c r="S74" s="62">
        <f t="shared" si="17"/>
        <v>0</v>
      </c>
      <c r="T74" s="206">
        <v>2120</v>
      </c>
      <c r="V74" s="37">
        <v>33603</v>
      </c>
      <c r="W74" s="38" t="s">
        <v>66</v>
      </c>
      <c r="X74" s="62">
        <v>40000</v>
      </c>
      <c r="Y74" s="159">
        <v>24034.329999999998</v>
      </c>
      <c r="Z74" s="62">
        <f t="shared" si="18"/>
        <v>36051.494999999995</v>
      </c>
      <c r="AA74" s="206">
        <v>40000</v>
      </c>
      <c r="AB74" s="207"/>
      <c r="AC74" s="37">
        <v>33603</v>
      </c>
      <c r="AD74" s="38" t="s">
        <v>66</v>
      </c>
      <c r="AE74" s="62">
        <v>15000</v>
      </c>
      <c r="AF74" s="159">
        <v>0</v>
      </c>
      <c r="AG74" s="62">
        <f t="shared" si="19"/>
        <v>0</v>
      </c>
      <c r="AH74" s="206">
        <v>15900</v>
      </c>
      <c r="AJ74" s="37">
        <v>33603</v>
      </c>
      <c r="AK74" s="38" t="s">
        <v>66</v>
      </c>
      <c r="AL74" s="62">
        <v>13000</v>
      </c>
      <c r="AM74" s="159">
        <v>2077.56</v>
      </c>
      <c r="AN74" s="62">
        <f t="shared" si="20"/>
        <v>3116.34</v>
      </c>
      <c r="AO74" s="206">
        <v>5000</v>
      </c>
      <c r="AQ74" s="37">
        <v>33603</v>
      </c>
      <c r="AR74" s="38" t="s">
        <v>66</v>
      </c>
      <c r="AS74" s="62">
        <v>500</v>
      </c>
      <c r="AT74" s="159">
        <v>0</v>
      </c>
      <c r="AU74" s="62">
        <f t="shared" si="21"/>
        <v>0</v>
      </c>
      <c r="AV74" s="206"/>
      <c r="AW74" s="210"/>
      <c r="AX74" s="37">
        <v>33603</v>
      </c>
      <c r="AY74" s="38" t="s">
        <v>66</v>
      </c>
      <c r="AZ74" s="62">
        <v>0</v>
      </c>
      <c r="BA74" s="159">
        <v>0</v>
      </c>
      <c r="BB74" s="62">
        <f t="shared" si="22"/>
        <v>0</v>
      </c>
      <c r="BC74" s="206"/>
      <c r="BE74" s="37">
        <v>33603</v>
      </c>
      <c r="BF74" s="38" t="s">
        <v>66</v>
      </c>
      <c r="BG74" s="62">
        <v>0</v>
      </c>
      <c r="BH74" s="159">
        <v>0</v>
      </c>
      <c r="BI74" s="62">
        <f t="shared" si="23"/>
        <v>0</v>
      </c>
      <c r="BJ74" s="206"/>
    </row>
    <row r="75" spans="1:62" s="209" customFormat="1" ht="33.75">
      <c r="A75" s="37">
        <v>33605</v>
      </c>
      <c r="B75" s="38" t="s">
        <v>67</v>
      </c>
      <c r="C75" s="62">
        <f t="shared" si="12"/>
        <v>330000</v>
      </c>
      <c r="D75" s="62">
        <f t="shared" si="13"/>
        <v>71037.58</v>
      </c>
      <c r="E75" s="62">
        <f t="shared" si="14"/>
        <v>106556.37</v>
      </c>
      <c r="F75" s="206">
        <f t="shared" si="15"/>
        <v>350000</v>
      </c>
      <c r="H75" s="37">
        <v>33605</v>
      </c>
      <c r="I75" s="38" t="s">
        <v>67</v>
      </c>
      <c r="J75" s="159">
        <v>0</v>
      </c>
      <c r="K75" s="15">
        <v>0</v>
      </c>
      <c r="L75" s="229">
        <f t="shared" si="16"/>
        <v>0</v>
      </c>
      <c r="M75" s="206"/>
      <c r="N75" s="208"/>
      <c r="O75" s="37">
        <v>33605</v>
      </c>
      <c r="P75" s="38" t="s">
        <v>67</v>
      </c>
      <c r="Q75" s="159"/>
      <c r="R75" s="159">
        <v>0</v>
      </c>
      <c r="S75" s="62">
        <f t="shared" si="17"/>
        <v>0</v>
      </c>
      <c r="T75" s="206"/>
      <c r="V75" s="37">
        <v>33605</v>
      </c>
      <c r="W75" s="38" t="s">
        <v>67</v>
      </c>
      <c r="X75" s="62">
        <v>0</v>
      </c>
      <c r="Y75" s="159">
        <v>0</v>
      </c>
      <c r="Z75" s="62">
        <f t="shared" si="18"/>
        <v>0</v>
      </c>
      <c r="AA75" s="206"/>
      <c r="AB75" s="207"/>
      <c r="AC75" s="37">
        <v>33605</v>
      </c>
      <c r="AD75" s="38" t="s">
        <v>67</v>
      </c>
      <c r="AE75" s="62">
        <v>0</v>
      </c>
      <c r="AF75" s="159">
        <v>0</v>
      </c>
      <c r="AG75" s="62">
        <f t="shared" si="19"/>
        <v>0</v>
      </c>
      <c r="AH75" s="206">
        <v>0</v>
      </c>
      <c r="AJ75" s="37">
        <v>33605</v>
      </c>
      <c r="AK75" s="38" t="s">
        <v>67</v>
      </c>
      <c r="AL75" s="62">
        <v>0</v>
      </c>
      <c r="AM75" s="159">
        <v>0</v>
      </c>
      <c r="AN75" s="62">
        <f t="shared" si="20"/>
        <v>0</v>
      </c>
      <c r="AO75" s="206"/>
      <c r="AQ75" s="37">
        <v>33605</v>
      </c>
      <c r="AR75" s="38" t="s">
        <v>67</v>
      </c>
      <c r="AS75" s="62">
        <v>0</v>
      </c>
      <c r="AT75" s="159">
        <v>0</v>
      </c>
      <c r="AU75" s="62">
        <f t="shared" si="21"/>
        <v>0</v>
      </c>
      <c r="AV75" s="206"/>
      <c r="AW75" s="210"/>
      <c r="AX75" s="37">
        <v>33605</v>
      </c>
      <c r="AY75" s="38" t="s">
        <v>67</v>
      </c>
      <c r="AZ75" s="62">
        <v>330000</v>
      </c>
      <c r="BA75" s="159">
        <v>71037.58</v>
      </c>
      <c r="BB75" s="62">
        <f t="shared" si="22"/>
        <v>106556.37</v>
      </c>
      <c r="BC75" s="206">
        <v>350000</v>
      </c>
      <c r="BE75" s="37">
        <v>33605</v>
      </c>
      <c r="BF75" s="38" t="s">
        <v>67</v>
      </c>
      <c r="BG75" s="62">
        <v>0</v>
      </c>
      <c r="BH75" s="159">
        <v>0</v>
      </c>
      <c r="BI75" s="62">
        <f t="shared" si="23"/>
        <v>0</v>
      </c>
      <c r="BJ75" s="206"/>
    </row>
    <row r="76" spans="1:62" s="209" customFormat="1" ht="56.25">
      <c r="A76" s="37">
        <v>33608</v>
      </c>
      <c r="B76" s="38" t="s">
        <v>68</v>
      </c>
      <c r="C76" s="62">
        <f t="shared" si="12"/>
        <v>110000</v>
      </c>
      <c r="D76" s="62">
        <f t="shared" si="13"/>
        <v>42572.981999999996</v>
      </c>
      <c r="E76" s="62">
        <f t="shared" si="14"/>
        <v>63859.472999999998</v>
      </c>
      <c r="F76" s="206">
        <f t="shared" si="15"/>
        <v>75000</v>
      </c>
      <c r="H76" s="37">
        <v>33608</v>
      </c>
      <c r="I76" s="38" t="s">
        <v>68</v>
      </c>
      <c r="J76" s="159">
        <v>0</v>
      </c>
      <c r="K76" s="15">
        <v>0</v>
      </c>
      <c r="L76" s="229">
        <f t="shared" si="16"/>
        <v>0</v>
      </c>
      <c r="M76" s="206"/>
      <c r="N76" s="208"/>
      <c r="O76" s="37">
        <v>33608</v>
      </c>
      <c r="P76" s="38" t="s">
        <v>68</v>
      </c>
      <c r="Q76" s="159"/>
      <c r="R76" s="159">
        <v>0</v>
      </c>
      <c r="S76" s="62">
        <f t="shared" si="17"/>
        <v>0</v>
      </c>
      <c r="T76" s="206"/>
      <c r="V76" s="37">
        <v>33608</v>
      </c>
      <c r="W76" s="38" t="s">
        <v>68</v>
      </c>
      <c r="X76" s="62">
        <v>110000</v>
      </c>
      <c r="Y76" s="159">
        <v>42572.981999999996</v>
      </c>
      <c r="Z76" s="62">
        <f t="shared" si="18"/>
        <v>63859.472999999998</v>
      </c>
      <c r="AA76" s="206">
        <v>70000</v>
      </c>
      <c r="AB76" s="207"/>
      <c r="AC76" s="37">
        <v>33608</v>
      </c>
      <c r="AD76" s="38" t="s">
        <v>68</v>
      </c>
      <c r="AE76" s="62">
        <v>0</v>
      </c>
      <c r="AF76" s="159">
        <v>0</v>
      </c>
      <c r="AG76" s="62">
        <f t="shared" si="19"/>
        <v>0</v>
      </c>
      <c r="AH76" s="206">
        <v>0</v>
      </c>
      <c r="AJ76" s="37">
        <v>33608</v>
      </c>
      <c r="AK76" s="38" t="s">
        <v>68</v>
      </c>
      <c r="AL76" s="62">
        <v>0</v>
      </c>
      <c r="AM76" s="159">
        <v>0</v>
      </c>
      <c r="AN76" s="62">
        <f t="shared" si="20"/>
        <v>0</v>
      </c>
      <c r="AO76" s="206"/>
      <c r="AQ76" s="37">
        <v>33608</v>
      </c>
      <c r="AR76" s="38" t="s">
        <v>68</v>
      </c>
      <c r="AS76" s="62">
        <v>0</v>
      </c>
      <c r="AT76" s="159">
        <v>0</v>
      </c>
      <c r="AU76" s="62">
        <f t="shared" si="21"/>
        <v>0</v>
      </c>
      <c r="AV76" s="206"/>
      <c r="AW76" s="210"/>
      <c r="AX76" s="37">
        <v>33608</v>
      </c>
      <c r="AY76" s="38" t="s">
        <v>68</v>
      </c>
      <c r="AZ76" s="62">
        <v>0</v>
      </c>
      <c r="BA76" s="159">
        <v>0</v>
      </c>
      <c r="BB76" s="62">
        <f t="shared" si="22"/>
        <v>0</v>
      </c>
      <c r="BC76" s="206"/>
      <c r="BE76" s="37">
        <v>33608</v>
      </c>
      <c r="BF76" s="38" t="s">
        <v>68</v>
      </c>
      <c r="BG76" s="62">
        <v>0</v>
      </c>
      <c r="BH76" s="159">
        <v>0</v>
      </c>
      <c r="BI76" s="62">
        <f t="shared" si="23"/>
        <v>0</v>
      </c>
      <c r="BJ76" s="206">
        <v>5000</v>
      </c>
    </row>
    <row r="77" spans="1:62" s="209" customFormat="1" ht="22.5">
      <c r="A77" s="37">
        <v>33801</v>
      </c>
      <c r="B77" s="38" t="s">
        <v>69</v>
      </c>
      <c r="C77" s="62">
        <f t="shared" si="12"/>
        <v>0</v>
      </c>
      <c r="D77" s="62">
        <f t="shared" si="13"/>
        <v>34592.36</v>
      </c>
      <c r="E77" s="62">
        <f t="shared" si="14"/>
        <v>51888.54</v>
      </c>
      <c r="F77" s="206">
        <f t="shared" si="15"/>
        <v>0</v>
      </c>
      <c r="H77" s="37">
        <v>33801</v>
      </c>
      <c r="I77" s="38" t="s">
        <v>69</v>
      </c>
      <c r="J77" s="159">
        <v>0</v>
      </c>
      <c r="K77" s="15">
        <v>34592.36</v>
      </c>
      <c r="L77" s="229">
        <f t="shared" si="16"/>
        <v>51888.54</v>
      </c>
      <c r="M77" s="206"/>
      <c r="N77" s="208"/>
      <c r="O77" s="37">
        <v>33801</v>
      </c>
      <c r="P77" s="38" t="s">
        <v>69</v>
      </c>
      <c r="Q77" s="159"/>
      <c r="R77" s="159">
        <v>0</v>
      </c>
      <c r="S77" s="62">
        <f t="shared" si="17"/>
        <v>0</v>
      </c>
      <c r="T77" s="206"/>
      <c r="V77" s="37">
        <v>33801</v>
      </c>
      <c r="W77" s="38" t="s">
        <v>69</v>
      </c>
      <c r="X77" s="62">
        <v>0</v>
      </c>
      <c r="Y77" s="159">
        <v>0</v>
      </c>
      <c r="Z77" s="62">
        <f t="shared" si="18"/>
        <v>0</v>
      </c>
      <c r="AA77" s="206"/>
      <c r="AB77" s="207"/>
      <c r="AC77" s="37">
        <v>33801</v>
      </c>
      <c r="AD77" s="38" t="s">
        <v>69</v>
      </c>
      <c r="AE77" s="62">
        <v>0</v>
      </c>
      <c r="AF77" s="159">
        <v>0</v>
      </c>
      <c r="AG77" s="62">
        <f t="shared" si="19"/>
        <v>0</v>
      </c>
      <c r="AH77" s="206">
        <v>0</v>
      </c>
      <c r="AJ77" s="37">
        <v>33801</v>
      </c>
      <c r="AK77" s="38" t="s">
        <v>69</v>
      </c>
      <c r="AL77" s="62">
        <v>0</v>
      </c>
      <c r="AM77" s="159">
        <v>0</v>
      </c>
      <c r="AN77" s="62">
        <f t="shared" si="20"/>
        <v>0</v>
      </c>
      <c r="AO77" s="206"/>
      <c r="AQ77" s="37">
        <v>33801</v>
      </c>
      <c r="AR77" s="38" t="s">
        <v>69</v>
      </c>
      <c r="AS77" s="62">
        <v>0</v>
      </c>
      <c r="AT77" s="159">
        <v>0</v>
      </c>
      <c r="AU77" s="62">
        <f t="shared" si="21"/>
        <v>0</v>
      </c>
      <c r="AV77" s="206"/>
      <c r="AW77" s="210"/>
      <c r="AX77" s="37">
        <v>33801</v>
      </c>
      <c r="AY77" s="38" t="s">
        <v>69</v>
      </c>
      <c r="AZ77" s="62">
        <v>0</v>
      </c>
      <c r="BA77" s="159">
        <v>0</v>
      </c>
      <c r="BB77" s="62">
        <f t="shared" si="22"/>
        <v>0</v>
      </c>
      <c r="BC77" s="206"/>
      <c r="BE77" s="37">
        <v>33801</v>
      </c>
      <c r="BF77" s="38" t="s">
        <v>69</v>
      </c>
      <c r="BG77" s="62">
        <v>0</v>
      </c>
      <c r="BH77" s="159">
        <v>0</v>
      </c>
      <c r="BI77" s="62">
        <f t="shared" si="23"/>
        <v>0</v>
      </c>
      <c r="BJ77" s="206"/>
    </row>
    <row r="78" spans="1:62" s="209" customFormat="1" ht="45">
      <c r="A78" s="37">
        <v>33901</v>
      </c>
      <c r="B78" s="38" t="s">
        <v>70</v>
      </c>
      <c r="C78" s="62">
        <f t="shared" si="12"/>
        <v>250000</v>
      </c>
      <c r="D78" s="62">
        <f t="shared" si="13"/>
        <v>0</v>
      </c>
      <c r="E78" s="62">
        <f t="shared" si="14"/>
        <v>0</v>
      </c>
      <c r="F78" s="206">
        <f t="shared" si="15"/>
        <v>0</v>
      </c>
      <c r="H78" s="37">
        <v>33901</v>
      </c>
      <c r="I78" s="38" t="s">
        <v>70</v>
      </c>
      <c r="J78" s="159">
        <v>0</v>
      </c>
      <c r="K78" s="15">
        <v>0</v>
      </c>
      <c r="L78" s="229">
        <f t="shared" si="16"/>
        <v>0</v>
      </c>
      <c r="M78" s="206"/>
      <c r="N78" s="208"/>
      <c r="O78" s="37">
        <v>33901</v>
      </c>
      <c r="P78" s="38" t="s">
        <v>70</v>
      </c>
      <c r="Q78" s="159"/>
      <c r="R78" s="159">
        <v>0</v>
      </c>
      <c r="S78" s="62">
        <f t="shared" si="17"/>
        <v>0</v>
      </c>
      <c r="T78" s="206"/>
      <c r="V78" s="37">
        <v>33901</v>
      </c>
      <c r="W78" s="38" t="s">
        <v>70</v>
      </c>
      <c r="X78" s="62">
        <v>0</v>
      </c>
      <c r="Y78" s="159">
        <v>0</v>
      </c>
      <c r="Z78" s="62">
        <f t="shared" si="18"/>
        <v>0</v>
      </c>
      <c r="AA78" s="206"/>
      <c r="AB78" s="207"/>
      <c r="AC78" s="37">
        <v>33901</v>
      </c>
      <c r="AD78" s="38" t="s">
        <v>70</v>
      </c>
      <c r="AE78" s="62">
        <v>0</v>
      </c>
      <c r="AF78" s="159">
        <v>0</v>
      </c>
      <c r="AG78" s="62">
        <f t="shared" si="19"/>
        <v>0</v>
      </c>
      <c r="AH78" s="206">
        <v>0</v>
      </c>
      <c r="AJ78" s="37">
        <v>33901</v>
      </c>
      <c r="AK78" s="38" t="s">
        <v>70</v>
      </c>
      <c r="AL78" s="62">
        <v>0</v>
      </c>
      <c r="AM78" s="159">
        <v>0</v>
      </c>
      <c r="AN78" s="62">
        <f t="shared" si="20"/>
        <v>0</v>
      </c>
      <c r="AO78" s="206"/>
      <c r="AQ78" s="37">
        <v>33901</v>
      </c>
      <c r="AR78" s="38" t="s">
        <v>70</v>
      </c>
      <c r="AS78" s="62">
        <v>250000</v>
      </c>
      <c r="AT78" s="159">
        <v>0</v>
      </c>
      <c r="AU78" s="62">
        <f t="shared" si="21"/>
        <v>0</v>
      </c>
      <c r="AV78" s="206"/>
      <c r="AW78" s="210"/>
      <c r="AX78" s="37">
        <v>33901</v>
      </c>
      <c r="AY78" s="38" t="s">
        <v>70</v>
      </c>
      <c r="AZ78" s="62">
        <v>0</v>
      </c>
      <c r="BA78" s="159">
        <v>0</v>
      </c>
      <c r="BB78" s="62">
        <f t="shared" si="22"/>
        <v>0</v>
      </c>
      <c r="BC78" s="206"/>
      <c r="BE78" s="37">
        <v>33901</v>
      </c>
      <c r="BF78" s="38" t="s">
        <v>70</v>
      </c>
      <c r="BG78" s="62">
        <v>0</v>
      </c>
      <c r="BH78" s="159">
        <v>0</v>
      </c>
      <c r="BI78" s="62">
        <f t="shared" si="23"/>
        <v>0</v>
      </c>
      <c r="BJ78" s="206"/>
    </row>
    <row r="79" spans="1:62" s="209" customFormat="1">
      <c r="A79" s="37">
        <v>33902</v>
      </c>
      <c r="B79" s="38" t="s">
        <v>71</v>
      </c>
      <c r="C79" s="62">
        <f t="shared" si="12"/>
        <v>0</v>
      </c>
      <c r="D79" s="62">
        <f t="shared" si="13"/>
        <v>0</v>
      </c>
      <c r="E79" s="62">
        <f t="shared" si="14"/>
        <v>0</v>
      </c>
      <c r="F79" s="206">
        <f t="shared" si="15"/>
        <v>0</v>
      </c>
      <c r="H79" s="37">
        <v>33902</v>
      </c>
      <c r="I79" s="38" t="s">
        <v>71</v>
      </c>
      <c r="J79" s="159">
        <v>0</v>
      </c>
      <c r="K79" s="15">
        <v>0</v>
      </c>
      <c r="L79" s="229">
        <f t="shared" si="16"/>
        <v>0</v>
      </c>
      <c r="M79" s="206"/>
      <c r="N79" s="208"/>
      <c r="O79" s="37">
        <v>33902</v>
      </c>
      <c r="P79" s="38" t="s">
        <v>71</v>
      </c>
      <c r="Q79" s="159"/>
      <c r="R79" s="159">
        <v>0</v>
      </c>
      <c r="S79" s="62">
        <f t="shared" si="17"/>
        <v>0</v>
      </c>
      <c r="T79" s="206"/>
      <c r="V79" s="37">
        <v>33902</v>
      </c>
      <c r="W79" s="38" t="s">
        <v>71</v>
      </c>
      <c r="X79" s="62">
        <v>0</v>
      </c>
      <c r="Y79" s="159">
        <v>0</v>
      </c>
      <c r="Z79" s="62">
        <f t="shared" si="18"/>
        <v>0</v>
      </c>
      <c r="AA79" s="206"/>
      <c r="AB79" s="207"/>
      <c r="AC79" s="37">
        <v>33902</v>
      </c>
      <c r="AD79" s="38" t="s">
        <v>71</v>
      </c>
      <c r="AE79" s="62">
        <v>0</v>
      </c>
      <c r="AF79" s="159">
        <v>0</v>
      </c>
      <c r="AG79" s="62">
        <f t="shared" si="19"/>
        <v>0</v>
      </c>
      <c r="AH79" s="206">
        <v>0</v>
      </c>
      <c r="AJ79" s="37">
        <v>33902</v>
      </c>
      <c r="AK79" s="38" t="s">
        <v>71</v>
      </c>
      <c r="AL79" s="62">
        <v>0</v>
      </c>
      <c r="AM79" s="159">
        <v>0</v>
      </c>
      <c r="AN79" s="62">
        <f t="shared" si="20"/>
        <v>0</v>
      </c>
      <c r="AO79" s="206"/>
      <c r="AQ79" s="37">
        <v>33902</v>
      </c>
      <c r="AR79" s="38" t="s">
        <v>71</v>
      </c>
      <c r="AS79" s="62">
        <v>0</v>
      </c>
      <c r="AT79" s="159">
        <v>0</v>
      </c>
      <c r="AU79" s="62">
        <f t="shared" si="21"/>
        <v>0</v>
      </c>
      <c r="AV79" s="206"/>
      <c r="AW79" s="210"/>
      <c r="AX79" s="37">
        <v>33902</v>
      </c>
      <c r="AY79" s="38" t="s">
        <v>71</v>
      </c>
      <c r="AZ79" s="62">
        <v>0</v>
      </c>
      <c r="BA79" s="159">
        <v>0</v>
      </c>
      <c r="BB79" s="62">
        <f t="shared" si="22"/>
        <v>0</v>
      </c>
      <c r="BC79" s="206"/>
      <c r="BE79" s="37">
        <v>33902</v>
      </c>
      <c r="BF79" s="38" t="s">
        <v>71</v>
      </c>
      <c r="BG79" s="62">
        <v>0</v>
      </c>
      <c r="BH79" s="159">
        <v>0</v>
      </c>
      <c r="BI79" s="62">
        <f t="shared" si="23"/>
        <v>0</v>
      </c>
      <c r="BJ79" s="206"/>
    </row>
    <row r="80" spans="1:62" s="209" customFormat="1" ht="33.75">
      <c r="A80" s="37">
        <v>34101</v>
      </c>
      <c r="B80" s="38" t="s">
        <v>72</v>
      </c>
      <c r="C80" s="62">
        <f t="shared" si="12"/>
        <v>60000</v>
      </c>
      <c r="D80" s="62">
        <f t="shared" si="13"/>
        <v>39933.720000000008</v>
      </c>
      <c r="E80" s="62">
        <f t="shared" si="14"/>
        <v>59900.580000000016</v>
      </c>
      <c r="F80" s="206">
        <f t="shared" si="15"/>
        <v>65000</v>
      </c>
      <c r="H80" s="37">
        <v>34101</v>
      </c>
      <c r="I80" s="38" t="s">
        <v>72</v>
      </c>
      <c r="J80" s="159">
        <v>0</v>
      </c>
      <c r="K80" s="15">
        <v>0</v>
      </c>
      <c r="L80" s="229">
        <f t="shared" si="16"/>
        <v>0</v>
      </c>
      <c r="M80" s="206"/>
      <c r="N80" s="208"/>
      <c r="O80" s="37">
        <v>34101</v>
      </c>
      <c r="P80" s="38" t="s">
        <v>72</v>
      </c>
      <c r="Q80" s="159"/>
      <c r="R80" s="159">
        <v>0</v>
      </c>
      <c r="S80" s="62">
        <f t="shared" si="17"/>
        <v>0</v>
      </c>
      <c r="T80" s="206"/>
      <c r="V80" s="37">
        <v>34101</v>
      </c>
      <c r="W80" s="38" t="s">
        <v>72</v>
      </c>
      <c r="X80" s="62">
        <v>60000</v>
      </c>
      <c r="Y80" s="159">
        <v>39933.720000000008</v>
      </c>
      <c r="Z80" s="62">
        <f t="shared" si="18"/>
        <v>59900.580000000016</v>
      </c>
      <c r="AA80" s="206">
        <v>65000</v>
      </c>
      <c r="AB80" s="207"/>
      <c r="AC80" s="37">
        <v>34101</v>
      </c>
      <c r="AD80" s="38" t="s">
        <v>72</v>
      </c>
      <c r="AE80" s="62">
        <v>0</v>
      </c>
      <c r="AF80" s="159">
        <v>0</v>
      </c>
      <c r="AG80" s="62">
        <f t="shared" si="19"/>
        <v>0</v>
      </c>
      <c r="AH80" s="206">
        <v>0</v>
      </c>
      <c r="AJ80" s="37">
        <v>34101</v>
      </c>
      <c r="AK80" s="38" t="s">
        <v>72</v>
      </c>
      <c r="AL80" s="62">
        <v>0</v>
      </c>
      <c r="AM80" s="159">
        <v>0</v>
      </c>
      <c r="AN80" s="62">
        <f t="shared" si="20"/>
        <v>0</v>
      </c>
      <c r="AO80" s="206"/>
      <c r="AQ80" s="37">
        <v>34101</v>
      </c>
      <c r="AR80" s="38" t="s">
        <v>72</v>
      </c>
      <c r="AS80" s="62">
        <v>0</v>
      </c>
      <c r="AT80" s="159">
        <v>0</v>
      </c>
      <c r="AU80" s="62">
        <f t="shared" si="21"/>
        <v>0</v>
      </c>
      <c r="AV80" s="206"/>
      <c r="AW80" s="210"/>
      <c r="AX80" s="37">
        <v>34101</v>
      </c>
      <c r="AY80" s="38" t="s">
        <v>72</v>
      </c>
      <c r="AZ80" s="62">
        <v>0</v>
      </c>
      <c r="BA80" s="159">
        <v>0</v>
      </c>
      <c r="BB80" s="62">
        <f t="shared" si="22"/>
        <v>0</v>
      </c>
      <c r="BC80" s="206"/>
      <c r="BE80" s="37">
        <v>34101</v>
      </c>
      <c r="BF80" s="38" t="s">
        <v>72</v>
      </c>
      <c r="BG80" s="62">
        <v>0</v>
      </c>
      <c r="BH80" s="159">
        <v>0</v>
      </c>
      <c r="BI80" s="62">
        <f t="shared" si="23"/>
        <v>0</v>
      </c>
      <c r="BJ80" s="206"/>
    </row>
    <row r="81" spans="1:62" s="209" customFormat="1" ht="45">
      <c r="A81" s="37">
        <v>34301</v>
      </c>
      <c r="B81" s="38" t="s">
        <v>73</v>
      </c>
      <c r="C81" s="62">
        <f t="shared" si="12"/>
        <v>0</v>
      </c>
      <c r="D81" s="62">
        <f t="shared" si="13"/>
        <v>0</v>
      </c>
      <c r="E81" s="62">
        <f t="shared" si="14"/>
        <v>0</v>
      </c>
      <c r="F81" s="206">
        <f t="shared" si="15"/>
        <v>0</v>
      </c>
      <c r="H81" s="37">
        <v>34301</v>
      </c>
      <c r="I81" s="38" t="s">
        <v>73</v>
      </c>
      <c r="J81" s="159">
        <v>0</v>
      </c>
      <c r="K81" s="15">
        <v>0</v>
      </c>
      <c r="L81" s="229">
        <f t="shared" si="16"/>
        <v>0</v>
      </c>
      <c r="M81" s="206"/>
      <c r="N81" s="208"/>
      <c r="O81" s="37">
        <v>34301</v>
      </c>
      <c r="P81" s="38" t="s">
        <v>73</v>
      </c>
      <c r="Q81" s="159"/>
      <c r="R81" s="159">
        <v>0</v>
      </c>
      <c r="S81" s="62">
        <f t="shared" si="17"/>
        <v>0</v>
      </c>
      <c r="T81" s="206"/>
      <c r="V81" s="37">
        <v>34301</v>
      </c>
      <c r="W81" s="38" t="s">
        <v>73</v>
      </c>
      <c r="X81" s="62">
        <v>0</v>
      </c>
      <c r="Y81" s="159">
        <v>0</v>
      </c>
      <c r="Z81" s="62">
        <f t="shared" si="18"/>
        <v>0</v>
      </c>
      <c r="AA81" s="206"/>
      <c r="AB81" s="207"/>
      <c r="AC81" s="37">
        <v>34301</v>
      </c>
      <c r="AD81" s="38" t="s">
        <v>73</v>
      </c>
      <c r="AE81" s="62">
        <v>0</v>
      </c>
      <c r="AF81" s="159">
        <v>0</v>
      </c>
      <c r="AG81" s="62">
        <f t="shared" si="19"/>
        <v>0</v>
      </c>
      <c r="AH81" s="206">
        <v>0</v>
      </c>
      <c r="AJ81" s="37">
        <v>34301</v>
      </c>
      <c r="AK81" s="38" t="s">
        <v>73</v>
      </c>
      <c r="AL81" s="62">
        <v>0</v>
      </c>
      <c r="AM81" s="159">
        <v>0</v>
      </c>
      <c r="AN81" s="62">
        <f t="shared" si="20"/>
        <v>0</v>
      </c>
      <c r="AO81" s="206"/>
      <c r="AQ81" s="37">
        <v>34301</v>
      </c>
      <c r="AR81" s="38" t="s">
        <v>73</v>
      </c>
      <c r="AS81" s="62">
        <v>0</v>
      </c>
      <c r="AT81" s="159">
        <v>0</v>
      </c>
      <c r="AU81" s="62">
        <f t="shared" si="21"/>
        <v>0</v>
      </c>
      <c r="AV81" s="206"/>
      <c r="AW81" s="210"/>
      <c r="AX81" s="37">
        <v>34301</v>
      </c>
      <c r="AY81" s="38" t="s">
        <v>73</v>
      </c>
      <c r="AZ81" s="62">
        <v>0</v>
      </c>
      <c r="BA81" s="159">
        <v>0</v>
      </c>
      <c r="BB81" s="62">
        <f t="shared" si="22"/>
        <v>0</v>
      </c>
      <c r="BC81" s="206"/>
      <c r="BE81" s="37">
        <v>34301</v>
      </c>
      <c r="BF81" s="38" t="s">
        <v>73</v>
      </c>
      <c r="BG81" s="62">
        <v>0</v>
      </c>
      <c r="BH81" s="159">
        <v>0</v>
      </c>
      <c r="BI81" s="62">
        <f t="shared" si="23"/>
        <v>0</v>
      </c>
      <c r="BJ81" s="206"/>
    </row>
    <row r="82" spans="1:62" s="209" customFormat="1" ht="45">
      <c r="A82" s="37">
        <v>34401</v>
      </c>
      <c r="B82" s="38" t="s">
        <v>74</v>
      </c>
      <c r="C82" s="62">
        <f t="shared" si="12"/>
        <v>1799251.1875999998</v>
      </c>
      <c r="D82" s="62">
        <f t="shared" si="13"/>
        <v>143590.75999999998</v>
      </c>
      <c r="E82" s="62">
        <f t="shared" si="14"/>
        <v>215386.13999999996</v>
      </c>
      <c r="F82" s="206">
        <f t="shared" si="15"/>
        <v>524000</v>
      </c>
      <c r="H82" s="37">
        <v>34401</v>
      </c>
      <c r="I82" s="38" t="s">
        <v>74</v>
      </c>
      <c r="J82" s="159">
        <v>294994.19440000004</v>
      </c>
      <c r="K82" s="15">
        <v>0</v>
      </c>
      <c r="L82" s="229">
        <f t="shared" si="16"/>
        <v>0</v>
      </c>
      <c r="M82" s="206"/>
      <c r="N82" s="208"/>
      <c r="O82" s="37">
        <v>34401</v>
      </c>
      <c r="P82" s="38" t="s">
        <v>74</v>
      </c>
      <c r="Q82" s="159">
        <v>8444.51</v>
      </c>
      <c r="R82" s="159">
        <v>0</v>
      </c>
      <c r="S82" s="62">
        <f t="shared" si="17"/>
        <v>0</v>
      </c>
      <c r="T82" s="206"/>
      <c r="V82" s="37">
        <v>34401</v>
      </c>
      <c r="W82" s="38" t="s">
        <v>74</v>
      </c>
      <c r="X82" s="62">
        <v>410297.15040000004</v>
      </c>
      <c r="Y82" s="159">
        <v>143590.75999999998</v>
      </c>
      <c r="Z82" s="62">
        <f t="shared" si="18"/>
        <v>215386.13999999996</v>
      </c>
      <c r="AA82" s="206">
        <v>240000</v>
      </c>
      <c r="AB82" s="207"/>
      <c r="AC82" s="37">
        <v>34401</v>
      </c>
      <c r="AD82" s="38" t="s">
        <v>74</v>
      </c>
      <c r="AE82" s="62">
        <v>461819.45519999997</v>
      </c>
      <c r="AF82" s="159">
        <v>0</v>
      </c>
      <c r="AG82" s="62">
        <f t="shared" si="19"/>
        <v>0</v>
      </c>
      <c r="AH82" s="206"/>
      <c r="AJ82" s="37">
        <v>34401</v>
      </c>
      <c r="AK82" s="38" t="s">
        <v>74</v>
      </c>
      <c r="AL82" s="62">
        <v>309817.30079999997</v>
      </c>
      <c r="AM82" s="159">
        <v>0</v>
      </c>
      <c r="AN82" s="62">
        <f t="shared" si="20"/>
        <v>0</v>
      </c>
      <c r="AO82" s="206"/>
      <c r="AP82" s="207"/>
      <c r="AQ82" s="37">
        <v>34401</v>
      </c>
      <c r="AR82" s="38" t="s">
        <v>74</v>
      </c>
      <c r="AS82" s="62">
        <v>29069.831999999999</v>
      </c>
      <c r="AT82" s="159">
        <v>0</v>
      </c>
      <c r="AU82" s="62">
        <f t="shared" si="21"/>
        <v>0</v>
      </c>
      <c r="AV82" s="206"/>
      <c r="AW82" s="210"/>
      <c r="AX82" s="37">
        <v>34401</v>
      </c>
      <c r="AY82" s="38" t="s">
        <v>74</v>
      </c>
      <c r="AZ82" s="62">
        <v>283568.64679999999</v>
      </c>
      <c r="BA82" s="159">
        <v>0</v>
      </c>
      <c r="BB82" s="62">
        <f t="shared" si="22"/>
        <v>0</v>
      </c>
      <c r="BC82" s="206">
        <v>284000</v>
      </c>
      <c r="BE82" s="37">
        <v>34401</v>
      </c>
      <c r="BF82" s="38" t="s">
        <v>74</v>
      </c>
      <c r="BG82" s="62">
        <v>1240.098</v>
      </c>
      <c r="BH82" s="159">
        <v>0</v>
      </c>
      <c r="BI82" s="62">
        <f t="shared" si="23"/>
        <v>0</v>
      </c>
      <c r="BJ82" s="206"/>
    </row>
    <row r="83" spans="1:62" s="209" customFormat="1">
      <c r="A83" s="37">
        <v>34701</v>
      </c>
      <c r="B83" s="38" t="s">
        <v>75</v>
      </c>
      <c r="C83" s="62">
        <f t="shared" si="12"/>
        <v>11000</v>
      </c>
      <c r="D83" s="62">
        <f t="shared" si="13"/>
        <v>0</v>
      </c>
      <c r="E83" s="62">
        <f t="shared" si="14"/>
        <v>0</v>
      </c>
      <c r="F83" s="206">
        <f t="shared" si="15"/>
        <v>0</v>
      </c>
      <c r="H83" s="37">
        <v>34701</v>
      </c>
      <c r="I83" s="38" t="s">
        <v>75</v>
      </c>
      <c r="J83" s="159">
        <v>0</v>
      </c>
      <c r="K83" s="15">
        <v>0</v>
      </c>
      <c r="L83" s="229">
        <f t="shared" si="16"/>
        <v>0</v>
      </c>
      <c r="M83" s="206"/>
      <c r="N83" s="208"/>
      <c r="O83" s="37">
        <v>34701</v>
      </c>
      <c r="P83" s="38" t="s">
        <v>75</v>
      </c>
      <c r="Q83" s="159"/>
      <c r="R83" s="159">
        <v>0</v>
      </c>
      <c r="S83" s="62">
        <f t="shared" si="17"/>
        <v>0</v>
      </c>
      <c r="T83" s="206"/>
      <c r="V83" s="37">
        <v>34701</v>
      </c>
      <c r="W83" s="38" t="s">
        <v>75</v>
      </c>
      <c r="X83" s="62">
        <v>7000</v>
      </c>
      <c r="Y83" s="159">
        <v>0</v>
      </c>
      <c r="Z83" s="62">
        <f t="shared" si="18"/>
        <v>0</v>
      </c>
      <c r="AA83" s="206"/>
      <c r="AB83" s="207"/>
      <c r="AC83" s="37">
        <v>34701</v>
      </c>
      <c r="AD83" s="38" t="s">
        <v>75</v>
      </c>
      <c r="AE83" s="62">
        <v>4000</v>
      </c>
      <c r="AF83" s="159">
        <v>0</v>
      </c>
      <c r="AG83" s="62">
        <f t="shared" si="19"/>
        <v>0</v>
      </c>
      <c r="AH83" s="206"/>
      <c r="AJ83" s="37">
        <v>34701</v>
      </c>
      <c r="AK83" s="38" t="s">
        <v>75</v>
      </c>
      <c r="AL83" s="62">
        <v>0</v>
      </c>
      <c r="AM83" s="159">
        <v>0</v>
      </c>
      <c r="AN83" s="62">
        <f t="shared" si="20"/>
        <v>0</v>
      </c>
      <c r="AO83" s="206"/>
      <c r="AQ83" s="37">
        <v>34701</v>
      </c>
      <c r="AR83" s="38" t="s">
        <v>75</v>
      </c>
      <c r="AS83" s="62">
        <v>0</v>
      </c>
      <c r="AT83" s="159">
        <v>0</v>
      </c>
      <c r="AU83" s="62">
        <f t="shared" si="21"/>
        <v>0</v>
      </c>
      <c r="AV83" s="206"/>
      <c r="AW83" s="210"/>
      <c r="AX83" s="37">
        <v>34701</v>
      </c>
      <c r="AY83" s="38" t="s">
        <v>75</v>
      </c>
      <c r="AZ83" s="62">
        <v>0</v>
      </c>
      <c r="BA83" s="159">
        <v>0</v>
      </c>
      <c r="BB83" s="62">
        <f t="shared" si="22"/>
        <v>0</v>
      </c>
      <c r="BC83" s="206"/>
      <c r="BE83" s="37">
        <v>34701</v>
      </c>
      <c r="BF83" s="38" t="s">
        <v>75</v>
      </c>
      <c r="BG83" s="62">
        <v>0</v>
      </c>
      <c r="BH83" s="159">
        <v>0</v>
      </c>
      <c r="BI83" s="62">
        <f t="shared" si="23"/>
        <v>0</v>
      </c>
      <c r="BJ83" s="206"/>
    </row>
    <row r="84" spans="1:62" s="209" customFormat="1" ht="33.75">
      <c r="A84" s="37">
        <v>35101</v>
      </c>
      <c r="B84" s="38" t="s">
        <v>76</v>
      </c>
      <c r="C84" s="62">
        <f t="shared" si="12"/>
        <v>396500</v>
      </c>
      <c r="D84" s="62">
        <f t="shared" si="13"/>
        <v>1340895.3500000001</v>
      </c>
      <c r="E84" s="62">
        <f t="shared" si="14"/>
        <v>2011343.0250000001</v>
      </c>
      <c r="F84" s="206">
        <f t="shared" si="15"/>
        <v>86800</v>
      </c>
      <c r="H84" s="37">
        <v>35101</v>
      </c>
      <c r="I84" s="38" t="s">
        <v>76</v>
      </c>
      <c r="J84" s="159">
        <v>5000</v>
      </c>
      <c r="K84" s="15">
        <v>0</v>
      </c>
      <c r="L84" s="229">
        <f t="shared" si="16"/>
        <v>0</v>
      </c>
      <c r="M84" s="206">
        <v>5000</v>
      </c>
      <c r="N84" s="208"/>
      <c r="O84" s="37">
        <v>35101</v>
      </c>
      <c r="P84" s="38" t="s">
        <v>76</v>
      </c>
      <c r="Q84" s="159"/>
      <c r="R84" s="159">
        <v>0</v>
      </c>
      <c r="S84" s="62">
        <f t="shared" si="17"/>
        <v>0</v>
      </c>
      <c r="T84" s="206"/>
      <c r="V84" s="37">
        <v>35101</v>
      </c>
      <c r="W84" s="38" t="s">
        <v>76</v>
      </c>
      <c r="X84" s="62">
        <v>350000</v>
      </c>
      <c r="Y84" s="159">
        <v>1340895.3500000001</v>
      </c>
      <c r="Z84" s="62">
        <f t="shared" si="18"/>
        <v>2011343.0250000001</v>
      </c>
      <c r="AA84" s="206"/>
      <c r="AB84" s="207"/>
      <c r="AC84" s="37">
        <v>35101</v>
      </c>
      <c r="AD84" s="38" t="s">
        <v>76</v>
      </c>
      <c r="AE84" s="62">
        <v>0</v>
      </c>
      <c r="AF84" s="159">
        <v>0</v>
      </c>
      <c r="AG84" s="62">
        <f t="shared" si="19"/>
        <v>0</v>
      </c>
      <c r="AH84" s="206">
        <v>0</v>
      </c>
      <c r="AJ84" s="37">
        <v>35101</v>
      </c>
      <c r="AK84" s="38" t="s">
        <v>76</v>
      </c>
      <c r="AL84" s="62">
        <v>30000</v>
      </c>
      <c r="AM84" s="159">
        <v>0</v>
      </c>
      <c r="AN84" s="62">
        <f t="shared" si="20"/>
        <v>0</v>
      </c>
      <c r="AO84" s="206">
        <v>31800</v>
      </c>
      <c r="AQ84" s="37">
        <v>35101</v>
      </c>
      <c r="AR84" s="38" t="s">
        <v>76</v>
      </c>
      <c r="AS84" s="62">
        <v>0</v>
      </c>
      <c r="AT84" s="159">
        <v>0</v>
      </c>
      <c r="AU84" s="62">
        <f t="shared" si="21"/>
        <v>0</v>
      </c>
      <c r="AV84" s="206"/>
      <c r="AW84" s="210"/>
      <c r="AX84" s="37">
        <v>35101</v>
      </c>
      <c r="AY84" s="38" t="s">
        <v>76</v>
      </c>
      <c r="AZ84" s="62">
        <v>2000</v>
      </c>
      <c r="BA84" s="159">
        <v>0</v>
      </c>
      <c r="BB84" s="62">
        <f t="shared" si="22"/>
        <v>0</v>
      </c>
      <c r="BC84" s="206"/>
      <c r="BE84" s="37">
        <v>35101</v>
      </c>
      <c r="BF84" s="38" t="s">
        <v>76</v>
      </c>
      <c r="BG84" s="62">
        <v>9500</v>
      </c>
      <c r="BH84" s="159">
        <v>0</v>
      </c>
      <c r="BI84" s="62">
        <f t="shared" si="23"/>
        <v>0</v>
      </c>
      <c r="BJ84" s="206">
        <v>50000</v>
      </c>
    </row>
    <row r="85" spans="1:62" s="209" customFormat="1" ht="33.75">
      <c r="A85" s="37">
        <v>35201</v>
      </c>
      <c r="B85" s="38" t="s">
        <v>77</v>
      </c>
      <c r="C85" s="62">
        <f t="shared" ref="C85:C112" si="24">J85+Q85+X85+AE85+AL85+AS85+AZ85+BG85</f>
        <v>150000</v>
      </c>
      <c r="D85" s="62">
        <f t="shared" ref="D85:D112" si="25">K85+R85+Y85+AF85+AM85+AT85+BA85+BH85</f>
        <v>395319.8</v>
      </c>
      <c r="E85" s="62">
        <f t="shared" ref="E85:E112" si="26">L85+S85+Z85+AG85+AN85+AU85+BB85+BI85</f>
        <v>592979.69999999995</v>
      </c>
      <c r="F85" s="206">
        <f t="shared" ref="F85:F112" si="27">M85+T85+AA85+AH85+AO85+AV85+BC85+BJ85</f>
        <v>5000</v>
      </c>
      <c r="H85" s="37">
        <v>35201</v>
      </c>
      <c r="I85" s="38" t="s">
        <v>77</v>
      </c>
      <c r="J85" s="159">
        <v>0</v>
      </c>
      <c r="K85" s="15">
        <v>479</v>
      </c>
      <c r="L85" s="229">
        <f t="shared" ref="L85:L112" si="28">((K85/8)*4)+K85</f>
        <v>718.5</v>
      </c>
      <c r="M85" s="206"/>
      <c r="N85" s="208"/>
      <c r="O85" s="37">
        <v>35201</v>
      </c>
      <c r="P85" s="38" t="s">
        <v>77</v>
      </c>
      <c r="Q85" s="159"/>
      <c r="R85" s="159">
        <v>0</v>
      </c>
      <c r="S85" s="62">
        <f t="shared" si="17"/>
        <v>0</v>
      </c>
      <c r="T85" s="206"/>
      <c r="V85" s="37">
        <v>35201</v>
      </c>
      <c r="W85" s="38" t="s">
        <v>77</v>
      </c>
      <c r="X85" s="62">
        <v>150000</v>
      </c>
      <c r="Y85" s="159">
        <v>394840.8</v>
      </c>
      <c r="Z85" s="62">
        <f t="shared" si="18"/>
        <v>592261.19999999995</v>
      </c>
      <c r="AA85" s="206"/>
      <c r="AB85" s="207"/>
      <c r="AC85" s="37">
        <v>35201</v>
      </c>
      <c r="AD85" s="38" t="s">
        <v>77</v>
      </c>
      <c r="AE85" s="62">
        <v>0</v>
      </c>
      <c r="AF85" s="159">
        <v>0</v>
      </c>
      <c r="AG85" s="62">
        <f t="shared" si="19"/>
        <v>0</v>
      </c>
      <c r="AH85" s="206">
        <v>0</v>
      </c>
      <c r="AJ85" s="37">
        <v>35201</v>
      </c>
      <c r="AK85" s="38" t="s">
        <v>77</v>
      </c>
      <c r="AL85" s="62">
        <v>0</v>
      </c>
      <c r="AM85" s="159">
        <v>0</v>
      </c>
      <c r="AN85" s="62">
        <f t="shared" si="20"/>
        <v>0</v>
      </c>
      <c r="AO85" s="206"/>
      <c r="AQ85" s="37">
        <v>35201</v>
      </c>
      <c r="AR85" s="38" t="s">
        <v>77</v>
      </c>
      <c r="AS85" s="62">
        <v>0</v>
      </c>
      <c r="AT85" s="159">
        <v>0</v>
      </c>
      <c r="AU85" s="62">
        <f t="shared" si="21"/>
        <v>0</v>
      </c>
      <c r="AV85" s="206"/>
      <c r="AW85" s="210"/>
      <c r="AX85" s="37">
        <v>35201</v>
      </c>
      <c r="AY85" s="38" t="s">
        <v>77</v>
      </c>
      <c r="AZ85" s="62">
        <v>0</v>
      </c>
      <c r="BA85" s="159">
        <v>0</v>
      </c>
      <c r="BB85" s="62">
        <f t="shared" si="22"/>
        <v>0</v>
      </c>
      <c r="BC85" s="206"/>
      <c r="BE85" s="37">
        <v>35201</v>
      </c>
      <c r="BF85" s="38" t="s">
        <v>77</v>
      </c>
      <c r="BG85" s="62">
        <v>0</v>
      </c>
      <c r="BH85" s="159">
        <v>0</v>
      </c>
      <c r="BI85" s="62">
        <f t="shared" si="23"/>
        <v>0</v>
      </c>
      <c r="BJ85" s="206">
        <v>5000</v>
      </c>
    </row>
    <row r="86" spans="1:62" s="209" customFormat="1">
      <c r="A86" s="37">
        <v>35301</v>
      </c>
      <c r="B86" s="38" t="s">
        <v>78</v>
      </c>
      <c r="C86" s="62">
        <f t="shared" si="24"/>
        <v>0</v>
      </c>
      <c r="D86" s="62">
        <f t="shared" si="25"/>
        <v>0</v>
      </c>
      <c r="E86" s="62">
        <f t="shared" si="26"/>
        <v>0</v>
      </c>
      <c r="F86" s="206">
        <f t="shared" si="27"/>
        <v>0</v>
      </c>
      <c r="H86" s="37">
        <v>35301</v>
      </c>
      <c r="I86" s="38" t="s">
        <v>78</v>
      </c>
      <c r="J86" s="159">
        <v>0</v>
      </c>
      <c r="K86" s="15">
        <v>0</v>
      </c>
      <c r="L86" s="229">
        <f t="shared" si="28"/>
        <v>0</v>
      </c>
      <c r="M86" s="206"/>
      <c r="N86" s="208"/>
      <c r="O86" s="37">
        <v>35301</v>
      </c>
      <c r="P86" s="38" t="s">
        <v>78</v>
      </c>
      <c r="Q86" s="159"/>
      <c r="R86" s="159">
        <v>0</v>
      </c>
      <c r="S86" s="62">
        <f t="shared" si="17"/>
        <v>0</v>
      </c>
      <c r="T86" s="206"/>
      <c r="V86" s="37">
        <v>35301</v>
      </c>
      <c r="W86" s="38" t="s">
        <v>78</v>
      </c>
      <c r="X86" s="62">
        <v>0</v>
      </c>
      <c r="Y86" s="159">
        <v>0</v>
      </c>
      <c r="Z86" s="62">
        <f t="shared" si="18"/>
        <v>0</v>
      </c>
      <c r="AA86" s="206"/>
      <c r="AB86" s="207"/>
      <c r="AC86" s="37">
        <v>35301</v>
      </c>
      <c r="AD86" s="38" t="s">
        <v>78</v>
      </c>
      <c r="AE86" s="62">
        <v>0</v>
      </c>
      <c r="AF86" s="159">
        <v>0</v>
      </c>
      <c r="AG86" s="62">
        <f t="shared" si="19"/>
        <v>0</v>
      </c>
      <c r="AH86" s="206">
        <v>0</v>
      </c>
      <c r="AJ86" s="37">
        <v>35301</v>
      </c>
      <c r="AK86" s="38" t="s">
        <v>78</v>
      </c>
      <c r="AL86" s="62">
        <v>0</v>
      </c>
      <c r="AM86" s="159">
        <v>0</v>
      </c>
      <c r="AN86" s="62">
        <f t="shared" si="20"/>
        <v>0</v>
      </c>
      <c r="AO86" s="206"/>
      <c r="AQ86" s="37">
        <v>35301</v>
      </c>
      <c r="AR86" s="38" t="s">
        <v>78</v>
      </c>
      <c r="AS86" s="62">
        <v>0</v>
      </c>
      <c r="AT86" s="159">
        <v>0</v>
      </c>
      <c r="AU86" s="62">
        <f t="shared" si="21"/>
        <v>0</v>
      </c>
      <c r="AV86" s="206"/>
      <c r="AW86" s="210"/>
      <c r="AX86" s="37">
        <v>35301</v>
      </c>
      <c r="AY86" s="38" t="s">
        <v>78</v>
      </c>
      <c r="AZ86" s="62">
        <v>0</v>
      </c>
      <c r="BA86" s="159">
        <v>0</v>
      </c>
      <c r="BB86" s="62">
        <f t="shared" si="22"/>
        <v>0</v>
      </c>
      <c r="BC86" s="206"/>
      <c r="BE86" s="37">
        <v>35301</v>
      </c>
      <c r="BF86" s="38" t="s">
        <v>78</v>
      </c>
      <c r="BG86" s="62">
        <v>0</v>
      </c>
      <c r="BH86" s="159">
        <v>0</v>
      </c>
      <c r="BI86" s="62">
        <f t="shared" si="23"/>
        <v>0</v>
      </c>
      <c r="BJ86" s="206"/>
    </row>
    <row r="87" spans="1:62" s="209" customFormat="1" ht="33.75">
      <c r="A87" s="37">
        <v>35302</v>
      </c>
      <c r="B87" s="38" t="s">
        <v>79</v>
      </c>
      <c r="C87" s="62">
        <f t="shared" si="24"/>
        <v>7000</v>
      </c>
      <c r="D87" s="62">
        <f t="shared" si="25"/>
        <v>0</v>
      </c>
      <c r="E87" s="62">
        <f t="shared" si="26"/>
        <v>0</v>
      </c>
      <c r="F87" s="206">
        <f t="shared" si="27"/>
        <v>5300</v>
      </c>
      <c r="H87" s="37">
        <v>35302</v>
      </c>
      <c r="I87" s="38" t="s">
        <v>79</v>
      </c>
      <c r="J87" s="159">
        <v>0</v>
      </c>
      <c r="K87" s="15">
        <v>0</v>
      </c>
      <c r="L87" s="229">
        <f t="shared" si="28"/>
        <v>0</v>
      </c>
      <c r="M87" s="206"/>
      <c r="N87" s="208"/>
      <c r="O87" s="37">
        <v>35302</v>
      </c>
      <c r="P87" s="38" t="s">
        <v>79</v>
      </c>
      <c r="Q87" s="159"/>
      <c r="R87" s="159">
        <v>0</v>
      </c>
      <c r="S87" s="62">
        <f t="shared" si="17"/>
        <v>0</v>
      </c>
      <c r="T87" s="206"/>
      <c r="V87" s="37">
        <v>35302</v>
      </c>
      <c r="W87" s="38" t="s">
        <v>79</v>
      </c>
      <c r="X87" s="62">
        <v>5000</v>
      </c>
      <c r="Y87" s="159">
        <v>0</v>
      </c>
      <c r="Z87" s="62">
        <f t="shared" si="18"/>
        <v>0</v>
      </c>
      <c r="AA87" s="206"/>
      <c r="AB87" s="207"/>
      <c r="AC87" s="37">
        <v>35302</v>
      </c>
      <c r="AD87" s="38" t="s">
        <v>79</v>
      </c>
      <c r="AE87" s="62">
        <v>2000</v>
      </c>
      <c r="AF87" s="159">
        <v>0</v>
      </c>
      <c r="AG87" s="62">
        <f t="shared" si="19"/>
        <v>0</v>
      </c>
      <c r="AH87" s="206">
        <v>2120</v>
      </c>
      <c r="AJ87" s="37">
        <v>35302</v>
      </c>
      <c r="AK87" s="38" t="s">
        <v>79</v>
      </c>
      <c r="AL87" s="62">
        <v>0</v>
      </c>
      <c r="AM87" s="159">
        <v>0</v>
      </c>
      <c r="AN87" s="62">
        <f t="shared" si="20"/>
        <v>0</v>
      </c>
      <c r="AO87" s="206"/>
      <c r="AQ87" s="37">
        <v>35302</v>
      </c>
      <c r="AR87" s="38" t="s">
        <v>79</v>
      </c>
      <c r="AS87" s="62">
        <v>0</v>
      </c>
      <c r="AT87" s="159">
        <v>0</v>
      </c>
      <c r="AU87" s="62">
        <f t="shared" si="21"/>
        <v>0</v>
      </c>
      <c r="AV87" s="206"/>
      <c r="AW87" s="210"/>
      <c r="AX87" s="37">
        <v>35302</v>
      </c>
      <c r="AY87" s="38" t="s">
        <v>79</v>
      </c>
      <c r="AZ87" s="62">
        <v>0</v>
      </c>
      <c r="BA87" s="159">
        <v>0</v>
      </c>
      <c r="BB87" s="62">
        <f t="shared" si="22"/>
        <v>0</v>
      </c>
      <c r="BC87" s="206"/>
      <c r="BE87" s="37">
        <v>35302</v>
      </c>
      <c r="BF87" s="38" t="s">
        <v>79</v>
      </c>
      <c r="BG87" s="62">
        <v>0</v>
      </c>
      <c r="BH87" s="159">
        <v>0</v>
      </c>
      <c r="BI87" s="62">
        <f t="shared" si="23"/>
        <v>0</v>
      </c>
      <c r="BJ87" s="206">
        <v>3180</v>
      </c>
    </row>
    <row r="88" spans="1:62" s="209" customFormat="1" ht="45">
      <c r="A88" s="37">
        <v>35501</v>
      </c>
      <c r="B88" s="38" t="s">
        <v>80</v>
      </c>
      <c r="C88" s="62">
        <f t="shared" si="24"/>
        <v>454800</v>
      </c>
      <c r="D88" s="62">
        <f t="shared" si="25"/>
        <v>220715.78880000001</v>
      </c>
      <c r="E88" s="62">
        <f t="shared" si="26"/>
        <v>315833.02332129306</v>
      </c>
      <c r="F88" s="206">
        <f t="shared" si="27"/>
        <v>90000</v>
      </c>
      <c r="H88" s="37">
        <v>35501</v>
      </c>
      <c r="I88" s="38" t="s">
        <v>80</v>
      </c>
      <c r="J88" s="159">
        <v>70000</v>
      </c>
      <c r="K88" s="15">
        <v>36419.821129314427</v>
      </c>
      <c r="L88" s="229">
        <f t="shared" si="28"/>
        <v>54629.73169397164</v>
      </c>
      <c r="M88" s="206">
        <v>0</v>
      </c>
      <c r="N88" s="208"/>
      <c r="O88" s="37">
        <v>35501</v>
      </c>
      <c r="P88" s="38" t="s">
        <v>80</v>
      </c>
      <c r="Q88" s="159">
        <v>31800</v>
      </c>
      <c r="R88" s="159">
        <v>4044.0035999999996</v>
      </c>
      <c r="S88" s="62">
        <f t="shared" si="17"/>
        <v>6066.0053999999991</v>
      </c>
      <c r="T88" s="206"/>
      <c r="V88" s="37">
        <v>35501</v>
      </c>
      <c r="W88" s="38" t="s">
        <v>80</v>
      </c>
      <c r="X88" s="62">
        <v>106000</v>
      </c>
      <c r="Y88" s="159">
        <v>67340.976997625155</v>
      </c>
      <c r="Z88" s="62">
        <f t="shared" si="18"/>
        <v>101011.46549643774</v>
      </c>
      <c r="AA88" s="206"/>
      <c r="AB88" s="207"/>
      <c r="AC88" s="37">
        <v>35501</v>
      </c>
      <c r="AD88" s="38" t="s">
        <v>80</v>
      </c>
      <c r="AE88" s="62">
        <v>30000</v>
      </c>
      <c r="AF88" s="159">
        <v>10160.439919137933</v>
      </c>
      <c r="AG88" s="62"/>
      <c r="AH88" s="206">
        <v>15000</v>
      </c>
      <c r="AJ88" s="37">
        <v>35501</v>
      </c>
      <c r="AK88" s="38" t="s">
        <v>80</v>
      </c>
      <c r="AL88" s="62">
        <v>80000</v>
      </c>
      <c r="AM88" s="159">
        <v>13166.232</v>
      </c>
      <c r="AN88" s="62">
        <f t="shared" si="20"/>
        <v>19749.347999999998</v>
      </c>
      <c r="AO88" s="206">
        <v>30000</v>
      </c>
      <c r="AQ88" s="37">
        <v>35501</v>
      </c>
      <c r="AR88" s="38" t="s">
        <v>80</v>
      </c>
      <c r="AS88" s="62">
        <v>75000</v>
      </c>
      <c r="AT88" s="159">
        <v>48660.67652857762</v>
      </c>
      <c r="AU88" s="62">
        <f t="shared" si="21"/>
        <v>72991.014792866423</v>
      </c>
      <c r="AV88" s="206">
        <v>30000</v>
      </c>
      <c r="AW88" s="210"/>
      <c r="AX88" s="37">
        <v>35501</v>
      </c>
      <c r="AY88" s="38" t="s">
        <v>80</v>
      </c>
      <c r="AZ88" s="62">
        <v>20000</v>
      </c>
      <c r="BA88" s="159">
        <v>0</v>
      </c>
      <c r="BB88" s="62">
        <f t="shared" si="22"/>
        <v>0</v>
      </c>
      <c r="BC88" s="206"/>
      <c r="BE88" s="37">
        <v>35501</v>
      </c>
      <c r="BF88" s="38" t="s">
        <v>80</v>
      </c>
      <c r="BG88" s="62">
        <v>42000</v>
      </c>
      <c r="BH88" s="159">
        <v>40923.638625344865</v>
      </c>
      <c r="BI88" s="62">
        <f t="shared" si="23"/>
        <v>61385.457938017295</v>
      </c>
      <c r="BJ88" s="206">
        <v>15000</v>
      </c>
    </row>
    <row r="89" spans="1:62" s="209" customFormat="1" ht="33.75">
      <c r="A89" s="37">
        <v>35701</v>
      </c>
      <c r="B89" s="38" t="s">
        <v>81</v>
      </c>
      <c r="C89" s="62">
        <f t="shared" si="24"/>
        <v>240000</v>
      </c>
      <c r="D89" s="62">
        <f t="shared" si="25"/>
        <v>499.96</v>
      </c>
      <c r="E89" s="62">
        <f t="shared" si="26"/>
        <v>749.93999999999994</v>
      </c>
      <c r="F89" s="206">
        <f t="shared" si="27"/>
        <v>0</v>
      </c>
      <c r="H89" s="37">
        <v>35701</v>
      </c>
      <c r="I89" s="38" t="s">
        <v>81</v>
      </c>
      <c r="J89" s="159">
        <v>0</v>
      </c>
      <c r="K89" s="15">
        <v>0</v>
      </c>
      <c r="L89" s="229">
        <f t="shared" si="28"/>
        <v>0</v>
      </c>
      <c r="M89" s="206"/>
      <c r="N89" s="208"/>
      <c r="O89" s="37">
        <v>35701</v>
      </c>
      <c r="P89" s="38" t="s">
        <v>81</v>
      </c>
      <c r="Q89" s="159"/>
      <c r="R89" s="159">
        <v>0</v>
      </c>
      <c r="S89" s="62">
        <f t="shared" si="17"/>
        <v>0</v>
      </c>
      <c r="T89" s="206"/>
      <c r="V89" s="37">
        <v>35701</v>
      </c>
      <c r="W89" s="38" t="s">
        <v>81</v>
      </c>
      <c r="X89" s="62">
        <v>0</v>
      </c>
      <c r="Y89" s="159">
        <v>0</v>
      </c>
      <c r="Z89" s="62">
        <f t="shared" si="18"/>
        <v>0</v>
      </c>
      <c r="AA89" s="206"/>
      <c r="AB89" s="207"/>
      <c r="AC89" s="37">
        <v>35701</v>
      </c>
      <c r="AD89" s="38" t="s">
        <v>81</v>
      </c>
      <c r="AE89" s="62">
        <v>200000</v>
      </c>
      <c r="AF89" s="159">
        <v>499.96</v>
      </c>
      <c r="AG89" s="62">
        <f t="shared" si="19"/>
        <v>749.93999999999994</v>
      </c>
      <c r="AH89" s="206"/>
      <c r="AJ89" s="37">
        <v>35701</v>
      </c>
      <c r="AK89" s="38" t="s">
        <v>81</v>
      </c>
      <c r="AL89" s="62">
        <v>0</v>
      </c>
      <c r="AM89" s="159">
        <v>0</v>
      </c>
      <c r="AN89" s="62">
        <f t="shared" si="20"/>
        <v>0</v>
      </c>
      <c r="AO89" s="206"/>
      <c r="AQ89" s="37">
        <v>35701</v>
      </c>
      <c r="AR89" s="38" t="s">
        <v>81</v>
      </c>
      <c r="AS89" s="62">
        <v>40000</v>
      </c>
      <c r="AT89" s="159">
        <v>0</v>
      </c>
      <c r="AU89" s="62">
        <f t="shared" si="21"/>
        <v>0</v>
      </c>
      <c r="AV89" s="206"/>
      <c r="AW89" s="210"/>
      <c r="AX89" s="37">
        <v>35701</v>
      </c>
      <c r="AY89" s="38" t="s">
        <v>81</v>
      </c>
      <c r="AZ89" s="62">
        <v>0</v>
      </c>
      <c r="BA89" s="159">
        <v>0</v>
      </c>
      <c r="BB89" s="62">
        <f t="shared" si="22"/>
        <v>0</v>
      </c>
      <c r="BC89" s="206"/>
      <c r="BE89" s="37">
        <v>35701</v>
      </c>
      <c r="BF89" s="38" t="s">
        <v>81</v>
      </c>
      <c r="BG89" s="62">
        <v>0</v>
      </c>
      <c r="BH89" s="159">
        <v>0</v>
      </c>
      <c r="BI89" s="62">
        <f t="shared" si="23"/>
        <v>0</v>
      </c>
      <c r="BJ89" s="206"/>
    </row>
    <row r="90" spans="1:62" s="209" customFormat="1" ht="78.75">
      <c r="A90" s="37">
        <v>35702</v>
      </c>
      <c r="B90" s="38" t="s">
        <v>82</v>
      </c>
      <c r="C90" s="62">
        <f t="shared" si="24"/>
        <v>0</v>
      </c>
      <c r="D90" s="62">
        <f t="shared" si="25"/>
        <v>0</v>
      </c>
      <c r="E90" s="62">
        <f t="shared" si="26"/>
        <v>0</v>
      </c>
      <c r="F90" s="206">
        <f t="shared" si="27"/>
        <v>0</v>
      </c>
      <c r="H90" s="37">
        <v>35702</v>
      </c>
      <c r="I90" s="38" t="s">
        <v>82</v>
      </c>
      <c r="J90" s="159">
        <v>0</v>
      </c>
      <c r="K90" s="15">
        <v>0</v>
      </c>
      <c r="L90" s="229">
        <f t="shared" si="28"/>
        <v>0</v>
      </c>
      <c r="M90" s="206"/>
      <c r="N90" s="208"/>
      <c r="O90" s="37">
        <v>35702</v>
      </c>
      <c r="P90" s="38" t="s">
        <v>82</v>
      </c>
      <c r="Q90" s="159"/>
      <c r="R90" s="159">
        <v>0</v>
      </c>
      <c r="S90" s="62">
        <f t="shared" si="17"/>
        <v>0</v>
      </c>
      <c r="T90" s="206"/>
      <c r="V90" s="37">
        <v>35702</v>
      </c>
      <c r="W90" s="38" t="s">
        <v>82</v>
      </c>
      <c r="X90" s="62">
        <v>0</v>
      </c>
      <c r="Y90" s="159">
        <v>0</v>
      </c>
      <c r="Z90" s="62">
        <f t="shared" si="18"/>
        <v>0</v>
      </c>
      <c r="AA90" s="206"/>
      <c r="AB90" s="207"/>
      <c r="AC90" s="37">
        <v>35702</v>
      </c>
      <c r="AD90" s="38" t="s">
        <v>82</v>
      </c>
      <c r="AE90" s="62">
        <v>0</v>
      </c>
      <c r="AF90" s="159">
        <v>0</v>
      </c>
      <c r="AG90" s="62">
        <f t="shared" si="19"/>
        <v>0</v>
      </c>
      <c r="AH90" s="206">
        <v>0</v>
      </c>
      <c r="AJ90" s="37">
        <v>35702</v>
      </c>
      <c r="AK90" s="38" t="s">
        <v>82</v>
      </c>
      <c r="AL90" s="62">
        <v>0</v>
      </c>
      <c r="AM90" s="159">
        <v>0</v>
      </c>
      <c r="AN90" s="62">
        <f t="shared" si="20"/>
        <v>0</v>
      </c>
      <c r="AO90" s="206"/>
      <c r="AQ90" s="37">
        <v>35702</v>
      </c>
      <c r="AR90" s="38" t="s">
        <v>82</v>
      </c>
      <c r="AS90" s="62">
        <v>0</v>
      </c>
      <c r="AT90" s="159">
        <v>0</v>
      </c>
      <c r="AU90" s="62">
        <f t="shared" si="21"/>
        <v>0</v>
      </c>
      <c r="AV90" s="206"/>
      <c r="AW90" s="210"/>
      <c r="AX90" s="37">
        <v>35702</v>
      </c>
      <c r="AY90" s="38" t="s">
        <v>82</v>
      </c>
      <c r="AZ90" s="62">
        <v>0</v>
      </c>
      <c r="BA90" s="159">
        <v>0</v>
      </c>
      <c r="BB90" s="62">
        <f t="shared" si="22"/>
        <v>0</v>
      </c>
      <c r="BC90" s="206"/>
      <c r="BE90" s="37">
        <v>35702</v>
      </c>
      <c r="BF90" s="38" t="s">
        <v>82</v>
      </c>
      <c r="BG90" s="62">
        <v>0</v>
      </c>
      <c r="BH90" s="159">
        <v>0</v>
      </c>
      <c r="BI90" s="62">
        <f t="shared" si="23"/>
        <v>0</v>
      </c>
      <c r="BJ90" s="206"/>
    </row>
    <row r="91" spans="1:62" s="209" customFormat="1" ht="33.75">
      <c r="A91" s="37">
        <v>35801</v>
      </c>
      <c r="B91" s="38"/>
      <c r="C91" s="62">
        <f t="shared" si="24"/>
        <v>135000</v>
      </c>
      <c r="D91" s="62">
        <f t="shared" si="25"/>
        <v>51596.800000000003</v>
      </c>
      <c r="E91" s="62">
        <f t="shared" si="26"/>
        <v>77395.200000000012</v>
      </c>
      <c r="F91" s="206">
        <f t="shared" si="27"/>
        <v>55761.48</v>
      </c>
      <c r="H91" s="37">
        <v>35801</v>
      </c>
      <c r="I91" s="38" t="s">
        <v>83</v>
      </c>
      <c r="J91" s="159">
        <v>0</v>
      </c>
      <c r="K91" s="15">
        <v>0</v>
      </c>
      <c r="L91" s="229">
        <f t="shared" si="28"/>
        <v>0</v>
      </c>
      <c r="M91" s="206"/>
      <c r="N91" s="208"/>
      <c r="O91" s="37">
        <v>35801</v>
      </c>
      <c r="P91" s="38" t="s">
        <v>83</v>
      </c>
      <c r="Q91" s="159"/>
      <c r="R91" s="159">
        <v>0</v>
      </c>
      <c r="S91" s="62">
        <f t="shared" si="17"/>
        <v>0</v>
      </c>
      <c r="T91" s="206"/>
      <c r="V91" s="37">
        <v>35801</v>
      </c>
      <c r="W91" s="38" t="s">
        <v>83</v>
      </c>
      <c r="X91" s="62">
        <v>135000</v>
      </c>
      <c r="Y91" s="159">
        <v>51596.800000000003</v>
      </c>
      <c r="Z91" s="62">
        <f t="shared" si="18"/>
        <v>77395.200000000012</v>
      </c>
      <c r="AA91" s="206">
        <v>55761.48</v>
      </c>
      <c r="AB91" s="207"/>
      <c r="AC91" s="37">
        <v>35801</v>
      </c>
      <c r="AD91" s="38" t="s">
        <v>83</v>
      </c>
      <c r="AE91" s="62">
        <v>0</v>
      </c>
      <c r="AF91" s="159">
        <v>0</v>
      </c>
      <c r="AG91" s="62">
        <f t="shared" si="19"/>
        <v>0</v>
      </c>
      <c r="AH91" s="206">
        <v>0</v>
      </c>
      <c r="AJ91" s="37">
        <v>35801</v>
      </c>
      <c r="AK91" s="38" t="s">
        <v>83</v>
      </c>
      <c r="AL91" s="62">
        <v>0</v>
      </c>
      <c r="AM91" s="159">
        <v>0</v>
      </c>
      <c r="AN91" s="62">
        <f t="shared" si="20"/>
        <v>0</v>
      </c>
      <c r="AO91" s="206"/>
      <c r="AQ91" s="37">
        <v>35801</v>
      </c>
      <c r="AR91" s="38" t="s">
        <v>83</v>
      </c>
      <c r="AS91" s="62">
        <v>0</v>
      </c>
      <c r="AT91" s="159">
        <v>0</v>
      </c>
      <c r="AU91" s="62">
        <f t="shared" si="21"/>
        <v>0</v>
      </c>
      <c r="AV91" s="206"/>
      <c r="AW91" s="210"/>
      <c r="AX91" s="37">
        <v>35801</v>
      </c>
      <c r="AY91" s="38" t="s">
        <v>83</v>
      </c>
      <c r="AZ91" s="62">
        <v>0</v>
      </c>
      <c r="BA91" s="159">
        <v>0</v>
      </c>
      <c r="BB91" s="62">
        <f t="shared" si="22"/>
        <v>0</v>
      </c>
      <c r="BC91" s="206"/>
      <c r="BE91" s="37">
        <v>35801</v>
      </c>
      <c r="BF91" s="38" t="s">
        <v>83</v>
      </c>
      <c r="BG91" s="62">
        <v>0</v>
      </c>
      <c r="BH91" s="159">
        <v>0</v>
      </c>
      <c r="BI91" s="62">
        <f t="shared" si="23"/>
        <v>0</v>
      </c>
      <c r="BJ91" s="206"/>
    </row>
    <row r="92" spans="1:62" s="209" customFormat="1" ht="33.75">
      <c r="A92" s="37">
        <v>35901</v>
      </c>
      <c r="B92" s="38" t="s">
        <v>84</v>
      </c>
      <c r="C92" s="62">
        <f t="shared" si="24"/>
        <v>170000</v>
      </c>
      <c r="D92" s="62">
        <f t="shared" si="25"/>
        <v>60772.880000000005</v>
      </c>
      <c r="E92" s="62">
        <f t="shared" si="26"/>
        <v>91159.32</v>
      </c>
      <c r="F92" s="206">
        <f t="shared" si="27"/>
        <v>0</v>
      </c>
      <c r="H92" s="37">
        <v>35901</v>
      </c>
      <c r="I92" s="38" t="s">
        <v>84</v>
      </c>
      <c r="J92" s="159">
        <v>0</v>
      </c>
      <c r="K92" s="15">
        <v>0</v>
      </c>
      <c r="L92" s="229">
        <f t="shared" si="28"/>
        <v>0</v>
      </c>
      <c r="M92" s="206"/>
      <c r="N92" s="208"/>
      <c r="O92" s="37">
        <v>35901</v>
      </c>
      <c r="P92" s="38" t="s">
        <v>84</v>
      </c>
      <c r="Q92" s="159"/>
      <c r="R92" s="159">
        <v>0</v>
      </c>
      <c r="S92" s="62">
        <f t="shared" si="17"/>
        <v>0</v>
      </c>
      <c r="T92" s="206"/>
      <c r="V92" s="37">
        <v>35901</v>
      </c>
      <c r="W92" s="38" t="s">
        <v>84</v>
      </c>
      <c r="X92" s="62">
        <v>170000</v>
      </c>
      <c r="Y92" s="159">
        <v>60772.880000000005</v>
      </c>
      <c r="Z92" s="62">
        <f t="shared" si="18"/>
        <v>91159.32</v>
      </c>
      <c r="AA92" s="206"/>
      <c r="AB92" s="207"/>
      <c r="AC92" s="37">
        <v>35901</v>
      </c>
      <c r="AD92" s="38" t="s">
        <v>84</v>
      </c>
      <c r="AE92" s="62">
        <v>0</v>
      </c>
      <c r="AF92" s="159">
        <v>0</v>
      </c>
      <c r="AG92" s="62">
        <f t="shared" si="19"/>
        <v>0</v>
      </c>
      <c r="AH92" s="206">
        <v>0</v>
      </c>
      <c r="AJ92" s="37">
        <v>35901</v>
      </c>
      <c r="AK92" s="38" t="s">
        <v>84</v>
      </c>
      <c r="AL92" s="62">
        <v>0</v>
      </c>
      <c r="AM92" s="159">
        <v>0</v>
      </c>
      <c r="AN92" s="62">
        <f t="shared" si="20"/>
        <v>0</v>
      </c>
      <c r="AO92" s="206"/>
      <c r="AQ92" s="37">
        <v>35901</v>
      </c>
      <c r="AR92" s="38" t="s">
        <v>84</v>
      </c>
      <c r="AS92" s="62">
        <v>0</v>
      </c>
      <c r="AT92" s="159">
        <v>0</v>
      </c>
      <c r="AU92" s="62">
        <f t="shared" si="21"/>
        <v>0</v>
      </c>
      <c r="AV92" s="206"/>
      <c r="AW92" s="210"/>
      <c r="AX92" s="37">
        <v>35901</v>
      </c>
      <c r="AY92" s="38" t="s">
        <v>84</v>
      </c>
      <c r="AZ92" s="62">
        <v>0</v>
      </c>
      <c r="BA92" s="159">
        <v>0</v>
      </c>
      <c r="BB92" s="62">
        <f t="shared" si="22"/>
        <v>0</v>
      </c>
      <c r="BC92" s="206"/>
      <c r="BE92" s="37">
        <v>35901</v>
      </c>
      <c r="BF92" s="38" t="s">
        <v>84</v>
      </c>
      <c r="BG92" s="62">
        <v>0</v>
      </c>
      <c r="BH92" s="159">
        <v>0</v>
      </c>
      <c r="BI92" s="62">
        <f t="shared" si="23"/>
        <v>0</v>
      </c>
      <c r="BJ92" s="206"/>
    </row>
    <row r="93" spans="1:62" s="209" customFormat="1" ht="67.5">
      <c r="A93" s="37">
        <v>36101</v>
      </c>
      <c r="B93" s="38" t="s">
        <v>85</v>
      </c>
      <c r="C93" s="62">
        <f t="shared" si="24"/>
        <v>25000</v>
      </c>
      <c r="D93" s="62">
        <f t="shared" si="25"/>
        <v>0</v>
      </c>
      <c r="E93" s="62">
        <f t="shared" si="26"/>
        <v>0</v>
      </c>
      <c r="F93" s="206">
        <f t="shared" si="27"/>
        <v>0</v>
      </c>
      <c r="H93" s="37">
        <v>36101</v>
      </c>
      <c r="I93" s="38" t="s">
        <v>85</v>
      </c>
      <c r="J93" s="159">
        <v>25000</v>
      </c>
      <c r="K93" s="15">
        <v>0</v>
      </c>
      <c r="L93" s="229">
        <f t="shared" si="28"/>
        <v>0</v>
      </c>
      <c r="M93" s="206">
        <v>0</v>
      </c>
      <c r="N93" s="208"/>
      <c r="O93" s="37">
        <v>36101</v>
      </c>
      <c r="P93" s="38" t="s">
        <v>85</v>
      </c>
      <c r="Q93" s="159"/>
      <c r="R93" s="159">
        <v>0</v>
      </c>
      <c r="S93" s="62">
        <f t="shared" si="17"/>
        <v>0</v>
      </c>
      <c r="T93" s="206"/>
      <c r="V93" s="37">
        <v>36101</v>
      </c>
      <c r="W93" s="38" t="s">
        <v>85</v>
      </c>
      <c r="X93" s="62">
        <v>0</v>
      </c>
      <c r="Y93" s="159">
        <v>0</v>
      </c>
      <c r="Z93" s="62">
        <f t="shared" si="18"/>
        <v>0</v>
      </c>
      <c r="AA93" s="206"/>
      <c r="AB93" s="207"/>
      <c r="AC93" s="37">
        <v>36101</v>
      </c>
      <c r="AD93" s="38" t="s">
        <v>85</v>
      </c>
      <c r="AE93" s="62">
        <v>0</v>
      </c>
      <c r="AF93" s="159">
        <v>0</v>
      </c>
      <c r="AG93" s="62">
        <f t="shared" si="19"/>
        <v>0</v>
      </c>
      <c r="AH93" s="206">
        <v>0</v>
      </c>
      <c r="AJ93" s="37">
        <v>36101</v>
      </c>
      <c r="AK93" s="38" t="s">
        <v>85</v>
      </c>
      <c r="AL93" s="62">
        <v>0</v>
      </c>
      <c r="AM93" s="159">
        <v>0</v>
      </c>
      <c r="AN93" s="62">
        <f t="shared" si="20"/>
        <v>0</v>
      </c>
      <c r="AO93" s="206"/>
      <c r="AQ93" s="37">
        <v>36101</v>
      </c>
      <c r="AR93" s="38" t="s">
        <v>85</v>
      </c>
      <c r="AS93" s="62">
        <v>0</v>
      </c>
      <c r="AT93" s="159">
        <v>0</v>
      </c>
      <c r="AU93" s="62">
        <f t="shared" si="21"/>
        <v>0</v>
      </c>
      <c r="AV93" s="206"/>
      <c r="AW93" s="210"/>
      <c r="AX93" s="37">
        <v>36101</v>
      </c>
      <c r="AY93" s="38" t="s">
        <v>85</v>
      </c>
      <c r="AZ93" s="62">
        <v>0</v>
      </c>
      <c r="BA93" s="159">
        <v>0</v>
      </c>
      <c r="BB93" s="62">
        <f t="shared" si="22"/>
        <v>0</v>
      </c>
      <c r="BC93" s="206"/>
      <c r="BE93" s="37">
        <v>36101</v>
      </c>
      <c r="BF93" s="38" t="s">
        <v>85</v>
      </c>
      <c r="BG93" s="62">
        <v>0</v>
      </c>
      <c r="BH93" s="159">
        <v>0</v>
      </c>
      <c r="BI93" s="62">
        <f t="shared" si="23"/>
        <v>0</v>
      </c>
      <c r="BJ93" s="206"/>
    </row>
    <row r="94" spans="1:62" s="209" customFormat="1" ht="33.75">
      <c r="A94" s="37">
        <v>36401</v>
      </c>
      <c r="B94" s="38" t="s">
        <v>86</v>
      </c>
      <c r="C94" s="62">
        <f t="shared" si="24"/>
        <v>0</v>
      </c>
      <c r="D94" s="62">
        <f t="shared" si="25"/>
        <v>0</v>
      </c>
      <c r="E94" s="62">
        <f t="shared" si="26"/>
        <v>0</v>
      </c>
      <c r="F94" s="206">
        <f t="shared" si="27"/>
        <v>0</v>
      </c>
      <c r="H94" s="37">
        <v>36401</v>
      </c>
      <c r="I94" s="38" t="s">
        <v>86</v>
      </c>
      <c r="J94" s="159">
        <v>0</v>
      </c>
      <c r="K94" s="15">
        <v>0</v>
      </c>
      <c r="L94" s="229">
        <f t="shared" si="28"/>
        <v>0</v>
      </c>
      <c r="M94" s="206"/>
      <c r="N94" s="208"/>
      <c r="O94" s="37">
        <v>36401</v>
      </c>
      <c r="P94" s="38" t="s">
        <v>86</v>
      </c>
      <c r="Q94" s="159"/>
      <c r="R94" s="159">
        <v>0</v>
      </c>
      <c r="S94" s="62">
        <f t="shared" si="17"/>
        <v>0</v>
      </c>
      <c r="T94" s="206"/>
      <c r="V94" s="37">
        <v>36401</v>
      </c>
      <c r="W94" s="38" t="s">
        <v>86</v>
      </c>
      <c r="X94" s="62">
        <v>0</v>
      </c>
      <c r="Y94" s="159">
        <v>0</v>
      </c>
      <c r="Z94" s="62">
        <f t="shared" si="18"/>
        <v>0</v>
      </c>
      <c r="AA94" s="206"/>
      <c r="AB94" s="207"/>
      <c r="AC94" s="37">
        <v>36401</v>
      </c>
      <c r="AD94" s="38" t="s">
        <v>86</v>
      </c>
      <c r="AE94" s="62">
        <v>0</v>
      </c>
      <c r="AF94" s="159">
        <v>0</v>
      </c>
      <c r="AG94" s="62">
        <f t="shared" si="19"/>
        <v>0</v>
      </c>
      <c r="AH94" s="206">
        <v>0</v>
      </c>
      <c r="AJ94" s="37">
        <v>36401</v>
      </c>
      <c r="AK94" s="38" t="s">
        <v>86</v>
      </c>
      <c r="AL94" s="62">
        <v>0</v>
      </c>
      <c r="AM94" s="159">
        <v>0</v>
      </c>
      <c r="AN94" s="62">
        <f t="shared" si="20"/>
        <v>0</v>
      </c>
      <c r="AO94" s="206"/>
      <c r="AQ94" s="37">
        <v>36401</v>
      </c>
      <c r="AR94" s="38" t="s">
        <v>86</v>
      </c>
      <c r="AS94" s="62">
        <v>0</v>
      </c>
      <c r="AT94" s="159">
        <v>0</v>
      </c>
      <c r="AU94" s="62">
        <f t="shared" si="21"/>
        <v>0</v>
      </c>
      <c r="AV94" s="206"/>
      <c r="AW94" s="210"/>
      <c r="AX94" s="37">
        <v>36401</v>
      </c>
      <c r="AY94" s="38" t="s">
        <v>86</v>
      </c>
      <c r="AZ94" s="62">
        <v>0</v>
      </c>
      <c r="BA94" s="159">
        <v>0</v>
      </c>
      <c r="BB94" s="62">
        <f t="shared" si="22"/>
        <v>0</v>
      </c>
      <c r="BC94" s="206"/>
      <c r="BE94" s="37">
        <v>36401</v>
      </c>
      <c r="BF94" s="38" t="s">
        <v>86</v>
      </c>
      <c r="BG94" s="62">
        <v>0</v>
      </c>
      <c r="BH94" s="159">
        <v>0</v>
      </c>
      <c r="BI94" s="62">
        <f t="shared" si="23"/>
        <v>0</v>
      </c>
      <c r="BJ94" s="206"/>
    </row>
    <row r="95" spans="1:62" s="209" customFormat="1" ht="33.75">
      <c r="A95" s="37">
        <v>36501</v>
      </c>
      <c r="B95" s="38" t="s">
        <v>87</v>
      </c>
      <c r="C95" s="62">
        <f t="shared" si="24"/>
        <v>60000</v>
      </c>
      <c r="D95" s="62">
        <f t="shared" si="25"/>
        <v>0</v>
      </c>
      <c r="E95" s="62">
        <f t="shared" si="26"/>
        <v>0</v>
      </c>
      <c r="F95" s="206">
        <f t="shared" si="27"/>
        <v>0</v>
      </c>
      <c r="H95" s="37">
        <v>36501</v>
      </c>
      <c r="I95" s="38" t="s">
        <v>87</v>
      </c>
      <c r="J95" s="159">
        <v>0</v>
      </c>
      <c r="K95" s="15">
        <v>0</v>
      </c>
      <c r="L95" s="229">
        <f t="shared" si="28"/>
        <v>0</v>
      </c>
      <c r="M95" s="206"/>
      <c r="N95" s="208"/>
      <c r="O95" s="37">
        <v>36501</v>
      </c>
      <c r="P95" s="38" t="s">
        <v>87</v>
      </c>
      <c r="Q95" s="159"/>
      <c r="R95" s="159">
        <v>0</v>
      </c>
      <c r="S95" s="62">
        <f t="shared" si="17"/>
        <v>0</v>
      </c>
      <c r="T95" s="206"/>
      <c r="V95" s="37">
        <v>36501</v>
      </c>
      <c r="W95" s="38" t="s">
        <v>87</v>
      </c>
      <c r="X95" s="62">
        <v>0</v>
      </c>
      <c r="Y95" s="159">
        <v>0</v>
      </c>
      <c r="Z95" s="62">
        <f t="shared" si="18"/>
        <v>0</v>
      </c>
      <c r="AA95" s="206"/>
      <c r="AB95" s="207"/>
      <c r="AC95" s="37">
        <v>36501</v>
      </c>
      <c r="AD95" s="38" t="s">
        <v>87</v>
      </c>
      <c r="AE95" s="62">
        <v>60000</v>
      </c>
      <c r="AF95" s="159">
        <v>0</v>
      </c>
      <c r="AG95" s="62">
        <f t="shared" si="19"/>
        <v>0</v>
      </c>
      <c r="AH95" s="206">
        <v>0</v>
      </c>
      <c r="AJ95" s="37">
        <v>36501</v>
      </c>
      <c r="AK95" s="38" t="s">
        <v>87</v>
      </c>
      <c r="AL95" s="62">
        <v>0</v>
      </c>
      <c r="AM95" s="159">
        <v>0</v>
      </c>
      <c r="AN95" s="62">
        <f t="shared" si="20"/>
        <v>0</v>
      </c>
      <c r="AO95" s="206"/>
      <c r="AQ95" s="37">
        <v>36501</v>
      </c>
      <c r="AR95" s="38" t="s">
        <v>87</v>
      </c>
      <c r="AS95" s="62">
        <v>0</v>
      </c>
      <c r="AT95" s="159">
        <v>0</v>
      </c>
      <c r="AU95" s="62">
        <f t="shared" si="21"/>
        <v>0</v>
      </c>
      <c r="AV95" s="206"/>
      <c r="AW95" s="210"/>
      <c r="AX95" s="37">
        <v>36501</v>
      </c>
      <c r="AY95" s="38" t="s">
        <v>87</v>
      </c>
      <c r="AZ95" s="62">
        <v>0</v>
      </c>
      <c r="BA95" s="159">
        <v>0</v>
      </c>
      <c r="BB95" s="62">
        <f t="shared" si="22"/>
        <v>0</v>
      </c>
      <c r="BC95" s="206"/>
      <c r="BE95" s="37">
        <v>36501</v>
      </c>
      <c r="BF95" s="38" t="s">
        <v>87</v>
      </c>
      <c r="BG95" s="62">
        <v>0</v>
      </c>
      <c r="BH95" s="159">
        <v>0</v>
      </c>
      <c r="BI95" s="62">
        <f t="shared" si="23"/>
        <v>0</v>
      </c>
      <c r="BJ95" s="206"/>
    </row>
    <row r="96" spans="1:62" s="209" customFormat="1" ht="22.5">
      <c r="A96" s="37">
        <v>36901</v>
      </c>
      <c r="B96" s="38" t="s">
        <v>88</v>
      </c>
      <c r="C96" s="62">
        <f t="shared" si="24"/>
        <v>0</v>
      </c>
      <c r="D96" s="62">
        <f t="shared" si="25"/>
        <v>0</v>
      </c>
      <c r="E96" s="62">
        <f t="shared" si="26"/>
        <v>0</v>
      </c>
      <c r="F96" s="206">
        <f t="shared" si="27"/>
        <v>0</v>
      </c>
      <c r="H96" s="37">
        <v>36901</v>
      </c>
      <c r="I96" s="38" t="s">
        <v>88</v>
      </c>
      <c r="J96" s="159">
        <v>0</v>
      </c>
      <c r="K96" s="15">
        <v>0</v>
      </c>
      <c r="L96" s="229">
        <f t="shared" si="28"/>
        <v>0</v>
      </c>
      <c r="M96" s="206"/>
      <c r="N96" s="208"/>
      <c r="O96" s="37">
        <v>36901</v>
      </c>
      <c r="P96" s="38" t="s">
        <v>88</v>
      </c>
      <c r="Q96" s="159"/>
      <c r="R96" s="159">
        <v>0</v>
      </c>
      <c r="S96" s="62">
        <f t="shared" si="17"/>
        <v>0</v>
      </c>
      <c r="T96" s="206"/>
      <c r="V96" s="37">
        <v>36901</v>
      </c>
      <c r="W96" s="38" t="s">
        <v>88</v>
      </c>
      <c r="X96" s="62">
        <v>0</v>
      </c>
      <c r="Y96" s="159">
        <v>0</v>
      </c>
      <c r="Z96" s="62">
        <f t="shared" si="18"/>
        <v>0</v>
      </c>
      <c r="AA96" s="206"/>
      <c r="AB96" s="207"/>
      <c r="AC96" s="37">
        <v>36901</v>
      </c>
      <c r="AD96" s="38" t="s">
        <v>88</v>
      </c>
      <c r="AE96" s="62">
        <v>0</v>
      </c>
      <c r="AF96" s="159">
        <v>0</v>
      </c>
      <c r="AG96" s="62">
        <f t="shared" si="19"/>
        <v>0</v>
      </c>
      <c r="AH96" s="206">
        <v>0</v>
      </c>
      <c r="AJ96" s="37">
        <v>36901</v>
      </c>
      <c r="AK96" s="38" t="s">
        <v>88</v>
      </c>
      <c r="AL96" s="62">
        <v>0</v>
      </c>
      <c r="AM96" s="159">
        <v>0</v>
      </c>
      <c r="AN96" s="62">
        <f t="shared" si="20"/>
        <v>0</v>
      </c>
      <c r="AO96" s="206"/>
      <c r="AQ96" s="37">
        <v>36901</v>
      </c>
      <c r="AR96" s="38" t="s">
        <v>88</v>
      </c>
      <c r="AS96" s="62">
        <v>0</v>
      </c>
      <c r="AT96" s="159">
        <v>0</v>
      </c>
      <c r="AU96" s="62">
        <f t="shared" si="21"/>
        <v>0</v>
      </c>
      <c r="AV96" s="206"/>
      <c r="AW96" s="210"/>
      <c r="AX96" s="37">
        <v>36901</v>
      </c>
      <c r="AY96" s="38" t="s">
        <v>88</v>
      </c>
      <c r="AZ96" s="62">
        <v>0</v>
      </c>
      <c r="BA96" s="159">
        <v>0</v>
      </c>
      <c r="BB96" s="62">
        <f t="shared" si="22"/>
        <v>0</v>
      </c>
      <c r="BC96" s="206"/>
      <c r="BE96" s="37">
        <v>36901</v>
      </c>
      <c r="BF96" s="38" t="s">
        <v>88</v>
      </c>
      <c r="BG96" s="62">
        <v>0</v>
      </c>
      <c r="BH96" s="159">
        <v>0</v>
      </c>
      <c r="BI96" s="62">
        <f t="shared" si="23"/>
        <v>0</v>
      </c>
      <c r="BJ96" s="206"/>
    </row>
    <row r="97" spans="1:62" s="209" customFormat="1" ht="22.5">
      <c r="A97" s="37">
        <v>37101</v>
      </c>
      <c r="B97" s="38" t="s">
        <v>89</v>
      </c>
      <c r="C97" s="62">
        <f t="shared" si="24"/>
        <v>701000</v>
      </c>
      <c r="D97" s="62">
        <f t="shared" si="25"/>
        <v>76959.977599999998</v>
      </c>
      <c r="E97" s="62">
        <f t="shared" si="26"/>
        <v>115439.96639999999</v>
      </c>
      <c r="F97" s="206">
        <f t="shared" si="27"/>
        <v>75000</v>
      </c>
      <c r="H97" s="37">
        <v>37101</v>
      </c>
      <c r="I97" s="38" t="s">
        <v>89</v>
      </c>
      <c r="J97" s="159">
        <v>250000</v>
      </c>
      <c r="K97" s="15">
        <v>30123.9836</v>
      </c>
      <c r="L97" s="229">
        <f t="shared" si="28"/>
        <v>45185.975399999996</v>
      </c>
      <c r="M97" s="206">
        <v>40000</v>
      </c>
      <c r="N97" s="208"/>
      <c r="O97" s="37">
        <v>37101</v>
      </c>
      <c r="P97" s="38" t="s">
        <v>89</v>
      </c>
      <c r="Q97" s="159">
        <v>70000</v>
      </c>
      <c r="R97" s="159">
        <v>0</v>
      </c>
      <c r="S97" s="62">
        <f t="shared" si="17"/>
        <v>0</v>
      </c>
      <c r="T97" s="206"/>
      <c r="V97" s="37">
        <v>37101</v>
      </c>
      <c r="W97" s="38" t="s">
        <v>89</v>
      </c>
      <c r="X97" s="62">
        <v>140000</v>
      </c>
      <c r="Y97" s="159">
        <v>0</v>
      </c>
      <c r="Z97" s="62">
        <f t="shared" si="18"/>
        <v>0</v>
      </c>
      <c r="AA97" s="206"/>
      <c r="AB97" s="207"/>
      <c r="AC97" s="37">
        <v>37101</v>
      </c>
      <c r="AD97" s="38" t="s">
        <v>89</v>
      </c>
      <c r="AE97" s="62">
        <v>60000</v>
      </c>
      <c r="AF97" s="159">
        <v>0</v>
      </c>
      <c r="AG97" s="62">
        <f t="shared" si="19"/>
        <v>0</v>
      </c>
      <c r="AH97" s="206"/>
      <c r="AJ97" s="37">
        <v>37101</v>
      </c>
      <c r="AK97" s="38" t="s">
        <v>89</v>
      </c>
      <c r="AL97" s="62">
        <v>80000</v>
      </c>
      <c r="AM97" s="159">
        <v>46835.993999999999</v>
      </c>
      <c r="AN97" s="62">
        <f t="shared" si="20"/>
        <v>70253.990999999995</v>
      </c>
      <c r="AO97" s="385">
        <v>20000</v>
      </c>
      <c r="AQ97" s="37">
        <v>37101</v>
      </c>
      <c r="AR97" s="38" t="s">
        <v>89</v>
      </c>
      <c r="AS97" s="62">
        <v>45000</v>
      </c>
      <c r="AT97" s="159">
        <v>0</v>
      </c>
      <c r="AU97" s="62">
        <f t="shared" si="21"/>
        <v>0</v>
      </c>
      <c r="AV97" s="206">
        <v>0</v>
      </c>
      <c r="AW97" s="210"/>
      <c r="AX97" s="37">
        <v>37101</v>
      </c>
      <c r="AY97" s="38" t="s">
        <v>89</v>
      </c>
      <c r="AZ97" s="62">
        <v>40000</v>
      </c>
      <c r="BA97" s="159">
        <v>0</v>
      </c>
      <c r="BB97" s="62">
        <f t="shared" si="22"/>
        <v>0</v>
      </c>
      <c r="BC97" s="206">
        <v>0</v>
      </c>
      <c r="BE97" s="37">
        <v>37101</v>
      </c>
      <c r="BF97" s="38" t="s">
        <v>89</v>
      </c>
      <c r="BG97" s="62">
        <v>16000</v>
      </c>
      <c r="BH97" s="159">
        <v>0</v>
      </c>
      <c r="BI97" s="62">
        <f t="shared" si="23"/>
        <v>0</v>
      </c>
      <c r="BJ97" s="206">
        <v>15000</v>
      </c>
    </row>
    <row r="98" spans="1:62" s="209" customFormat="1" ht="22.5">
      <c r="A98" s="37">
        <v>37104</v>
      </c>
      <c r="B98" s="38" t="s">
        <v>90</v>
      </c>
      <c r="C98" s="62">
        <f t="shared" si="24"/>
        <v>0</v>
      </c>
      <c r="D98" s="62">
        <f t="shared" si="25"/>
        <v>0</v>
      </c>
      <c r="E98" s="62">
        <f t="shared" si="26"/>
        <v>0</v>
      </c>
      <c r="F98" s="206">
        <f t="shared" si="27"/>
        <v>0</v>
      </c>
      <c r="H98" s="37">
        <v>37104</v>
      </c>
      <c r="I98" s="38" t="s">
        <v>90</v>
      </c>
      <c r="J98" s="159">
        <v>0</v>
      </c>
      <c r="K98" s="15">
        <v>0</v>
      </c>
      <c r="L98" s="229">
        <f t="shared" si="28"/>
        <v>0</v>
      </c>
      <c r="M98" s="206"/>
      <c r="N98" s="208"/>
      <c r="O98" s="37">
        <v>37104</v>
      </c>
      <c r="P98" s="38" t="s">
        <v>90</v>
      </c>
      <c r="Q98" s="159"/>
      <c r="R98" s="159">
        <v>0</v>
      </c>
      <c r="S98" s="62">
        <f t="shared" si="17"/>
        <v>0</v>
      </c>
      <c r="T98" s="206"/>
      <c r="V98" s="37">
        <v>37104</v>
      </c>
      <c r="W98" s="38" t="s">
        <v>90</v>
      </c>
      <c r="X98" s="62">
        <v>0</v>
      </c>
      <c r="Y98" s="159">
        <v>0</v>
      </c>
      <c r="Z98" s="62">
        <f t="shared" si="18"/>
        <v>0</v>
      </c>
      <c r="AA98" s="206"/>
      <c r="AB98" s="207"/>
      <c r="AC98" s="37">
        <v>37104</v>
      </c>
      <c r="AD98" s="38" t="s">
        <v>90</v>
      </c>
      <c r="AE98" s="62">
        <v>0</v>
      </c>
      <c r="AF98" s="159">
        <v>0</v>
      </c>
      <c r="AG98" s="62">
        <f t="shared" si="19"/>
        <v>0</v>
      </c>
      <c r="AH98" s="206">
        <v>0</v>
      </c>
      <c r="AJ98" s="37">
        <v>37104</v>
      </c>
      <c r="AK98" s="38" t="s">
        <v>90</v>
      </c>
      <c r="AL98" s="62">
        <v>0</v>
      </c>
      <c r="AM98" s="159">
        <v>0</v>
      </c>
      <c r="AN98" s="62">
        <f t="shared" si="20"/>
        <v>0</v>
      </c>
      <c r="AO98" s="206"/>
      <c r="AQ98" s="37">
        <v>37104</v>
      </c>
      <c r="AR98" s="38" t="s">
        <v>90</v>
      </c>
      <c r="AS98" s="62">
        <v>0</v>
      </c>
      <c r="AT98" s="159">
        <v>0</v>
      </c>
      <c r="AU98" s="62">
        <f t="shared" si="21"/>
        <v>0</v>
      </c>
      <c r="AV98" s="206"/>
      <c r="AW98" s="210"/>
      <c r="AX98" s="37">
        <v>37104</v>
      </c>
      <c r="AY98" s="38" t="s">
        <v>90</v>
      </c>
      <c r="AZ98" s="62">
        <v>0</v>
      </c>
      <c r="BA98" s="159">
        <v>0</v>
      </c>
      <c r="BB98" s="62">
        <f t="shared" si="22"/>
        <v>0</v>
      </c>
      <c r="BC98" s="206"/>
      <c r="BE98" s="37">
        <v>37104</v>
      </c>
      <c r="BF98" s="38" t="s">
        <v>90</v>
      </c>
      <c r="BG98" s="62">
        <v>0</v>
      </c>
      <c r="BH98" s="159">
        <v>0</v>
      </c>
      <c r="BI98" s="62">
        <f t="shared" si="23"/>
        <v>0</v>
      </c>
      <c r="BJ98" s="206"/>
    </row>
    <row r="99" spans="1:62" s="209" customFormat="1">
      <c r="A99" s="37">
        <v>37201</v>
      </c>
      <c r="B99" s="38" t="s">
        <v>91</v>
      </c>
      <c r="C99" s="62">
        <f t="shared" si="24"/>
        <v>81000</v>
      </c>
      <c r="D99" s="62">
        <f t="shared" si="25"/>
        <v>16751.039199999999</v>
      </c>
      <c r="E99" s="62">
        <f t="shared" si="26"/>
        <v>25126.558800000003</v>
      </c>
      <c r="F99" s="206">
        <f t="shared" si="27"/>
        <v>9860</v>
      </c>
      <c r="H99" s="37">
        <v>37201</v>
      </c>
      <c r="I99" s="38" t="s">
        <v>91</v>
      </c>
      <c r="J99" s="159">
        <v>12000</v>
      </c>
      <c r="K99" s="15">
        <v>2384.0356000000002</v>
      </c>
      <c r="L99" s="229">
        <f t="shared" si="28"/>
        <v>3576.0534000000002</v>
      </c>
      <c r="M99" s="206"/>
      <c r="N99" s="208"/>
      <c r="O99" s="37">
        <v>37201</v>
      </c>
      <c r="P99" s="38" t="s">
        <v>91</v>
      </c>
      <c r="Q99" s="159">
        <v>2000</v>
      </c>
      <c r="R99" s="159">
        <v>0</v>
      </c>
      <c r="S99" s="62">
        <f t="shared" si="17"/>
        <v>0</v>
      </c>
      <c r="T99" s="206">
        <v>2120</v>
      </c>
      <c r="V99" s="37">
        <v>37201</v>
      </c>
      <c r="W99" s="38" t="s">
        <v>91</v>
      </c>
      <c r="X99" s="62">
        <v>20000</v>
      </c>
      <c r="Y99" s="159">
        <v>0</v>
      </c>
      <c r="Z99" s="62">
        <f t="shared" si="18"/>
        <v>0</v>
      </c>
      <c r="AA99" s="206"/>
      <c r="AB99" s="207"/>
      <c r="AC99" s="37">
        <v>37201</v>
      </c>
      <c r="AD99" s="38" t="s">
        <v>91</v>
      </c>
      <c r="AE99" s="62">
        <v>32000</v>
      </c>
      <c r="AF99" s="159">
        <v>14367.0036</v>
      </c>
      <c r="AG99" s="62">
        <f t="shared" si="19"/>
        <v>21550.505400000002</v>
      </c>
      <c r="AH99" s="206"/>
      <c r="AJ99" s="37">
        <v>37201</v>
      </c>
      <c r="AK99" s="38" t="s">
        <v>91</v>
      </c>
      <c r="AL99" s="62">
        <v>6500</v>
      </c>
      <c r="AM99" s="159">
        <v>0</v>
      </c>
      <c r="AN99" s="62">
        <f t="shared" si="20"/>
        <v>0</v>
      </c>
      <c r="AO99" s="206"/>
      <c r="AQ99" s="37">
        <v>37201</v>
      </c>
      <c r="AR99" s="38" t="s">
        <v>91</v>
      </c>
      <c r="AS99" s="62">
        <v>3500</v>
      </c>
      <c r="AT99" s="159">
        <v>0</v>
      </c>
      <c r="AU99" s="62">
        <f t="shared" si="21"/>
        <v>0</v>
      </c>
      <c r="AV99" s="206">
        <v>3500</v>
      </c>
      <c r="AW99" s="210"/>
      <c r="AX99" s="37">
        <v>37201</v>
      </c>
      <c r="AY99" s="38" t="s">
        <v>91</v>
      </c>
      <c r="AZ99" s="62">
        <v>5000</v>
      </c>
      <c r="BA99" s="159">
        <v>0</v>
      </c>
      <c r="BB99" s="62">
        <f t="shared" si="22"/>
        <v>0</v>
      </c>
      <c r="BC99" s="206"/>
      <c r="BE99" s="37">
        <v>37201</v>
      </c>
      <c r="BF99" s="38" t="s">
        <v>91</v>
      </c>
      <c r="BG99" s="62">
        <v>0</v>
      </c>
      <c r="BH99" s="159">
        <v>0</v>
      </c>
      <c r="BI99" s="62">
        <f t="shared" si="23"/>
        <v>0</v>
      </c>
      <c r="BJ99" s="206">
        <v>4240</v>
      </c>
    </row>
    <row r="100" spans="1:62" s="209" customFormat="1">
      <c r="A100" s="37">
        <v>37501</v>
      </c>
      <c r="B100" s="38" t="s">
        <v>92</v>
      </c>
      <c r="C100" s="62">
        <f t="shared" si="24"/>
        <v>974000</v>
      </c>
      <c r="D100" s="62">
        <f t="shared" si="25"/>
        <v>525550</v>
      </c>
      <c r="E100" s="62">
        <f t="shared" si="26"/>
        <v>788325</v>
      </c>
      <c r="F100" s="206">
        <f t="shared" si="27"/>
        <v>455000</v>
      </c>
      <c r="H100" s="37">
        <v>37501</v>
      </c>
      <c r="I100" s="38" t="s">
        <v>92</v>
      </c>
      <c r="J100" s="159">
        <v>90000</v>
      </c>
      <c r="K100" s="15">
        <v>13600</v>
      </c>
      <c r="L100" s="229">
        <f t="shared" si="28"/>
        <v>20400</v>
      </c>
      <c r="M100" s="206">
        <v>45000</v>
      </c>
      <c r="N100" s="208"/>
      <c r="O100" s="37">
        <v>37501</v>
      </c>
      <c r="P100" s="38" t="s">
        <v>92</v>
      </c>
      <c r="Q100" s="159">
        <v>60000</v>
      </c>
      <c r="R100" s="159">
        <v>10950</v>
      </c>
      <c r="S100" s="62">
        <f t="shared" si="17"/>
        <v>16425</v>
      </c>
      <c r="T100" s="206">
        <v>20000</v>
      </c>
      <c r="U100" s="207"/>
      <c r="V100" s="37">
        <v>37501</v>
      </c>
      <c r="W100" s="38" t="s">
        <v>92</v>
      </c>
      <c r="X100" s="62">
        <v>300000</v>
      </c>
      <c r="Y100" s="159">
        <v>244300</v>
      </c>
      <c r="Z100" s="62">
        <f t="shared" si="18"/>
        <v>366450</v>
      </c>
      <c r="AA100" s="206">
        <v>10000</v>
      </c>
      <c r="AB100" s="207"/>
      <c r="AC100" s="37">
        <v>37501</v>
      </c>
      <c r="AD100" s="38" t="s">
        <v>92</v>
      </c>
      <c r="AE100" s="62">
        <v>85000</v>
      </c>
      <c r="AF100" s="159">
        <v>29500</v>
      </c>
      <c r="AG100" s="62">
        <f t="shared" si="19"/>
        <v>44250</v>
      </c>
      <c r="AH100" s="206">
        <v>50000</v>
      </c>
      <c r="AJ100" s="37">
        <v>37501</v>
      </c>
      <c r="AK100" s="38" t="s">
        <v>92</v>
      </c>
      <c r="AL100" s="62">
        <v>125000</v>
      </c>
      <c r="AM100" s="159">
        <v>117650</v>
      </c>
      <c r="AN100" s="62">
        <f t="shared" si="20"/>
        <v>176475</v>
      </c>
      <c r="AO100" s="206">
        <v>200000</v>
      </c>
      <c r="AP100" s="207"/>
      <c r="AQ100" s="37">
        <v>37501</v>
      </c>
      <c r="AR100" s="38" t="s">
        <v>92</v>
      </c>
      <c r="AS100" s="62">
        <v>200000</v>
      </c>
      <c r="AT100" s="159">
        <v>77550</v>
      </c>
      <c r="AU100" s="62">
        <f t="shared" si="21"/>
        <v>116325</v>
      </c>
      <c r="AV100" s="206">
        <v>100000</v>
      </c>
      <c r="AW100" s="210"/>
      <c r="AX100" s="37">
        <v>37501</v>
      </c>
      <c r="AY100" s="38" t="s">
        <v>92</v>
      </c>
      <c r="AZ100" s="62">
        <v>40000</v>
      </c>
      <c r="BA100" s="159">
        <v>0</v>
      </c>
      <c r="BB100" s="62">
        <f t="shared" si="22"/>
        <v>0</v>
      </c>
      <c r="BC100" s="206"/>
      <c r="BE100" s="37">
        <v>37501</v>
      </c>
      <c r="BF100" s="38" t="s">
        <v>92</v>
      </c>
      <c r="BG100" s="62">
        <v>74000</v>
      </c>
      <c r="BH100" s="159">
        <v>32000</v>
      </c>
      <c r="BI100" s="62">
        <f t="shared" si="23"/>
        <v>48000</v>
      </c>
      <c r="BJ100" s="206">
        <v>30000</v>
      </c>
    </row>
    <row r="101" spans="1:62" s="209" customFormat="1">
      <c r="A101" s="37">
        <v>37502</v>
      </c>
      <c r="B101" s="38" t="s">
        <v>93</v>
      </c>
      <c r="C101" s="62">
        <f t="shared" si="24"/>
        <v>511000</v>
      </c>
      <c r="D101" s="62">
        <f t="shared" si="25"/>
        <v>196100</v>
      </c>
      <c r="E101" s="62">
        <f t="shared" si="26"/>
        <v>294150</v>
      </c>
      <c r="F101" s="206">
        <f t="shared" si="27"/>
        <v>165000</v>
      </c>
      <c r="H101" s="37">
        <v>37502</v>
      </c>
      <c r="I101" s="38" t="s">
        <v>93</v>
      </c>
      <c r="J101" s="159">
        <v>40000</v>
      </c>
      <c r="K101" s="15">
        <v>9200</v>
      </c>
      <c r="L101" s="229">
        <f t="shared" si="28"/>
        <v>13800</v>
      </c>
      <c r="M101" s="206">
        <v>20000</v>
      </c>
      <c r="N101" s="208"/>
      <c r="O101" s="37">
        <v>37502</v>
      </c>
      <c r="P101" s="38" t="s">
        <v>93</v>
      </c>
      <c r="Q101" s="159">
        <v>40000</v>
      </c>
      <c r="R101" s="159">
        <v>6100</v>
      </c>
      <c r="S101" s="62">
        <f t="shared" si="17"/>
        <v>9150</v>
      </c>
      <c r="T101" s="206">
        <v>10000</v>
      </c>
      <c r="U101" s="207"/>
      <c r="V101" s="37">
        <v>37502</v>
      </c>
      <c r="W101" s="38" t="s">
        <v>93</v>
      </c>
      <c r="X101" s="62">
        <v>110000</v>
      </c>
      <c r="Y101" s="159">
        <v>55700</v>
      </c>
      <c r="Z101" s="62">
        <f t="shared" si="18"/>
        <v>83550</v>
      </c>
      <c r="AA101" s="206">
        <v>5000</v>
      </c>
      <c r="AB101" s="207"/>
      <c r="AC101" s="37">
        <v>37502</v>
      </c>
      <c r="AD101" s="38" t="s">
        <v>93</v>
      </c>
      <c r="AE101" s="62">
        <v>46000</v>
      </c>
      <c r="AF101" s="159">
        <v>14300</v>
      </c>
      <c r="AG101" s="62">
        <f t="shared" si="19"/>
        <v>21450</v>
      </c>
      <c r="AH101" s="206">
        <v>5000</v>
      </c>
      <c r="AJ101" s="37">
        <v>37502</v>
      </c>
      <c r="AK101" s="38" t="s">
        <v>93</v>
      </c>
      <c r="AL101" s="62">
        <v>135000</v>
      </c>
      <c r="AM101" s="159">
        <v>80100</v>
      </c>
      <c r="AN101" s="62">
        <f t="shared" si="20"/>
        <v>120150</v>
      </c>
      <c r="AO101" s="206">
        <v>80000</v>
      </c>
      <c r="AP101" s="207"/>
      <c r="AQ101" s="37">
        <v>37502</v>
      </c>
      <c r="AR101" s="38" t="s">
        <v>93</v>
      </c>
      <c r="AS101" s="62">
        <v>100000</v>
      </c>
      <c r="AT101" s="159">
        <v>27500</v>
      </c>
      <c r="AU101" s="62">
        <f t="shared" si="21"/>
        <v>41250</v>
      </c>
      <c r="AV101" s="206">
        <v>40000</v>
      </c>
      <c r="AW101" s="210"/>
      <c r="AX101" s="37">
        <v>37502</v>
      </c>
      <c r="AY101" s="38" t="s">
        <v>93</v>
      </c>
      <c r="AZ101" s="62">
        <v>27000</v>
      </c>
      <c r="BA101" s="159">
        <v>0</v>
      </c>
      <c r="BB101" s="62">
        <f t="shared" si="22"/>
        <v>0</v>
      </c>
      <c r="BC101" s="206"/>
      <c r="BE101" s="37">
        <v>37502</v>
      </c>
      <c r="BF101" s="38" t="s">
        <v>93</v>
      </c>
      <c r="BG101" s="62">
        <v>13000</v>
      </c>
      <c r="BH101" s="159">
        <v>3200</v>
      </c>
      <c r="BI101" s="62">
        <f t="shared" si="23"/>
        <v>4800</v>
      </c>
      <c r="BJ101" s="206">
        <v>5000</v>
      </c>
    </row>
    <row r="102" spans="1:62" s="209" customFormat="1" ht="22.5">
      <c r="A102" s="37">
        <v>37601</v>
      </c>
      <c r="B102" s="38" t="s">
        <v>94</v>
      </c>
      <c r="C102" s="62">
        <f t="shared" si="24"/>
        <v>135000</v>
      </c>
      <c r="D102" s="62">
        <f t="shared" si="25"/>
        <v>0</v>
      </c>
      <c r="E102" s="62">
        <f t="shared" si="26"/>
        <v>0</v>
      </c>
      <c r="F102" s="206">
        <f t="shared" si="27"/>
        <v>30000</v>
      </c>
      <c r="H102" s="37">
        <v>37601</v>
      </c>
      <c r="I102" s="38" t="s">
        <v>94</v>
      </c>
      <c r="J102" s="159">
        <v>70000</v>
      </c>
      <c r="K102" s="15">
        <v>0</v>
      </c>
      <c r="L102" s="229">
        <f t="shared" si="28"/>
        <v>0</v>
      </c>
      <c r="M102" s="206">
        <v>30000</v>
      </c>
      <c r="N102" s="208"/>
      <c r="O102" s="37">
        <v>37601</v>
      </c>
      <c r="P102" s="38" t="s">
        <v>94</v>
      </c>
      <c r="Q102" s="159"/>
      <c r="R102" s="159">
        <v>0</v>
      </c>
      <c r="S102" s="62">
        <f t="shared" si="17"/>
        <v>0</v>
      </c>
      <c r="T102" s="206"/>
      <c r="V102" s="37">
        <v>37601</v>
      </c>
      <c r="W102" s="38" t="s">
        <v>94</v>
      </c>
      <c r="X102" s="62">
        <v>0</v>
      </c>
      <c r="Y102" s="159">
        <v>0</v>
      </c>
      <c r="Z102" s="62">
        <f t="shared" si="18"/>
        <v>0</v>
      </c>
      <c r="AA102" s="206"/>
      <c r="AB102" s="207"/>
      <c r="AC102" s="37">
        <v>37601</v>
      </c>
      <c r="AD102" s="38" t="s">
        <v>94</v>
      </c>
      <c r="AE102" s="62">
        <v>20000</v>
      </c>
      <c r="AF102" s="159">
        <v>0</v>
      </c>
      <c r="AG102" s="62">
        <f t="shared" si="19"/>
        <v>0</v>
      </c>
      <c r="AH102" s="206">
        <v>0</v>
      </c>
      <c r="AJ102" s="37">
        <v>37601</v>
      </c>
      <c r="AK102" s="38" t="s">
        <v>94</v>
      </c>
      <c r="AL102" s="62">
        <v>20000</v>
      </c>
      <c r="AM102" s="159">
        <v>0</v>
      </c>
      <c r="AN102" s="62">
        <f t="shared" si="20"/>
        <v>0</v>
      </c>
      <c r="AO102" s="206">
        <v>0</v>
      </c>
      <c r="AQ102" s="37">
        <v>37601</v>
      </c>
      <c r="AR102" s="38" t="s">
        <v>94</v>
      </c>
      <c r="AS102" s="62">
        <v>5000</v>
      </c>
      <c r="AT102" s="159">
        <v>0</v>
      </c>
      <c r="AU102" s="62">
        <f t="shared" si="21"/>
        <v>0</v>
      </c>
      <c r="AV102" s="206"/>
      <c r="AW102" s="210"/>
      <c r="AX102" s="37">
        <v>37601</v>
      </c>
      <c r="AY102" s="38" t="s">
        <v>94</v>
      </c>
      <c r="AZ102" s="62">
        <v>20000</v>
      </c>
      <c r="BA102" s="159">
        <v>0</v>
      </c>
      <c r="BB102" s="62">
        <f t="shared" si="22"/>
        <v>0</v>
      </c>
      <c r="BC102" s="206">
        <v>0</v>
      </c>
      <c r="BE102" s="37">
        <v>37601</v>
      </c>
      <c r="BF102" s="38" t="s">
        <v>94</v>
      </c>
      <c r="BG102" s="62">
        <v>0</v>
      </c>
      <c r="BH102" s="159">
        <v>0</v>
      </c>
      <c r="BI102" s="62">
        <f t="shared" si="23"/>
        <v>0</v>
      </c>
      <c r="BJ102" s="206"/>
    </row>
    <row r="103" spans="1:62" s="209" customFormat="1" ht="33.75">
      <c r="A103" s="37">
        <v>37801</v>
      </c>
      <c r="B103" s="38" t="s">
        <v>95</v>
      </c>
      <c r="C103" s="62">
        <f t="shared" si="24"/>
        <v>13500</v>
      </c>
      <c r="D103" s="62">
        <f t="shared" si="25"/>
        <v>0</v>
      </c>
      <c r="E103" s="62">
        <f t="shared" si="26"/>
        <v>0</v>
      </c>
      <c r="F103" s="206">
        <f t="shared" si="27"/>
        <v>0</v>
      </c>
      <c r="H103" s="37">
        <v>37801</v>
      </c>
      <c r="I103" s="38" t="s">
        <v>95</v>
      </c>
      <c r="J103" s="159">
        <v>0</v>
      </c>
      <c r="K103" s="15">
        <v>0</v>
      </c>
      <c r="L103" s="229">
        <f t="shared" si="28"/>
        <v>0</v>
      </c>
      <c r="M103" s="206"/>
      <c r="N103" s="208"/>
      <c r="O103" s="37">
        <v>37801</v>
      </c>
      <c r="P103" s="38" t="s">
        <v>95</v>
      </c>
      <c r="Q103" s="159">
        <v>6000</v>
      </c>
      <c r="R103" s="159">
        <v>0</v>
      </c>
      <c r="S103" s="62">
        <f t="shared" si="17"/>
        <v>0</v>
      </c>
      <c r="T103" s="206"/>
      <c r="V103" s="37">
        <v>37801</v>
      </c>
      <c r="W103" s="38" t="s">
        <v>95</v>
      </c>
      <c r="X103" s="62">
        <v>7500</v>
      </c>
      <c r="Y103" s="159">
        <v>0</v>
      </c>
      <c r="Z103" s="62">
        <f t="shared" si="18"/>
        <v>0</v>
      </c>
      <c r="AA103" s="206"/>
      <c r="AB103" s="207"/>
      <c r="AC103" s="37">
        <v>37801</v>
      </c>
      <c r="AD103" s="38" t="s">
        <v>95</v>
      </c>
      <c r="AE103" s="62">
        <v>0</v>
      </c>
      <c r="AF103" s="159">
        <v>0</v>
      </c>
      <c r="AG103" s="62">
        <f t="shared" si="19"/>
        <v>0</v>
      </c>
      <c r="AH103" s="206">
        <v>0</v>
      </c>
      <c r="AJ103" s="37">
        <v>37801</v>
      </c>
      <c r="AK103" s="38" t="s">
        <v>95</v>
      </c>
      <c r="AL103" s="62">
        <v>0</v>
      </c>
      <c r="AM103" s="159">
        <v>0</v>
      </c>
      <c r="AN103" s="62">
        <f t="shared" si="20"/>
        <v>0</v>
      </c>
      <c r="AO103" s="206"/>
      <c r="AQ103" s="37">
        <v>37801</v>
      </c>
      <c r="AR103" s="38" t="s">
        <v>95</v>
      </c>
      <c r="AS103" s="62">
        <v>0</v>
      </c>
      <c r="AT103" s="159">
        <v>0</v>
      </c>
      <c r="AU103" s="62">
        <f t="shared" si="21"/>
        <v>0</v>
      </c>
      <c r="AV103" s="206"/>
      <c r="AW103" s="210"/>
      <c r="AX103" s="37">
        <v>37801</v>
      </c>
      <c r="AY103" s="38" t="s">
        <v>95</v>
      </c>
      <c r="AZ103" s="62">
        <v>0</v>
      </c>
      <c r="BA103" s="159">
        <v>0</v>
      </c>
      <c r="BB103" s="62">
        <f t="shared" si="22"/>
        <v>0</v>
      </c>
      <c r="BC103" s="206"/>
      <c r="BE103" s="37">
        <v>37801</v>
      </c>
      <c r="BF103" s="38" t="s">
        <v>95</v>
      </c>
      <c r="BG103" s="62">
        <v>0</v>
      </c>
      <c r="BH103" s="159">
        <v>0</v>
      </c>
      <c r="BI103" s="62">
        <f t="shared" si="23"/>
        <v>0</v>
      </c>
      <c r="BJ103" s="206"/>
    </row>
    <row r="104" spans="1:62" s="209" customFormat="1">
      <c r="A104" s="37">
        <v>37901</v>
      </c>
      <c r="B104" s="38" t="s">
        <v>96</v>
      </c>
      <c r="C104" s="62">
        <f t="shared" si="24"/>
        <v>67000</v>
      </c>
      <c r="D104" s="62">
        <f t="shared" si="25"/>
        <v>1233.9951999999998</v>
      </c>
      <c r="E104" s="62">
        <f t="shared" si="26"/>
        <v>1850.9928</v>
      </c>
      <c r="F104" s="206">
        <f t="shared" si="27"/>
        <v>27899.66</v>
      </c>
      <c r="H104" s="37">
        <v>37901</v>
      </c>
      <c r="I104" s="38" t="s">
        <v>96</v>
      </c>
      <c r="J104" s="159">
        <v>10000</v>
      </c>
      <c r="K104" s="15">
        <v>0</v>
      </c>
      <c r="L104" s="229">
        <f t="shared" si="28"/>
        <v>0</v>
      </c>
      <c r="M104" s="206">
        <f>10000+779.66</f>
        <v>10779.66</v>
      </c>
      <c r="N104" s="208"/>
      <c r="O104" s="37">
        <v>37901</v>
      </c>
      <c r="P104" s="38" t="s">
        <v>96</v>
      </c>
      <c r="Q104" s="159"/>
      <c r="R104" s="159">
        <v>0</v>
      </c>
      <c r="S104" s="62">
        <f t="shared" si="17"/>
        <v>0</v>
      </c>
      <c r="T104" s="206"/>
      <c r="V104" s="37">
        <v>37901</v>
      </c>
      <c r="W104" s="38" t="s">
        <v>96</v>
      </c>
      <c r="X104" s="62">
        <v>12000</v>
      </c>
      <c r="Y104" s="159">
        <v>0</v>
      </c>
      <c r="Z104" s="62">
        <f t="shared" si="18"/>
        <v>0</v>
      </c>
      <c r="AA104" s="206"/>
      <c r="AB104" s="207"/>
      <c r="AC104" s="37">
        <v>37901</v>
      </c>
      <c r="AD104" s="38" t="s">
        <v>96</v>
      </c>
      <c r="AE104" s="62">
        <v>12000</v>
      </c>
      <c r="AF104" s="159">
        <v>0</v>
      </c>
      <c r="AG104" s="62">
        <f t="shared" si="19"/>
        <v>0</v>
      </c>
      <c r="AH104" s="206">
        <v>5000</v>
      </c>
      <c r="AJ104" s="37">
        <v>37901</v>
      </c>
      <c r="AK104" s="38" t="s">
        <v>96</v>
      </c>
      <c r="AL104" s="62">
        <v>15000</v>
      </c>
      <c r="AM104" s="159">
        <v>372.00039999999996</v>
      </c>
      <c r="AN104" s="62">
        <f t="shared" si="20"/>
        <v>558.00059999999996</v>
      </c>
      <c r="AO104" s="206">
        <v>5000</v>
      </c>
      <c r="AQ104" s="37">
        <v>37901</v>
      </c>
      <c r="AR104" s="38" t="s">
        <v>96</v>
      </c>
      <c r="AS104" s="62">
        <v>15000</v>
      </c>
      <c r="AT104" s="159">
        <v>861.99479999999994</v>
      </c>
      <c r="AU104" s="62">
        <f t="shared" si="21"/>
        <v>1292.9921999999999</v>
      </c>
      <c r="AV104" s="206">
        <v>5000</v>
      </c>
      <c r="AW104" s="210"/>
      <c r="AX104" s="37">
        <v>37901</v>
      </c>
      <c r="AY104" s="38" t="s">
        <v>96</v>
      </c>
      <c r="AZ104" s="62">
        <v>1500</v>
      </c>
      <c r="BA104" s="159">
        <v>0</v>
      </c>
      <c r="BB104" s="62">
        <f t="shared" si="22"/>
        <v>0</v>
      </c>
      <c r="BC104" s="206">
        <v>0</v>
      </c>
      <c r="BE104" s="37">
        <v>37901</v>
      </c>
      <c r="BF104" s="38" t="s">
        <v>96</v>
      </c>
      <c r="BG104" s="62">
        <v>1500</v>
      </c>
      <c r="BH104" s="159">
        <v>0</v>
      </c>
      <c r="BI104" s="62">
        <f t="shared" si="23"/>
        <v>0</v>
      </c>
      <c r="BJ104" s="206">
        <v>2120</v>
      </c>
    </row>
    <row r="105" spans="1:62" s="209" customFormat="1" ht="22.5">
      <c r="A105" s="37">
        <v>38101</v>
      </c>
      <c r="B105" s="38" t="s">
        <v>97</v>
      </c>
      <c r="C105" s="62">
        <f t="shared" si="24"/>
        <v>24450</v>
      </c>
      <c r="D105" s="62">
        <f t="shared" si="25"/>
        <v>0</v>
      </c>
      <c r="E105" s="62">
        <f t="shared" si="26"/>
        <v>0</v>
      </c>
      <c r="F105" s="206">
        <f t="shared" si="27"/>
        <v>0</v>
      </c>
      <c r="H105" s="37">
        <v>38101</v>
      </c>
      <c r="I105" s="38" t="s">
        <v>97</v>
      </c>
      <c r="J105" s="159">
        <v>5000</v>
      </c>
      <c r="K105" s="15">
        <v>0</v>
      </c>
      <c r="L105" s="229">
        <f t="shared" si="28"/>
        <v>0</v>
      </c>
      <c r="M105" s="206"/>
      <c r="N105" s="208"/>
      <c r="O105" s="37">
        <v>38101</v>
      </c>
      <c r="P105" s="38" t="s">
        <v>97</v>
      </c>
      <c r="Q105" s="159">
        <v>3500</v>
      </c>
      <c r="R105" s="159">
        <v>0</v>
      </c>
      <c r="S105" s="62">
        <f t="shared" si="17"/>
        <v>0</v>
      </c>
      <c r="T105" s="206"/>
      <c r="V105" s="37">
        <v>38101</v>
      </c>
      <c r="W105" s="38" t="s">
        <v>97</v>
      </c>
      <c r="X105" s="62">
        <v>15000</v>
      </c>
      <c r="Y105" s="159">
        <v>0</v>
      </c>
      <c r="Z105" s="62">
        <f t="shared" si="18"/>
        <v>0</v>
      </c>
      <c r="AA105" s="206"/>
      <c r="AB105" s="207"/>
      <c r="AC105" s="37">
        <v>38101</v>
      </c>
      <c r="AD105" s="38" t="s">
        <v>97</v>
      </c>
      <c r="AE105" s="62">
        <v>0</v>
      </c>
      <c r="AF105" s="159">
        <v>0</v>
      </c>
      <c r="AG105" s="62">
        <f t="shared" si="19"/>
        <v>0</v>
      </c>
      <c r="AH105" s="206">
        <v>0</v>
      </c>
      <c r="AJ105" s="37">
        <v>38101</v>
      </c>
      <c r="AK105" s="38" t="s">
        <v>97</v>
      </c>
      <c r="AL105" s="62">
        <v>950</v>
      </c>
      <c r="AM105" s="159">
        <v>0</v>
      </c>
      <c r="AN105" s="62">
        <f t="shared" si="20"/>
        <v>0</v>
      </c>
      <c r="AO105" s="206"/>
      <c r="AQ105" s="37">
        <v>38101</v>
      </c>
      <c r="AR105" s="38" t="s">
        <v>97</v>
      </c>
      <c r="AS105" s="62">
        <v>0</v>
      </c>
      <c r="AT105" s="159">
        <v>0</v>
      </c>
      <c r="AU105" s="62">
        <f t="shared" si="21"/>
        <v>0</v>
      </c>
      <c r="AV105" s="206"/>
      <c r="AW105" s="210"/>
      <c r="AX105" s="37">
        <v>38101</v>
      </c>
      <c r="AY105" s="38" t="s">
        <v>97</v>
      </c>
      <c r="AZ105" s="62">
        <v>0</v>
      </c>
      <c r="BA105" s="159">
        <v>0</v>
      </c>
      <c r="BB105" s="62">
        <f t="shared" si="22"/>
        <v>0</v>
      </c>
      <c r="BC105" s="206"/>
      <c r="BE105" s="37">
        <v>38101</v>
      </c>
      <c r="BF105" s="38" t="s">
        <v>97</v>
      </c>
      <c r="BG105" s="62">
        <v>0</v>
      </c>
      <c r="BH105" s="159">
        <v>0</v>
      </c>
      <c r="BI105" s="62">
        <f t="shared" si="23"/>
        <v>0</v>
      </c>
      <c r="BJ105" s="206"/>
    </row>
    <row r="106" spans="1:62" s="209" customFormat="1" ht="22.5">
      <c r="A106" s="37">
        <v>38201</v>
      </c>
      <c r="B106" s="38" t="s">
        <v>98</v>
      </c>
      <c r="C106" s="62">
        <f t="shared" si="24"/>
        <v>0</v>
      </c>
      <c r="D106" s="62">
        <f t="shared" si="25"/>
        <v>0</v>
      </c>
      <c r="E106" s="62">
        <f t="shared" si="26"/>
        <v>0</v>
      </c>
      <c r="F106" s="206">
        <f t="shared" si="27"/>
        <v>0</v>
      </c>
      <c r="H106" s="37">
        <v>38201</v>
      </c>
      <c r="I106" s="38" t="s">
        <v>98</v>
      </c>
      <c r="J106" s="159">
        <v>0</v>
      </c>
      <c r="K106" s="15">
        <v>0</v>
      </c>
      <c r="L106" s="229">
        <f t="shared" si="28"/>
        <v>0</v>
      </c>
      <c r="M106" s="206"/>
      <c r="N106" s="208"/>
      <c r="O106" s="37">
        <v>38201</v>
      </c>
      <c r="P106" s="38" t="s">
        <v>98</v>
      </c>
      <c r="Q106" s="159"/>
      <c r="R106" s="159">
        <v>0</v>
      </c>
      <c r="S106" s="62">
        <f t="shared" si="17"/>
        <v>0</v>
      </c>
      <c r="T106" s="206"/>
      <c r="V106" s="37">
        <v>38201</v>
      </c>
      <c r="W106" s="38" t="s">
        <v>98</v>
      </c>
      <c r="X106" s="62">
        <v>0</v>
      </c>
      <c r="Y106" s="159">
        <v>0</v>
      </c>
      <c r="Z106" s="62">
        <f t="shared" si="18"/>
        <v>0</v>
      </c>
      <c r="AA106" s="206"/>
      <c r="AB106" s="207"/>
      <c r="AC106" s="37">
        <v>38201</v>
      </c>
      <c r="AD106" s="38" t="s">
        <v>98</v>
      </c>
      <c r="AE106" s="62">
        <v>0</v>
      </c>
      <c r="AF106" s="159">
        <v>0</v>
      </c>
      <c r="AG106" s="62">
        <f t="shared" si="19"/>
        <v>0</v>
      </c>
      <c r="AH106" s="206">
        <v>0</v>
      </c>
      <c r="AJ106" s="37">
        <v>38201</v>
      </c>
      <c r="AK106" s="38" t="s">
        <v>98</v>
      </c>
      <c r="AL106" s="62">
        <v>0</v>
      </c>
      <c r="AM106" s="159">
        <v>0</v>
      </c>
      <c r="AN106" s="62">
        <f t="shared" si="20"/>
        <v>0</v>
      </c>
      <c r="AO106" s="206"/>
      <c r="AQ106" s="37">
        <v>38201</v>
      </c>
      <c r="AR106" s="38" t="s">
        <v>98</v>
      </c>
      <c r="AS106" s="62">
        <v>0</v>
      </c>
      <c r="AT106" s="159">
        <v>0</v>
      </c>
      <c r="AU106" s="62">
        <f t="shared" si="21"/>
        <v>0</v>
      </c>
      <c r="AV106" s="206"/>
      <c r="AW106" s="210"/>
      <c r="AX106" s="37">
        <v>38201</v>
      </c>
      <c r="AY106" s="38" t="s">
        <v>98</v>
      </c>
      <c r="AZ106" s="62">
        <v>0</v>
      </c>
      <c r="BA106" s="159">
        <v>0</v>
      </c>
      <c r="BB106" s="62">
        <f t="shared" si="22"/>
        <v>0</v>
      </c>
      <c r="BC106" s="206"/>
      <c r="BE106" s="37">
        <v>38201</v>
      </c>
      <c r="BF106" s="38" t="s">
        <v>98</v>
      </c>
      <c r="BG106" s="62">
        <v>0</v>
      </c>
      <c r="BH106" s="159">
        <v>0</v>
      </c>
      <c r="BI106" s="62">
        <f t="shared" si="23"/>
        <v>0</v>
      </c>
      <c r="BJ106" s="206"/>
    </row>
    <row r="107" spans="1:62" s="209" customFormat="1" ht="22.5">
      <c r="A107" s="37">
        <v>38301</v>
      </c>
      <c r="B107" s="38" t="s">
        <v>99</v>
      </c>
      <c r="C107" s="62">
        <f t="shared" si="24"/>
        <v>131600</v>
      </c>
      <c r="D107" s="62">
        <f t="shared" si="25"/>
        <v>0</v>
      </c>
      <c r="E107" s="62">
        <f t="shared" si="26"/>
        <v>0</v>
      </c>
      <c r="F107" s="206">
        <f t="shared" si="27"/>
        <v>30000</v>
      </c>
      <c r="H107" s="37">
        <v>38301</v>
      </c>
      <c r="I107" s="38" t="s">
        <v>99</v>
      </c>
      <c r="J107" s="159">
        <v>30000</v>
      </c>
      <c r="K107" s="15">
        <v>0</v>
      </c>
      <c r="L107" s="229">
        <f t="shared" si="28"/>
        <v>0</v>
      </c>
      <c r="M107" s="206">
        <v>10000</v>
      </c>
      <c r="N107" s="208"/>
      <c r="O107" s="37">
        <v>38301</v>
      </c>
      <c r="P107" s="38" t="s">
        <v>99</v>
      </c>
      <c r="Q107" s="159">
        <v>600</v>
      </c>
      <c r="R107" s="159">
        <v>0</v>
      </c>
      <c r="S107" s="62">
        <f t="shared" si="17"/>
        <v>0</v>
      </c>
      <c r="T107" s="206"/>
      <c r="V107" s="37">
        <v>38301</v>
      </c>
      <c r="W107" s="38" t="s">
        <v>99</v>
      </c>
      <c r="X107" s="62">
        <v>70000</v>
      </c>
      <c r="Y107" s="159">
        <v>0</v>
      </c>
      <c r="Z107" s="62">
        <f t="shared" si="18"/>
        <v>0</v>
      </c>
      <c r="AA107" s="206"/>
      <c r="AB107" s="207"/>
      <c r="AC107" s="37">
        <v>38301</v>
      </c>
      <c r="AD107" s="38" t="s">
        <v>99</v>
      </c>
      <c r="AE107" s="62">
        <v>0</v>
      </c>
      <c r="AF107" s="159">
        <v>0</v>
      </c>
      <c r="AG107" s="62">
        <f t="shared" si="19"/>
        <v>0</v>
      </c>
      <c r="AH107" s="206">
        <v>0</v>
      </c>
      <c r="AJ107" s="37">
        <v>38301</v>
      </c>
      <c r="AK107" s="38" t="s">
        <v>99</v>
      </c>
      <c r="AL107" s="62">
        <v>0</v>
      </c>
      <c r="AM107" s="159">
        <v>0</v>
      </c>
      <c r="AN107" s="62">
        <f t="shared" si="20"/>
        <v>0</v>
      </c>
      <c r="AO107" s="206"/>
      <c r="AQ107" s="37">
        <v>38301</v>
      </c>
      <c r="AR107" s="38" t="s">
        <v>99</v>
      </c>
      <c r="AS107" s="62">
        <v>0</v>
      </c>
      <c r="AT107" s="159">
        <v>0</v>
      </c>
      <c r="AU107" s="62">
        <f t="shared" si="21"/>
        <v>0</v>
      </c>
      <c r="AV107" s="206"/>
      <c r="AW107" s="210"/>
      <c r="AX107" s="37">
        <v>38301</v>
      </c>
      <c r="AY107" s="38" t="s">
        <v>99</v>
      </c>
      <c r="AZ107" s="62">
        <v>10000</v>
      </c>
      <c r="BA107" s="159">
        <v>0</v>
      </c>
      <c r="BB107" s="62">
        <f t="shared" si="22"/>
        <v>0</v>
      </c>
      <c r="BC107" s="206">
        <v>0</v>
      </c>
      <c r="BE107" s="37">
        <v>38301</v>
      </c>
      <c r="BF107" s="38" t="s">
        <v>99</v>
      </c>
      <c r="BG107" s="62">
        <v>21000</v>
      </c>
      <c r="BH107" s="159">
        <v>0</v>
      </c>
      <c r="BI107" s="62">
        <f t="shared" si="23"/>
        <v>0</v>
      </c>
      <c r="BJ107" s="206">
        <v>20000</v>
      </c>
    </row>
    <row r="108" spans="1:62" s="209" customFormat="1" ht="22.5">
      <c r="A108" s="37">
        <v>38501</v>
      </c>
      <c r="B108" s="38" t="s">
        <v>100</v>
      </c>
      <c r="C108" s="62">
        <f t="shared" si="24"/>
        <v>0</v>
      </c>
      <c r="D108" s="62">
        <f t="shared" si="25"/>
        <v>0</v>
      </c>
      <c r="E108" s="62">
        <f t="shared" si="26"/>
        <v>0</v>
      </c>
      <c r="F108" s="206">
        <f t="shared" si="27"/>
        <v>0</v>
      </c>
      <c r="H108" s="37">
        <v>38501</v>
      </c>
      <c r="I108" s="38" t="s">
        <v>100</v>
      </c>
      <c r="J108" s="159">
        <v>0</v>
      </c>
      <c r="K108" s="15">
        <v>0</v>
      </c>
      <c r="L108" s="229">
        <f t="shared" si="28"/>
        <v>0</v>
      </c>
      <c r="M108" s="206"/>
      <c r="N108" s="208"/>
      <c r="O108" s="37">
        <v>38501</v>
      </c>
      <c r="P108" s="38" t="s">
        <v>100</v>
      </c>
      <c r="Q108" s="159"/>
      <c r="R108" s="159">
        <v>0</v>
      </c>
      <c r="S108" s="62">
        <f t="shared" si="17"/>
        <v>0</v>
      </c>
      <c r="T108" s="206"/>
      <c r="V108" s="37">
        <v>38501</v>
      </c>
      <c r="W108" s="38" t="s">
        <v>100</v>
      </c>
      <c r="X108" s="62">
        <v>0</v>
      </c>
      <c r="Y108" s="159">
        <v>0</v>
      </c>
      <c r="Z108" s="62">
        <f t="shared" si="18"/>
        <v>0</v>
      </c>
      <c r="AA108" s="206"/>
      <c r="AB108" s="207"/>
      <c r="AC108" s="37">
        <v>38501</v>
      </c>
      <c r="AD108" s="38" t="s">
        <v>100</v>
      </c>
      <c r="AE108" s="62">
        <v>0</v>
      </c>
      <c r="AF108" s="159">
        <v>0</v>
      </c>
      <c r="AG108" s="62">
        <f t="shared" si="19"/>
        <v>0</v>
      </c>
      <c r="AH108" s="206">
        <v>0</v>
      </c>
      <c r="AJ108" s="37">
        <v>38501</v>
      </c>
      <c r="AK108" s="38" t="s">
        <v>100</v>
      </c>
      <c r="AL108" s="62">
        <v>0</v>
      </c>
      <c r="AM108" s="159">
        <v>0</v>
      </c>
      <c r="AN108" s="62">
        <f t="shared" si="20"/>
        <v>0</v>
      </c>
      <c r="AO108" s="206"/>
      <c r="AQ108" s="37">
        <v>38501</v>
      </c>
      <c r="AR108" s="38" t="s">
        <v>100</v>
      </c>
      <c r="AS108" s="62">
        <v>0</v>
      </c>
      <c r="AT108" s="159">
        <v>0</v>
      </c>
      <c r="AU108" s="62">
        <f t="shared" si="21"/>
        <v>0</v>
      </c>
      <c r="AV108" s="206"/>
      <c r="AW108" s="210"/>
      <c r="AX108" s="37">
        <v>38501</v>
      </c>
      <c r="AY108" s="38" t="s">
        <v>100</v>
      </c>
      <c r="AZ108" s="62">
        <v>0</v>
      </c>
      <c r="BA108" s="159">
        <v>0</v>
      </c>
      <c r="BB108" s="62">
        <f t="shared" si="22"/>
        <v>0</v>
      </c>
      <c r="BC108" s="206"/>
      <c r="BE108" s="37">
        <v>38501</v>
      </c>
      <c r="BF108" s="38" t="s">
        <v>100</v>
      </c>
      <c r="BG108" s="62">
        <v>0</v>
      </c>
      <c r="BH108" s="159">
        <v>0</v>
      </c>
      <c r="BI108" s="62">
        <f t="shared" si="23"/>
        <v>0</v>
      </c>
      <c r="BJ108" s="206"/>
    </row>
    <row r="109" spans="1:62" s="209" customFormat="1" ht="22.5">
      <c r="A109" s="37">
        <v>39201</v>
      </c>
      <c r="B109" s="38" t="s">
        <v>101</v>
      </c>
      <c r="C109" s="62">
        <f t="shared" si="24"/>
        <v>4365500</v>
      </c>
      <c r="D109" s="62">
        <f t="shared" si="25"/>
        <v>54914</v>
      </c>
      <c r="E109" s="62">
        <f t="shared" si="26"/>
        <v>82371</v>
      </c>
      <c r="F109" s="206">
        <f t="shared" si="27"/>
        <v>100000</v>
      </c>
      <c r="H109" s="37">
        <v>39201</v>
      </c>
      <c r="I109" s="38" t="s">
        <v>101</v>
      </c>
      <c r="J109" s="159">
        <v>0</v>
      </c>
      <c r="K109" s="15">
        <v>0</v>
      </c>
      <c r="L109" s="229">
        <f t="shared" si="28"/>
        <v>0</v>
      </c>
      <c r="M109" s="206"/>
      <c r="N109" s="208"/>
      <c r="O109" s="37">
        <v>39201</v>
      </c>
      <c r="P109" s="38" t="s">
        <v>101</v>
      </c>
      <c r="Q109" s="159"/>
      <c r="R109" s="159">
        <v>0</v>
      </c>
      <c r="S109" s="62">
        <f t="shared" si="17"/>
        <v>0</v>
      </c>
      <c r="T109" s="206"/>
      <c r="V109" s="37">
        <v>39201</v>
      </c>
      <c r="W109" s="38" t="s">
        <v>101</v>
      </c>
      <c r="X109" s="62">
        <v>4350000</v>
      </c>
      <c r="Y109" s="159">
        <v>10825</v>
      </c>
      <c r="Z109" s="62">
        <f t="shared" si="18"/>
        <v>16237.5</v>
      </c>
      <c r="AA109" s="206">
        <v>30000</v>
      </c>
      <c r="AB109" s="207"/>
      <c r="AC109" s="37">
        <v>39201</v>
      </c>
      <c r="AD109" s="38" t="s">
        <v>101</v>
      </c>
      <c r="AE109" s="62">
        <v>0</v>
      </c>
      <c r="AF109" s="159">
        <v>0</v>
      </c>
      <c r="AG109" s="62">
        <f t="shared" si="19"/>
        <v>0</v>
      </c>
      <c r="AH109" s="206">
        <v>0</v>
      </c>
      <c r="AJ109" s="37">
        <v>39201</v>
      </c>
      <c r="AK109" s="38" t="s">
        <v>101</v>
      </c>
      <c r="AL109" s="62">
        <v>12500</v>
      </c>
      <c r="AM109" s="159">
        <v>44089</v>
      </c>
      <c r="AN109" s="62">
        <f t="shared" si="20"/>
        <v>66133.5</v>
      </c>
      <c r="AO109" s="206">
        <v>70000</v>
      </c>
      <c r="AP109" s="207"/>
      <c r="AQ109" s="37">
        <v>39201</v>
      </c>
      <c r="AR109" s="38" t="s">
        <v>101</v>
      </c>
      <c r="AS109" s="62">
        <v>3000</v>
      </c>
      <c r="AT109" s="159">
        <v>0</v>
      </c>
      <c r="AU109" s="62">
        <f t="shared" si="21"/>
        <v>0</v>
      </c>
      <c r="AV109" s="206">
        <v>0</v>
      </c>
      <c r="AW109" s="210"/>
      <c r="AX109" s="37">
        <v>39201</v>
      </c>
      <c r="AY109" s="38" t="s">
        <v>101</v>
      </c>
      <c r="AZ109" s="62">
        <v>0</v>
      </c>
      <c r="BA109" s="159">
        <v>0</v>
      </c>
      <c r="BB109" s="62">
        <f t="shared" si="22"/>
        <v>0</v>
      </c>
      <c r="BC109" s="206"/>
      <c r="BE109" s="37">
        <v>39201</v>
      </c>
      <c r="BF109" s="38" t="s">
        <v>101</v>
      </c>
      <c r="BG109" s="62">
        <v>0</v>
      </c>
      <c r="BH109" s="159">
        <v>0</v>
      </c>
      <c r="BI109" s="62">
        <f t="shared" si="23"/>
        <v>0</v>
      </c>
      <c r="BJ109" s="206"/>
    </row>
    <row r="110" spans="1:62" s="209" customFormat="1" ht="33.75">
      <c r="A110" s="37">
        <v>39501</v>
      </c>
      <c r="B110" s="38" t="s">
        <v>102</v>
      </c>
      <c r="C110" s="62">
        <f t="shared" si="24"/>
        <v>60000</v>
      </c>
      <c r="D110" s="62">
        <f t="shared" si="25"/>
        <v>0</v>
      </c>
      <c r="E110" s="62">
        <f t="shared" si="26"/>
        <v>0</v>
      </c>
      <c r="F110" s="206">
        <f t="shared" si="27"/>
        <v>0</v>
      </c>
      <c r="H110" s="37">
        <v>39501</v>
      </c>
      <c r="I110" s="38" t="s">
        <v>102</v>
      </c>
      <c r="J110" s="159">
        <v>0</v>
      </c>
      <c r="K110" s="15">
        <v>0</v>
      </c>
      <c r="L110" s="229">
        <f t="shared" si="28"/>
        <v>0</v>
      </c>
      <c r="M110" s="206"/>
      <c r="N110" s="208"/>
      <c r="O110" s="37">
        <v>39501</v>
      </c>
      <c r="P110" s="38" t="s">
        <v>102</v>
      </c>
      <c r="Q110" s="159"/>
      <c r="R110" s="159">
        <v>0</v>
      </c>
      <c r="S110" s="62">
        <f t="shared" si="17"/>
        <v>0</v>
      </c>
      <c r="T110" s="206"/>
      <c r="V110" s="37">
        <v>39501</v>
      </c>
      <c r="W110" s="38" t="s">
        <v>102</v>
      </c>
      <c r="X110" s="62">
        <v>60000</v>
      </c>
      <c r="Y110" s="159">
        <v>0</v>
      </c>
      <c r="Z110" s="62">
        <f t="shared" si="18"/>
        <v>0</v>
      </c>
      <c r="AA110" s="206"/>
      <c r="AB110" s="207"/>
      <c r="AC110" s="37">
        <v>39501</v>
      </c>
      <c r="AD110" s="38" t="s">
        <v>102</v>
      </c>
      <c r="AE110" s="62">
        <v>0</v>
      </c>
      <c r="AF110" s="159">
        <v>0</v>
      </c>
      <c r="AG110" s="62">
        <f t="shared" si="19"/>
        <v>0</v>
      </c>
      <c r="AH110" s="206">
        <v>0</v>
      </c>
      <c r="AJ110" s="37">
        <v>39501</v>
      </c>
      <c r="AK110" s="38" t="s">
        <v>102</v>
      </c>
      <c r="AL110" s="62">
        <v>0</v>
      </c>
      <c r="AM110" s="159">
        <v>0</v>
      </c>
      <c r="AN110" s="62">
        <f t="shared" si="20"/>
        <v>0</v>
      </c>
      <c r="AO110" s="206"/>
      <c r="AQ110" s="37">
        <v>39501</v>
      </c>
      <c r="AR110" s="38" t="s">
        <v>102</v>
      </c>
      <c r="AS110" s="62">
        <v>0</v>
      </c>
      <c r="AT110" s="159">
        <v>0</v>
      </c>
      <c r="AU110" s="62">
        <f t="shared" si="21"/>
        <v>0</v>
      </c>
      <c r="AV110" s="206"/>
      <c r="AW110" s="210"/>
      <c r="AX110" s="37">
        <v>39501</v>
      </c>
      <c r="AY110" s="38" t="s">
        <v>102</v>
      </c>
      <c r="AZ110" s="62">
        <v>0</v>
      </c>
      <c r="BA110" s="159">
        <v>0</v>
      </c>
      <c r="BB110" s="62">
        <f t="shared" si="22"/>
        <v>0</v>
      </c>
      <c r="BC110" s="206"/>
      <c r="BE110" s="37">
        <v>39501</v>
      </c>
      <c r="BF110" s="38" t="s">
        <v>102</v>
      </c>
      <c r="BG110" s="62">
        <v>0</v>
      </c>
      <c r="BH110" s="159">
        <v>0</v>
      </c>
      <c r="BI110" s="62">
        <f t="shared" si="23"/>
        <v>0</v>
      </c>
      <c r="BJ110" s="206"/>
    </row>
    <row r="111" spans="1:62" s="209" customFormat="1" ht="22.5">
      <c r="A111" s="37">
        <v>39601</v>
      </c>
      <c r="B111" s="38" t="s">
        <v>103</v>
      </c>
      <c r="C111" s="62">
        <f t="shared" si="24"/>
        <v>1300</v>
      </c>
      <c r="D111" s="62">
        <f t="shared" si="25"/>
        <v>0</v>
      </c>
      <c r="E111" s="62">
        <f t="shared" si="26"/>
        <v>0</v>
      </c>
      <c r="F111" s="206">
        <f t="shared" si="27"/>
        <v>0</v>
      </c>
      <c r="H111" s="37">
        <v>39601</v>
      </c>
      <c r="I111" s="38" t="s">
        <v>103</v>
      </c>
      <c r="J111" s="159">
        <v>0</v>
      </c>
      <c r="K111" s="15">
        <v>0</v>
      </c>
      <c r="L111" s="229">
        <f t="shared" si="28"/>
        <v>0</v>
      </c>
      <c r="M111" s="206"/>
      <c r="N111" s="208"/>
      <c r="O111" s="37">
        <v>39601</v>
      </c>
      <c r="P111" s="38" t="s">
        <v>103</v>
      </c>
      <c r="Q111" s="159"/>
      <c r="R111" s="159">
        <v>0</v>
      </c>
      <c r="S111" s="62">
        <f t="shared" si="17"/>
        <v>0</v>
      </c>
      <c r="T111" s="206"/>
      <c r="V111" s="37">
        <v>39601</v>
      </c>
      <c r="W111" s="38" t="s">
        <v>103</v>
      </c>
      <c r="X111" s="62">
        <v>0</v>
      </c>
      <c r="Y111" s="159">
        <v>0</v>
      </c>
      <c r="Z111" s="62">
        <f t="shared" si="18"/>
        <v>0</v>
      </c>
      <c r="AA111" s="206"/>
      <c r="AB111" s="207"/>
      <c r="AC111" s="37">
        <v>39601</v>
      </c>
      <c r="AD111" s="38" t="s">
        <v>103</v>
      </c>
      <c r="AE111" s="62">
        <v>0</v>
      </c>
      <c r="AF111" s="159">
        <v>0</v>
      </c>
      <c r="AG111" s="62">
        <f t="shared" si="19"/>
        <v>0</v>
      </c>
      <c r="AH111" s="206">
        <v>0</v>
      </c>
      <c r="AJ111" s="37">
        <v>39601</v>
      </c>
      <c r="AK111" s="38" t="s">
        <v>103</v>
      </c>
      <c r="AL111" s="62">
        <v>0</v>
      </c>
      <c r="AM111" s="159">
        <v>0</v>
      </c>
      <c r="AN111" s="62">
        <f t="shared" si="20"/>
        <v>0</v>
      </c>
      <c r="AO111" s="206"/>
      <c r="AQ111" s="37">
        <v>39601</v>
      </c>
      <c r="AR111" s="38" t="s">
        <v>103</v>
      </c>
      <c r="AS111" s="62">
        <v>1300</v>
      </c>
      <c r="AT111" s="159">
        <v>0</v>
      </c>
      <c r="AU111" s="62">
        <f t="shared" si="21"/>
        <v>0</v>
      </c>
      <c r="AV111" s="206">
        <v>0</v>
      </c>
      <c r="AW111" s="210"/>
      <c r="AX111" s="37">
        <v>39601</v>
      </c>
      <c r="AY111" s="38" t="s">
        <v>103</v>
      </c>
      <c r="AZ111" s="62">
        <v>0</v>
      </c>
      <c r="BA111" s="159">
        <v>0</v>
      </c>
      <c r="BB111" s="62">
        <f t="shared" si="22"/>
        <v>0</v>
      </c>
      <c r="BC111" s="206"/>
      <c r="BE111" s="37">
        <v>39601</v>
      </c>
      <c r="BF111" s="38" t="s">
        <v>103</v>
      </c>
      <c r="BG111" s="62">
        <v>0</v>
      </c>
      <c r="BH111" s="159">
        <v>0</v>
      </c>
      <c r="BI111" s="62">
        <f t="shared" si="23"/>
        <v>0</v>
      </c>
      <c r="BJ111" s="206"/>
    </row>
    <row r="112" spans="1:62" s="209" customFormat="1" ht="22.5">
      <c r="A112" s="37">
        <v>39801</v>
      </c>
      <c r="B112" s="38" t="s">
        <v>105</v>
      </c>
      <c r="C112" s="62">
        <f t="shared" si="24"/>
        <v>740000</v>
      </c>
      <c r="D112" s="62">
        <f t="shared" si="25"/>
        <v>440411.56</v>
      </c>
      <c r="E112" s="62">
        <f t="shared" si="26"/>
        <v>660617.34</v>
      </c>
      <c r="F112" s="206">
        <f t="shared" si="27"/>
        <v>740000</v>
      </c>
      <c r="H112" s="37">
        <v>39801</v>
      </c>
      <c r="I112" s="38" t="s">
        <v>105</v>
      </c>
      <c r="J112" s="159">
        <v>0</v>
      </c>
      <c r="K112" s="15">
        <v>0</v>
      </c>
      <c r="L112" s="229">
        <f t="shared" si="28"/>
        <v>0</v>
      </c>
      <c r="M112" s="206"/>
      <c r="N112" s="208"/>
      <c r="O112" s="37">
        <v>39801</v>
      </c>
      <c r="P112" s="38" t="s">
        <v>105</v>
      </c>
      <c r="Q112" s="159"/>
      <c r="R112" s="159">
        <v>0</v>
      </c>
      <c r="S112" s="62">
        <f t="shared" si="17"/>
        <v>0</v>
      </c>
      <c r="T112" s="206"/>
      <c r="V112" s="37">
        <v>39801</v>
      </c>
      <c r="W112" s="38" t="s">
        <v>105</v>
      </c>
      <c r="X112" s="62">
        <v>740000</v>
      </c>
      <c r="Y112" s="159">
        <v>440411.56</v>
      </c>
      <c r="Z112" s="62">
        <f t="shared" si="18"/>
        <v>660617.34</v>
      </c>
      <c r="AA112" s="206">
        <v>740000</v>
      </c>
      <c r="AB112" s="207"/>
      <c r="AC112" s="37">
        <v>39801</v>
      </c>
      <c r="AD112" s="38" t="s">
        <v>105</v>
      </c>
      <c r="AE112" s="62">
        <v>0</v>
      </c>
      <c r="AF112" s="159">
        <v>0</v>
      </c>
      <c r="AG112" s="62">
        <f t="shared" si="19"/>
        <v>0</v>
      </c>
      <c r="AH112" s="206">
        <v>0</v>
      </c>
      <c r="AJ112" s="37">
        <v>39801</v>
      </c>
      <c r="AK112" s="38" t="s">
        <v>105</v>
      </c>
      <c r="AL112" s="62">
        <v>0</v>
      </c>
      <c r="AM112" s="159">
        <v>0</v>
      </c>
      <c r="AN112" s="62">
        <f t="shared" si="20"/>
        <v>0</v>
      </c>
      <c r="AO112" s="206"/>
      <c r="AQ112" s="37">
        <v>39801</v>
      </c>
      <c r="AR112" s="38" t="s">
        <v>105</v>
      </c>
      <c r="AS112" s="62">
        <v>0</v>
      </c>
      <c r="AT112" s="159">
        <v>0</v>
      </c>
      <c r="AU112" s="62">
        <f t="shared" si="21"/>
        <v>0</v>
      </c>
      <c r="AV112" s="206"/>
      <c r="AW112" s="210"/>
      <c r="AX112" s="37">
        <v>39801</v>
      </c>
      <c r="AY112" s="38" t="s">
        <v>105</v>
      </c>
      <c r="AZ112" s="62">
        <v>0</v>
      </c>
      <c r="BA112" s="159">
        <v>0</v>
      </c>
      <c r="BB112" s="62">
        <f t="shared" si="22"/>
        <v>0</v>
      </c>
      <c r="BC112" s="206"/>
      <c r="BE112" s="37">
        <v>39801</v>
      </c>
      <c r="BF112" s="38" t="s">
        <v>105</v>
      </c>
      <c r="BG112" s="62">
        <v>0</v>
      </c>
      <c r="BH112" s="159">
        <v>0</v>
      </c>
      <c r="BI112" s="62">
        <f t="shared" si="23"/>
        <v>0</v>
      </c>
      <c r="BJ112" s="206"/>
    </row>
    <row r="113" spans="1:63" s="64" customFormat="1" ht="12" thickBot="1">
      <c r="A113" s="216"/>
      <c r="B113" s="217"/>
      <c r="C113" s="62"/>
      <c r="D113" s="15"/>
      <c r="E113" s="229"/>
      <c r="F113" s="206"/>
      <c r="G113" s="209"/>
      <c r="H113" s="216"/>
      <c r="I113" s="217"/>
      <c r="J113" s="62"/>
      <c r="K113" s="15"/>
      <c r="L113" s="229"/>
      <c r="M113" s="206">
        <f>J113*1.06</f>
        <v>0</v>
      </c>
      <c r="N113" s="208"/>
      <c r="O113" s="216"/>
      <c r="P113" s="217"/>
      <c r="Q113" s="62"/>
      <c r="R113" s="159"/>
      <c r="S113" s="62"/>
      <c r="T113" s="206"/>
      <c r="U113" s="209"/>
      <c r="V113" s="216"/>
      <c r="W113" s="217"/>
      <c r="X113" s="62"/>
      <c r="Y113" s="159"/>
      <c r="Z113" s="62"/>
      <c r="AA113" s="206"/>
      <c r="AB113" s="207"/>
      <c r="AC113" s="216"/>
      <c r="AD113" s="217"/>
      <c r="AE113" s="62"/>
      <c r="AF113" s="159"/>
      <c r="AG113" s="62"/>
      <c r="AH113" s="206"/>
      <c r="AI113" s="209"/>
      <c r="AJ113" s="216"/>
      <c r="AK113" s="217"/>
      <c r="AL113" s="62"/>
      <c r="AM113" s="159"/>
      <c r="AN113" s="62"/>
      <c r="AO113" s="206"/>
      <c r="AP113" s="209"/>
      <c r="AQ113" s="216"/>
      <c r="AR113" s="217"/>
      <c r="AS113" s="62"/>
      <c r="AT113" s="159"/>
      <c r="AU113" s="62"/>
      <c r="AV113" s="206"/>
      <c r="AW113" s="210"/>
      <c r="AX113" s="216"/>
      <c r="AY113" s="217"/>
      <c r="AZ113" s="62"/>
      <c r="BA113" s="159"/>
      <c r="BB113" s="62"/>
      <c r="BC113" s="206"/>
      <c r="BD113" s="209"/>
      <c r="BE113" s="218"/>
      <c r="BF113" s="219"/>
      <c r="BG113" s="220"/>
      <c r="BH113" s="221"/>
      <c r="BI113" s="220"/>
      <c r="BJ113" s="222"/>
    </row>
    <row r="114" spans="1:63" s="64" customFormat="1" ht="12" thickBot="1">
      <c r="A114" s="57"/>
      <c r="B114" s="58" t="s">
        <v>104</v>
      </c>
      <c r="C114" s="63">
        <f>C52+C15</f>
        <v>23645259.998754002</v>
      </c>
      <c r="D114" s="63">
        <f>D52+D15</f>
        <v>10422547.153199997</v>
      </c>
      <c r="E114" s="63">
        <f>E52+E15</f>
        <v>15618580.069921291</v>
      </c>
      <c r="F114" s="223">
        <f>F52+F15</f>
        <v>5999999.9975000005</v>
      </c>
      <c r="G114" s="207"/>
      <c r="H114" s="57"/>
      <c r="I114" s="58" t="s">
        <v>104</v>
      </c>
      <c r="J114" s="63">
        <f>J52+J15</f>
        <v>1089626.2644</v>
      </c>
      <c r="K114" s="63">
        <f>K52+K15</f>
        <v>263136.63141638192</v>
      </c>
      <c r="L114" s="63">
        <f>L52+L15</f>
        <v>394704.94712457282</v>
      </c>
      <c r="M114" s="223">
        <f>M52+M15</f>
        <v>267894.65500000003</v>
      </c>
      <c r="N114" s="224"/>
      <c r="O114" s="57"/>
      <c r="P114" s="58" t="s">
        <v>104</v>
      </c>
      <c r="Q114" s="63">
        <f>Q52+Q15</f>
        <v>3301528.51</v>
      </c>
      <c r="R114" s="63">
        <f>R52+R15</f>
        <v>1790886.2544059483</v>
      </c>
      <c r="S114" s="63">
        <f>S52+S15</f>
        <v>2686329.3816089225</v>
      </c>
      <c r="T114" s="223">
        <f>T52+T15</f>
        <v>317833.52</v>
      </c>
      <c r="U114" s="209"/>
      <c r="V114" s="57"/>
      <c r="W114" s="58" t="s">
        <v>104</v>
      </c>
      <c r="X114" s="63">
        <f>X52+X15</f>
        <v>14031057.9604</v>
      </c>
      <c r="Y114" s="63">
        <f>Y52+Y15</f>
        <v>6251215.9487787895</v>
      </c>
      <c r="Z114" s="63">
        <f>Z52+Z15</f>
        <v>9376823.9231681861</v>
      </c>
      <c r="AA114" s="223">
        <f>AA52+AA15</f>
        <v>3143734.01</v>
      </c>
      <c r="AB114" s="207"/>
      <c r="AC114" s="57"/>
      <c r="AD114" s="58" t="s">
        <v>104</v>
      </c>
      <c r="AE114" s="63">
        <f>AE52+AE15</f>
        <v>1363217.2052</v>
      </c>
      <c r="AF114" s="63">
        <f>AF52+AF15</f>
        <v>279170.16122643388</v>
      </c>
      <c r="AG114" s="63">
        <f>AG52+AG15</f>
        <v>403514.58196094388</v>
      </c>
      <c r="AH114" s="223">
        <f>AH52+AH15</f>
        <v>184390.8075</v>
      </c>
      <c r="AI114" s="209"/>
      <c r="AJ114" s="57"/>
      <c r="AK114" s="58" t="s">
        <v>104</v>
      </c>
      <c r="AL114" s="63">
        <f>AL52+AL15</f>
        <v>1253972.9703839999</v>
      </c>
      <c r="AM114" s="63">
        <f>AM52+AM15</f>
        <v>799807.32621261734</v>
      </c>
      <c r="AN114" s="63">
        <f>AN52+AN15</f>
        <v>1199710.9893189259</v>
      </c>
      <c r="AO114" s="223">
        <f>AO52+AO15</f>
        <v>654009.005</v>
      </c>
      <c r="AP114" s="209"/>
      <c r="AQ114" s="57"/>
      <c r="AR114" s="58" t="s">
        <v>104</v>
      </c>
      <c r="AS114" s="63">
        <f>AS52+AS15</f>
        <v>1459598.34357</v>
      </c>
      <c r="AT114" s="63">
        <f>AT52+AT15</f>
        <v>804824.56933448301</v>
      </c>
      <c r="AU114" s="63">
        <f>AU52+AU15</f>
        <v>1207236.8540017246</v>
      </c>
      <c r="AV114" s="223">
        <f>AV52+AV15</f>
        <v>423000</v>
      </c>
      <c r="AW114" s="210"/>
      <c r="AX114" s="57"/>
      <c r="AY114" s="58" t="s">
        <v>104</v>
      </c>
      <c r="AZ114" s="63">
        <f>AZ52+AZ15</f>
        <v>929668.64679999999</v>
      </c>
      <c r="BA114" s="63">
        <f>BA52+BA15</f>
        <v>110033.49</v>
      </c>
      <c r="BB114" s="63">
        <f>BB52+BB15</f>
        <v>165050.23499999999</v>
      </c>
      <c r="BC114" s="223">
        <f>BC52+BC15</f>
        <v>678188</v>
      </c>
      <c r="BD114" s="209"/>
      <c r="BE114" s="225"/>
      <c r="BF114" s="226" t="s">
        <v>104</v>
      </c>
      <c r="BG114" s="227">
        <f>BG52+BG15</f>
        <v>216590.098</v>
      </c>
      <c r="BH114" s="227">
        <f>BH52+BH15</f>
        <v>123472.77182534487</v>
      </c>
      <c r="BI114" s="227">
        <f>BI52+BI15</f>
        <v>185209.1577380173</v>
      </c>
      <c r="BJ114" s="227">
        <f>BJ52+BJ15</f>
        <v>330950</v>
      </c>
    </row>
    <row r="115" spans="1:63">
      <c r="C115" s="64"/>
      <c r="G115" s="60"/>
      <c r="M115" s="33">
        <v>4946906.1933333334</v>
      </c>
      <c r="T115" s="33">
        <v>2076596.2466666666</v>
      </c>
      <c r="AA115" s="19">
        <v>17463591.576666664</v>
      </c>
      <c r="AH115" s="33">
        <v>6060174.6033333326</v>
      </c>
      <c r="AO115" s="6">
        <v>7301640.666666667</v>
      </c>
      <c r="AV115" s="60">
        <v>7293933.2183333328</v>
      </c>
      <c r="BC115" s="6">
        <v>3061448.49</v>
      </c>
      <c r="BJ115" s="33"/>
    </row>
    <row r="116" spans="1:63" ht="23.25" customHeight="1">
      <c r="A116" s="424"/>
      <c r="B116" s="424"/>
      <c r="C116" s="424"/>
      <c r="D116" s="424"/>
      <c r="E116" s="424"/>
      <c r="F116" s="424"/>
      <c r="M116" s="165">
        <f>SUM(M114:M115)</f>
        <v>5214800.8483333336</v>
      </c>
      <c r="T116" s="386">
        <f>T114+T115</f>
        <v>2394429.7666666666</v>
      </c>
      <c r="AA116" s="165">
        <f>AA114+AA115</f>
        <v>20607325.586666666</v>
      </c>
      <c r="AE116" s="33"/>
      <c r="AF116" s="33"/>
      <c r="AG116" s="33"/>
      <c r="AH116" s="386">
        <f>AH114+AH115</f>
        <v>6244565.4108333327</v>
      </c>
      <c r="AO116" s="165">
        <f>SUM(AO114:AO115)</f>
        <v>7955649.6716666669</v>
      </c>
      <c r="AV116" s="165">
        <f>AV114+AV115</f>
        <v>7716933.2183333328</v>
      </c>
      <c r="BC116" s="165">
        <f>BC114+BC115</f>
        <v>3739636.49</v>
      </c>
      <c r="BI116" s="33"/>
      <c r="BJ116" s="165"/>
      <c r="BK116" s="19"/>
    </row>
  </sheetData>
  <mergeCells count="123">
    <mergeCell ref="A116:F116"/>
    <mergeCell ref="C7:D7"/>
    <mergeCell ref="A1:F2"/>
    <mergeCell ref="H1:M1"/>
    <mergeCell ref="O1:T1"/>
    <mergeCell ref="V1:AA1"/>
    <mergeCell ref="AC1:AH1"/>
    <mergeCell ref="AJ1:AO1"/>
    <mergeCell ref="AQ1:AV1"/>
    <mergeCell ref="H3:M3"/>
    <mergeCell ref="O3:T3"/>
    <mergeCell ref="V3:AA3"/>
    <mergeCell ref="AC3:AH3"/>
    <mergeCell ref="AJ3:AO3"/>
    <mergeCell ref="AQ3:AV3"/>
    <mergeCell ref="AJ6:AO6"/>
    <mergeCell ref="AQ6:AV6"/>
    <mergeCell ref="AQ7:AV7"/>
    <mergeCell ref="Q12:Q13"/>
    <mergeCell ref="R12:R13"/>
    <mergeCell ref="T12:T13"/>
    <mergeCell ref="V12:V13"/>
    <mergeCell ref="W12:W13"/>
    <mergeCell ref="X12:X13"/>
    <mergeCell ref="AX1:BC1"/>
    <mergeCell ref="BE1:BJ1"/>
    <mergeCell ref="H2:M2"/>
    <mergeCell ref="O2:T2"/>
    <mergeCell ref="V2:AA2"/>
    <mergeCell ref="AC2:AH2"/>
    <mergeCell ref="AJ2:AO2"/>
    <mergeCell ref="AQ2:AV2"/>
    <mergeCell ref="AX2:BC2"/>
    <mergeCell ref="BE2:BJ2"/>
    <mergeCell ref="AX3:BC3"/>
    <mergeCell ref="BE3:BJ3"/>
    <mergeCell ref="AQ4:AV4"/>
    <mergeCell ref="AX4:BC4"/>
    <mergeCell ref="BE4:BJ4"/>
    <mergeCell ref="A5:F6"/>
    <mergeCell ref="H5:M5"/>
    <mergeCell ref="O5:T5"/>
    <mergeCell ref="V5:AA5"/>
    <mergeCell ref="AC5:AH5"/>
    <mergeCell ref="AJ5:AO5"/>
    <mergeCell ref="AQ5:AV5"/>
    <mergeCell ref="A4:F4"/>
    <mergeCell ref="H4:M4"/>
    <mergeCell ref="O4:T4"/>
    <mergeCell ref="V4:AA4"/>
    <mergeCell ref="AC4:AH4"/>
    <mergeCell ref="AJ4:AO4"/>
    <mergeCell ref="AX5:BC5"/>
    <mergeCell ref="BE5:BJ5"/>
    <mergeCell ref="H6:M6"/>
    <mergeCell ref="O6:T6"/>
    <mergeCell ref="V6:AA6"/>
    <mergeCell ref="AC6:AH6"/>
    <mergeCell ref="AX6:BC6"/>
    <mergeCell ref="BE6:BJ6"/>
    <mergeCell ref="A12:A13"/>
    <mergeCell ref="B12:B13"/>
    <mergeCell ref="C12:C13"/>
    <mergeCell ref="D12:D13"/>
    <mergeCell ref="F12:F13"/>
    <mergeCell ref="H12:H13"/>
    <mergeCell ref="L12:L13"/>
    <mergeCell ref="AX7:BC7"/>
    <mergeCell ref="BE7:BJ7"/>
    <mergeCell ref="H8:M8"/>
    <mergeCell ref="O8:T8"/>
    <mergeCell ref="V8:AA8"/>
    <mergeCell ref="AC8:AH8"/>
    <mergeCell ref="AJ8:AO8"/>
    <mergeCell ref="AQ8:AV8"/>
    <mergeCell ref="AX8:BC8"/>
    <mergeCell ref="BE8:BJ8"/>
    <mergeCell ref="H7:M7"/>
    <mergeCell ref="O7:T7"/>
    <mergeCell ref="V7:AA7"/>
    <mergeCell ref="AC7:AH7"/>
    <mergeCell ref="AJ7:AO7"/>
    <mergeCell ref="I12:I13"/>
    <mergeCell ref="J12:J13"/>
    <mergeCell ref="K12:K13"/>
    <mergeCell ref="M12:M13"/>
    <mergeCell ref="O12:O13"/>
    <mergeCell ref="P12:P13"/>
    <mergeCell ref="S12:S13"/>
    <mergeCell ref="AU12:AU13"/>
    <mergeCell ref="AN12:AN13"/>
    <mergeCell ref="Y12:Y13"/>
    <mergeCell ref="AA12:AA13"/>
    <mergeCell ref="AC12:AC13"/>
    <mergeCell ref="AD12:AD13"/>
    <mergeCell ref="AE12:AE13"/>
    <mergeCell ref="AF12:AF13"/>
    <mergeCell ref="AG12:AG13"/>
    <mergeCell ref="Z12:Z13"/>
    <mergeCell ref="E12:E13"/>
    <mergeCell ref="BG12:BG13"/>
    <mergeCell ref="BH12:BH13"/>
    <mergeCell ref="BJ12:BJ13"/>
    <mergeCell ref="AY12:AY13"/>
    <mergeCell ref="AZ12:AZ13"/>
    <mergeCell ref="BA12:BA13"/>
    <mergeCell ref="BC12:BC13"/>
    <mergeCell ref="BE12:BE13"/>
    <mergeCell ref="BF12:BF13"/>
    <mergeCell ref="BI12:BI13"/>
    <mergeCell ref="BB12:BB13"/>
    <mergeCell ref="AQ12:AQ13"/>
    <mergeCell ref="AR12:AR13"/>
    <mergeCell ref="AS12:AS13"/>
    <mergeCell ref="AT12:AT13"/>
    <mergeCell ref="AV12:AV13"/>
    <mergeCell ref="AX12:AX13"/>
    <mergeCell ref="AH12:AH13"/>
    <mergeCell ref="AJ12:AJ13"/>
    <mergeCell ref="AK12:AK13"/>
    <mergeCell ref="AL12:AL13"/>
    <mergeCell ref="AM12:AM13"/>
    <mergeCell ref="AO12:AO13"/>
  </mergeCells>
  <pageMargins left="1.299212598425197" right="0.70866141732283472" top="0.74803149606299213" bottom="0.74803149606299213" header="0.31496062992125984" footer="0.31496062992125984"/>
  <pageSetup scale="75" orientation="portrait"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I151"/>
  <sheetViews>
    <sheetView view="pageBreakPreview" zoomScaleNormal="100" zoomScaleSheetLayoutView="100" workbookViewId="0">
      <selection activeCell="E157" sqref="E157"/>
    </sheetView>
  </sheetViews>
  <sheetFormatPr baseColWidth="10" defaultRowHeight="15"/>
  <cols>
    <col min="1" max="1" width="18.28515625" customWidth="1"/>
    <col min="2" max="2" width="30.5703125" customWidth="1"/>
    <col min="3" max="4" width="18.140625" customWidth="1"/>
    <col min="5" max="5" width="19.5703125" customWidth="1"/>
    <col min="6" max="6" width="8.28515625" customWidth="1"/>
    <col min="7" max="7" width="17.28515625" customWidth="1"/>
    <col min="8" max="8" width="28.5703125" customWidth="1"/>
    <col min="9" max="10" width="17.42578125" customWidth="1"/>
    <col min="11" max="11" width="17.140625" customWidth="1"/>
    <col min="12" max="12" width="15.28515625" style="27" customWidth="1"/>
    <col min="13" max="13" width="17" customWidth="1"/>
    <col min="14" max="14" width="26.42578125" customWidth="1"/>
    <col min="15" max="15" width="17.85546875" customWidth="1"/>
    <col min="16" max="16" width="17.42578125" customWidth="1"/>
    <col min="17" max="17" width="17.85546875" customWidth="1"/>
    <col min="18" max="18" width="8.42578125" style="27" customWidth="1"/>
    <col min="19" max="19" width="18.28515625" customWidth="1"/>
    <col min="20" max="20" width="33.85546875" customWidth="1"/>
    <col min="21" max="21" width="20.5703125" bestFit="1" customWidth="1"/>
    <col min="22" max="22" width="15.28515625" customWidth="1"/>
    <col min="23" max="23" width="17.5703125" customWidth="1"/>
    <col min="24" max="24" width="6.85546875" style="27" customWidth="1"/>
    <col min="25" max="25" width="17" customWidth="1"/>
    <col min="26" max="26" width="29.7109375" customWidth="1"/>
    <col min="27" max="27" width="16.28515625" customWidth="1"/>
    <col min="28" max="28" width="21.7109375" customWidth="1"/>
    <col min="29" max="29" width="20.5703125" customWidth="1"/>
    <col min="30" max="30" width="8.140625" style="24" customWidth="1"/>
    <col min="31" max="31" width="21.140625" customWidth="1"/>
    <col min="32" max="32" width="30.42578125" bestFit="1" customWidth="1"/>
    <col min="33" max="33" width="16.140625" customWidth="1"/>
    <col min="34" max="34" width="15.85546875" customWidth="1"/>
    <col min="35" max="35" width="16.140625" customWidth="1"/>
    <col min="36" max="36" width="3.28515625" customWidth="1"/>
    <col min="37" max="37" width="4.140625" customWidth="1"/>
  </cols>
  <sheetData>
    <row r="1" spans="1:35" ht="26.25">
      <c r="A1" s="426" t="s">
        <v>0</v>
      </c>
      <c r="B1" s="426"/>
      <c r="C1" s="426"/>
      <c r="D1" s="426"/>
      <c r="E1" s="426"/>
      <c r="F1" s="27"/>
      <c r="G1" s="394" t="s">
        <v>0</v>
      </c>
      <c r="H1" s="394"/>
      <c r="I1" s="394"/>
      <c r="J1" s="394"/>
      <c r="K1" s="394"/>
      <c r="L1" s="102"/>
      <c r="M1" s="394" t="s">
        <v>0</v>
      </c>
      <c r="N1" s="394"/>
      <c r="O1" s="394"/>
      <c r="P1" s="394"/>
      <c r="Q1" s="394"/>
      <c r="R1" s="102"/>
      <c r="S1" s="394" t="s">
        <v>0</v>
      </c>
      <c r="T1" s="394"/>
      <c r="U1" s="394"/>
      <c r="V1" s="394"/>
      <c r="W1" s="394"/>
      <c r="X1" s="102"/>
      <c r="Y1" s="394" t="s">
        <v>0</v>
      </c>
      <c r="Z1" s="394"/>
      <c r="AA1" s="394"/>
      <c r="AB1" s="394"/>
      <c r="AC1" s="394"/>
      <c r="AD1" s="104"/>
      <c r="AE1" s="394" t="s">
        <v>0</v>
      </c>
      <c r="AF1" s="394"/>
      <c r="AG1" s="394"/>
      <c r="AH1" s="394"/>
      <c r="AI1" s="394"/>
    </row>
    <row r="2" spans="1:35" ht="18.75" customHeight="1">
      <c r="A2" s="427" t="s">
        <v>384</v>
      </c>
      <c r="B2" s="427"/>
      <c r="C2" s="427"/>
      <c r="D2" s="427"/>
      <c r="E2" s="427"/>
      <c r="F2" s="27"/>
      <c r="G2" s="396" t="s">
        <v>385</v>
      </c>
      <c r="H2" s="396"/>
      <c r="I2" s="396"/>
      <c r="J2" s="396"/>
      <c r="K2" s="396"/>
      <c r="L2" s="25"/>
      <c r="M2" s="396" t="s">
        <v>385</v>
      </c>
      <c r="N2" s="396"/>
      <c r="O2" s="396"/>
      <c r="P2" s="396"/>
      <c r="Q2" s="396"/>
      <c r="R2" s="25"/>
      <c r="S2" s="396" t="s">
        <v>385</v>
      </c>
      <c r="T2" s="396"/>
      <c r="U2" s="396"/>
      <c r="V2" s="396"/>
      <c r="W2" s="396"/>
      <c r="X2" s="26"/>
      <c r="Y2" s="396" t="s">
        <v>385</v>
      </c>
      <c r="Z2" s="396"/>
      <c r="AA2" s="396"/>
      <c r="AB2" s="396"/>
      <c r="AC2" s="396"/>
      <c r="AD2" s="104"/>
      <c r="AE2" s="397" t="s">
        <v>385</v>
      </c>
      <c r="AF2" s="397"/>
      <c r="AG2" s="397"/>
      <c r="AH2" s="397"/>
      <c r="AI2" s="397"/>
    </row>
    <row r="3" spans="1:35" ht="18.75">
      <c r="A3" s="428" t="s">
        <v>592</v>
      </c>
      <c r="B3" s="428"/>
      <c r="C3" s="428"/>
      <c r="D3" s="428"/>
      <c r="E3" s="428"/>
      <c r="F3" s="27"/>
      <c r="G3" s="397" t="s">
        <v>121</v>
      </c>
      <c r="H3" s="397"/>
      <c r="I3" s="397"/>
      <c r="J3" s="397"/>
      <c r="K3" s="397"/>
      <c r="L3" s="26"/>
      <c r="M3" s="397" t="s">
        <v>122</v>
      </c>
      <c r="N3" s="397"/>
      <c r="O3" s="397"/>
      <c r="P3" s="397"/>
      <c r="Q3" s="397"/>
      <c r="R3" s="26"/>
      <c r="S3" s="397" t="s">
        <v>123</v>
      </c>
      <c r="T3" s="397"/>
      <c r="U3" s="397"/>
      <c r="V3" s="397"/>
      <c r="W3" s="397"/>
      <c r="X3" s="26"/>
      <c r="Y3" s="397" t="s">
        <v>124</v>
      </c>
      <c r="Z3" s="397"/>
      <c r="AA3" s="397"/>
      <c r="AB3" s="397"/>
      <c r="AC3" s="397"/>
      <c r="AD3" s="104"/>
      <c r="AE3" s="397" t="s">
        <v>220</v>
      </c>
      <c r="AF3" s="397"/>
      <c r="AG3" s="397"/>
      <c r="AH3" s="397"/>
      <c r="AI3" s="397"/>
    </row>
    <row r="4" spans="1:35" ht="18.75">
      <c r="A4" s="416" t="s">
        <v>114</v>
      </c>
      <c r="B4" s="416"/>
      <c r="C4" s="416"/>
      <c r="D4" s="416"/>
      <c r="E4" s="416"/>
      <c r="F4" s="27"/>
      <c r="G4" s="26"/>
      <c r="H4" s="26"/>
      <c r="I4" s="26"/>
      <c r="J4" s="26"/>
      <c r="K4" s="26"/>
      <c r="L4" s="26"/>
      <c r="M4" s="27"/>
      <c r="N4" s="27"/>
      <c r="O4" s="27"/>
      <c r="P4" s="27"/>
      <c r="Q4" s="27"/>
      <c r="S4" s="26"/>
      <c r="T4" s="26"/>
      <c r="U4" s="26"/>
      <c r="V4" s="26"/>
      <c r="W4" s="26"/>
      <c r="X4" s="26"/>
      <c r="Y4" s="26"/>
      <c r="Z4" s="26"/>
      <c r="AA4" s="26"/>
      <c r="AB4" s="26"/>
      <c r="AC4" s="26"/>
      <c r="AD4" s="104"/>
      <c r="AE4" s="27"/>
      <c r="AF4" s="27"/>
      <c r="AG4" s="27"/>
      <c r="AH4" s="27"/>
      <c r="AI4" s="27"/>
    </row>
    <row r="5" spans="1:35" ht="18.75">
      <c r="A5" s="416" t="s">
        <v>118</v>
      </c>
      <c r="B5" s="416"/>
      <c r="C5" s="416"/>
      <c r="D5" s="416"/>
      <c r="E5" s="416"/>
      <c r="F5" s="27"/>
      <c r="G5" s="26"/>
      <c r="H5" s="26"/>
      <c r="I5" s="26"/>
      <c r="J5" s="26"/>
      <c r="K5" s="26"/>
      <c r="L5" s="26"/>
      <c r="M5" s="27"/>
      <c r="N5" s="27"/>
      <c r="O5" s="27"/>
      <c r="P5" s="27"/>
      <c r="Q5" s="27"/>
      <c r="S5" s="26"/>
      <c r="T5" s="26"/>
      <c r="U5" s="26"/>
      <c r="V5" s="26"/>
      <c r="W5" s="26"/>
      <c r="X5" s="26"/>
      <c r="Y5" s="26"/>
      <c r="Z5" s="26"/>
      <c r="AA5" s="26"/>
      <c r="AB5" s="26"/>
      <c r="AC5" s="26"/>
      <c r="AD5" s="104"/>
      <c r="AE5" s="27"/>
      <c r="AF5" s="27"/>
      <c r="AG5" s="27"/>
      <c r="AH5" s="27"/>
      <c r="AI5" s="27"/>
    </row>
    <row r="6" spans="1:35" ht="18.75" customHeight="1">
      <c r="A6" s="416" t="s">
        <v>116</v>
      </c>
      <c r="B6" s="416"/>
      <c r="C6" s="416"/>
      <c r="D6" s="416"/>
      <c r="E6" s="416"/>
      <c r="F6" s="27"/>
      <c r="G6" s="26"/>
      <c r="H6" s="26"/>
      <c r="I6" s="26"/>
      <c r="J6" s="26"/>
      <c r="K6" s="26"/>
      <c r="L6" s="26"/>
      <c r="M6" s="27"/>
      <c r="N6" s="27"/>
      <c r="O6" s="27"/>
      <c r="P6" s="27"/>
      <c r="Q6" s="27"/>
      <c r="S6" s="26"/>
      <c r="T6" s="26"/>
      <c r="U6" s="26"/>
      <c r="V6" s="26"/>
      <c r="W6" s="26"/>
      <c r="X6" s="26"/>
      <c r="Y6" s="26"/>
      <c r="Z6" s="26"/>
      <c r="AA6" s="26"/>
      <c r="AB6" s="26"/>
      <c r="AC6" s="26"/>
      <c r="AD6" s="104"/>
      <c r="AE6" s="27"/>
      <c r="AF6" s="27"/>
      <c r="AG6" s="27"/>
      <c r="AH6" s="27"/>
      <c r="AI6" s="27"/>
    </row>
    <row r="7" spans="1:35" ht="18.75">
      <c r="A7" s="416" t="s">
        <v>117</v>
      </c>
      <c r="B7" s="416"/>
      <c r="C7" s="416"/>
      <c r="D7" s="416"/>
      <c r="E7" s="416"/>
      <c r="F7" s="27"/>
      <c r="G7" s="26"/>
      <c r="H7" s="26"/>
      <c r="I7" s="26"/>
      <c r="J7" s="26"/>
      <c r="K7" s="26"/>
      <c r="L7" s="26"/>
      <c r="M7" s="27"/>
      <c r="N7" s="27"/>
      <c r="O7" s="27"/>
      <c r="P7" s="27"/>
      <c r="Q7" s="27"/>
      <c r="S7" s="26"/>
      <c r="T7" s="26"/>
      <c r="U7" s="26"/>
      <c r="V7" s="26"/>
      <c r="W7" s="26"/>
      <c r="X7" s="26"/>
      <c r="Y7" s="26"/>
      <c r="Z7" s="26"/>
      <c r="AA7" s="26"/>
      <c r="AB7" s="26"/>
      <c r="AC7" s="26"/>
      <c r="AD7" s="104"/>
      <c r="AE7" s="27"/>
      <c r="AF7" s="27"/>
      <c r="AG7" s="27"/>
      <c r="AH7" s="27"/>
      <c r="AI7" s="27"/>
    </row>
    <row r="8" spans="1:35" ht="18.75">
      <c r="A8" s="27"/>
      <c r="B8" s="27"/>
      <c r="C8" s="27"/>
      <c r="D8" s="27"/>
      <c r="E8" s="27"/>
      <c r="F8" s="27"/>
      <c r="G8" s="26"/>
      <c r="H8" s="26"/>
      <c r="I8" s="26"/>
      <c r="J8" s="26"/>
      <c r="K8" s="26"/>
      <c r="L8" s="26"/>
      <c r="M8" s="27"/>
      <c r="N8" s="27"/>
      <c r="O8" s="27"/>
      <c r="P8" s="103"/>
      <c r="Q8" s="27"/>
      <c r="S8" s="26"/>
      <c r="T8" s="26"/>
      <c r="U8" s="26"/>
      <c r="V8" s="166"/>
      <c r="W8" s="26"/>
      <c r="X8" s="26"/>
      <c r="Y8" s="26"/>
      <c r="Z8" s="26"/>
      <c r="AA8" s="26"/>
      <c r="AB8" s="26"/>
      <c r="AC8" s="26"/>
      <c r="AD8" s="104"/>
      <c r="AE8" s="27"/>
      <c r="AF8" s="27"/>
      <c r="AG8" s="27"/>
      <c r="AH8" s="27"/>
      <c r="AI8" s="27"/>
    </row>
    <row r="9" spans="1:35" ht="15.75" thickBot="1">
      <c r="A9" s="27"/>
      <c r="B9" s="27"/>
      <c r="C9" s="27"/>
      <c r="D9" s="27"/>
      <c r="E9" s="27"/>
      <c r="F9" s="27"/>
      <c r="G9" s="27"/>
      <c r="H9" s="27"/>
      <c r="I9" s="28"/>
      <c r="J9" s="28"/>
      <c r="K9" s="28"/>
      <c r="L9" s="161"/>
      <c r="M9" s="27"/>
      <c r="N9" s="27"/>
      <c r="O9" s="27"/>
      <c r="P9" s="28"/>
      <c r="Q9" s="28"/>
      <c r="R9" s="28"/>
      <c r="S9" s="28"/>
      <c r="T9" s="28"/>
      <c r="U9" s="28"/>
      <c r="V9" s="28"/>
      <c r="W9" s="27"/>
      <c r="Y9" s="27"/>
      <c r="Z9" s="27"/>
      <c r="AA9" s="27"/>
      <c r="AB9" s="27"/>
      <c r="AC9" s="27"/>
      <c r="AD9" s="104"/>
      <c r="AE9" s="27"/>
      <c r="AF9" s="27"/>
      <c r="AG9" s="27"/>
      <c r="AH9" s="27"/>
      <c r="AI9" s="27"/>
    </row>
    <row r="10" spans="1:35" ht="15" customHeight="1">
      <c r="A10" s="429" t="s">
        <v>8</v>
      </c>
      <c r="B10" s="398" t="s">
        <v>9</v>
      </c>
      <c r="C10" s="398" t="s">
        <v>386</v>
      </c>
      <c r="D10" s="398" t="s">
        <v>393</v>
      </c>
      <c r="E10" s="412" t="s">
        <v>388</v>
      </c>
      <c r="F10" s="27"/>
      <c r="G10" s="429" t="s">
        <v>8</v>
      </c>
      <c r="H10" s="398" t="s">
        <v>9</v>
      </c>
      <c r="I10" s="398" t="s">
        <v>387</v>
      </c>
      <c r="J10" s="433" t="s">
        <v>393</v>
      </c>
      <c r="K10" s="412" t="s">
        <v>388</v>
      </c>
      <c r="L10" s="3"/>
      <c r="M10" s="429" t="s">
        <v>8</v>
      </c>
      <c r="N10" s="398" t="s">
        <v>9</v>
      </c>
      <c r="O10" s="398" t="s">
        <v>387</v>
      </c>
      <c r="P10" s="433" t="s">
        <v>393</v>
      </c>
      <c r="Q10" s="412" t="s">
        <v>388</v>
      </c>
      <c r="R10" s="3"/>
      <c r="S10" s="429" t="s">
        <v>8</v>
      </c>
      <c r="T10" s="398" t="s">
        <v>9</v>
      </c>
      <c r="U10" s="398" t="s">
        <v>386</v>
      </c>
      <c r="V10" s="433" t="s">
        <v>393</v>
      </c>
      <c r="W10" s="412" t="s">
        <v>388</v>
      </c>
      <c r="X10" s="3"/>
      <c r="Y10" s="429" t="s">
        <v>8</v>
      </c>
      <c r="Z10" s="398" t="s">
        <v>9</v>
      </c>
      <c r="AA10" s="398" t="s">
        <v>387</v>
      </c>
      <c r="AB10" s="433" t="s">
        <v>393</v>
      </c>
      <c r="AC10" s="412" t="s">
        <v>388</v>
      </c>
      <c r="AD10" s="104"/>
      <c r="AE10" s="429" t="s">
        <v>8</v>
      </c>
      <c r="AF10" s="398" t="s">
        <v>9</v>
      </c>
      <c r="AG10" s="433" t="s">
        <v>387</v>
      </c>
      <c r="AH10" s="433" t="s">
        <v>393</v>
      </c>
      <c r="AI10" s="435" t="s">
        <v>388</v>
      </c>
    </row>
    <row r="11" spans="1:35" ht="29.25" customHeight="1">
      <c r="A11" s="430"/>
      <c r="B11" s="431"/>
      <c r="C11" s="431"/>
      <c r="D11" s="431"/>
      <c r="E11" s="432"/>
      <c r="F11" s="27"/>
      <c r="G11" s="430"/>
      <c r="H11" s="431"/>
      <c r="I11" s="431"/>
      <c r="J11" s="434"/>
      <c r="K11" s="432"/>
      <c r="L11" s="3"/>
      <c r="M11" s="430"/>
      <c r="N11" s="431"/>
      <c r="O11" s="431"/>
      <c r="P11" s="434"/>
      <c r="Q11" s="432"/>
      <c r="R11" s="3"/>
      <c r="S11" s="430"/>
      <c r="T11" s="431"/>
      <c r="U11" s="431"/>
      <c r="V11" s="434"/>
      <c r="W11" s="432"/>
      <c r="X11" s="3"/>
      <c r="Y11" s="430"/>
      <c r="Z11" s="431"/>
      <c r="AA11" s="431"/>
      <c r="AB11" s="434"/>
      <c r="AC11" s="432"/>
      <c r="AD11" s="104"/>
      <c r="AE11" s="430"/>
      <c r="AF11" s="431"/>
      <c r="AG11" s="434"/>
      <c r="AH11" s="434"/>
      <c r="AI11" s="436"/>
    </row>
    <row r="12" spans="1:35">
      <c r="A12" s="313"/>
      <c r="B12" s="302"/>
      <c r="C12" s="303"/>
      <c r="D12" s="303"/>
      <c r="E12" s="314"/>
      <c r="F12" s="27"/>
      <c r="G12" s="313"/>
      <c r="H12" s="302"/>
      <c r="I12" s="303"/>
      <c r="J12" s="303"/>
      <c r="K12" s="314"/>
      <c r="L12" s="29"/>
      <c r="M12" s="313"/>
      <c r="N12" s="302"/>
      <c r="O12" s="317"/>
      <c r="P12" s="317"/>
      <c r="Q12" s="314"/>
      <c r="R12" s="30"/>
      <c r="S12" s="313"/>
      <c r="T12" s="302"/>
      <c r="U12" s="317"/>
      <c r="V12" s="317"/>
      <c r="W12" s="314"/>
      <c r="X12" s="30"/>
      <c r="Y12" s="313"/>
      <c r="Z12" s="302"/>
      <c r="AA12" s="317"/>
      <c r="AB12" s="317"/>
      <c r="AC12" s="314"/>
      <c r="AD12" s="104"/>
      <c r="AE12" s="313"/>
      <c r="AF12" s="302"/>
      <c r="AG12" s="326"/>
      <c r="AH12" s="326"/>
      <c r="AI12" s="50"/>
    </row>
    <row r="13" spans="1:35" s="6" customFormat="1" ht="11.25">
      <c r="A13" s="31">
        <v>1000</v>
      </c>
      <c r="B13" s="2" t="s">
        <v>125</v>
      </c>
      <c r="C13" s="304">
        <f>SUM(C14:C46)</f>
        <v>181361543.26915389</v>
      </c>
      <c r="D13" s="304">
        <f>SUM(D14:D46)</f>
        <v>119631859.28000002</v>
      </c>
      <c r="E13" s="32">
        <f>SUM(E14:E46)</f>
        <v>198410626.44494894</v>
      </c>
      <c r="F13" s="7"/>
      <c r="G13" s="31">
        <v>1000</v>
      </c>
      <c r="H13" s="2" t="s">
        <v>125</v>
      </c>
      <c r="I13" s="305">
        <f>SUM(I14:I46)</f>
        <v>107745653.02323872</v>
      </c>
      <c r="J13" s="305">
        <f>SUM(J14:J46)</f>
        <v>76888877.140000001</v>
      </c>
      <c r="K13" s="32">
        <f>SUM(K14:K46)</f>
        <v>119020218.32556264</v>
      </c>
      <c r="L13" s="34"/>
      <c r="M13" s="31">
        <v>1000</v>
      </c>
      <c r="N13" s="2" t="s">
        <v>125</v>
      </c>
      <c r="O13" s="318">
        <f>SUM(O14:O46)</f>
        <v>39647637.967908099</v>
      </c>
      <c r="P13" s="318">
        <f>SUM(P14:P46)</f>
        <v>22820760.039999999</v>
      </c>
      <c r="Q13" s="32">
        <f>SUM(Q14:Q46)</f>
        <v>43612401.764698915</v>
      </c>
      <c r="R13" s="35"/>
      <c r="S13" s="31">
        <v>1000</v>
      </c>
      <c r="T13" s="2" t="s">
        <v>125</v>
      </c>
      <c r="U13" s="318">
        <f>SUM(U14:U46)</f>
        <v>20200348.761972003</v>
      </c>
      <c r="V13" s="318">
        <f>SUM(V14:V46)</f>
        <v>11025546.379999999</v>
      </c>
      <c r="W13" s="32">
        <f>SUM(W14:W46)</f>
        <v>21412369.687690321</v>
      </c>
      <c r="X13" s="35"/>
      <c r="Y13" s="31">
        <v>1000</v>
      </c>
      <c r="Z13" s="2" t="s">
        <v>125</v>
      </c>
      <c r="AA13" s="318">
        <f>SUM(AA14:AA46)</f>
        <v>1859646.5160350001</v>
      </c>
      <c r="AB13" s="318">
        <f>SUM(AB14:AB46)</f>
        <v>1260815.99</v>
      </c>
      <c r="AC13" s="32">
        <f>SUM(AC14:AC46)</f>
        <v>1971225.3069970994</v>
      </c>
      <c r="AD13" s="7"/>
      <c r="AE13" s="31">
        <v>1000</v>
      </c>
      <c r="AF13" s="2" t="s">
        <v>125</v>
      </c>
      <c r="AG13" s="323">
        <f>SUM(AG14:AG43)</f>
        <v>11908257</v>
      </c>
      <c r="AH13" s="323">
        <f>SUM(AH14:AH46)</f>
        <v>7635859.7300000004</v>
      </c>
      <c r="AI13" s="36">
        <f>SUM(AI14:AI43)</f>
        <v>12394411.359999999</v>
      </c>
    </row>
    <row r="14" spans="1:35" s="10" customFormat="1" ht="11.25">
      <c r="A14" s="37">
        <v>11301</v>
      </c>
      <c r="B14" s="38" t="s">
        <v>126</v>
      </c>
      <c r="C14" s="306">
        <f t="shared" ref="C14:C45" si="0">I14+O14+U14+AA14+AG14</f>
        <v>55213902.631480128</v>
      </c>
      <c r="D14" s="306">
        <f>J14+P14+V14+AB14+AH14</f>
        <v>41364386.079999998</v>
      </c>
      <c r="E14" s="382">
        <f t="shared" ref="E14:E45" si="1">K14+Q14+W14+AC14+AI14</f>
        <v>60024201.657992601</v>
      </c>
      <c r="F14" s="7"/>
      <c r="G14" s="37">
        <v>11301</v>
      </c>
      <c r="H14" s="38" t="s">
        <v>126</v>
      </c>
      <c r="I14" s="307">
        <v>39860101.447482534</v>
      </c>
      <c r="J14" s="307">
        <v>30300161.420000002</v>
      </c>
      <c r="K14" s="39">
        <v>43846111.592230789</v>
      </c>
      <c r="L14" s="40"/>
      <c r="M14" s="37">
        <v>11301</v>
      </c>
      <c r="N14" s="38" t="s">
        <v>126</v>
      </c>
      <c r="O14" s="311">
        <v>6101905.0081091188</v>
      </c>
      <c r="P14" s="311">
        <v>4929939.4400000004</v>
      </c>
      <c r="Q14" s="39">
        <v>6712095.5089200307</v>
      </c>
      <c r="R14" s="35"/>
      <c r="S14" s="37">
        <v>11301</v>
      </c>
      <c r="T14" s="38" t="s">
        <v>126</v>
      </c>
      <c r="U14" s="311">
        <v>3346390.6678639953</v>
      </c>
      <c r="V14" s="311">
        <v>2953216.93</v>
      </c>
      <c r="W14" s="39">
        <v>3547174.1079358351</v>
      </c>
      <c r="X14" s="35"/>
      <c r="Y14" s="37">
        <v>11301</v>
      </c>
      <c r="Z14" s="38" t="s">
        <v>126</v>
      </c>
      <c r="AA14" s="311">
        <v>1005487.3480244788</v>
      </c>
      <c r="AB14" s="311">
        <v>243684.07</v>
      </c>
      <c r="AC14" s="39">
        <v>865816.58890594752</v>
      </c>
      <c r="AD14" s="7"/>
      <c r="AE14" s="37">
        <v>11301</v>
      </c>
      <c r="AF14" s="38" t="s">
        <v>126</v>
      </c>
      <c r="AG14" s="327">
        <v>4900018.16</v>
      </c>
      <c r="AH14" s="327">
        <v>2937384.22</v>
      </c>
      <c r="AI14" s="42">
        <v>5053003.8600000003</v>
      </c>
    </row>
    <row r="15" spans="1:35" s="10" customFormat="1" ht="11.25">
      <c r="A15" s="37">
        <v>11302</v>
      </c>
      <c r="B15" s="38" t="s">
        <v>127</v>
      </c>
      <c r="C15" s="306">
        <f t="shared" si="0"/>
        <v>735002.72</v>
      </c>
      <c r="D15" s="306">
        <f t="shared" ref="D15:D45" si="2">J15+P15+V15+AB15+AH15</f>
        <v>440570.33</v>
      </c>
      <c r="E15" s="382">
        <f t="shared" si="1"/>
        <v>757951.83</v>
      </c>
      <c r="F15" s="7"/>
      <c r="G15" s="37">
        <v>11302</v>
      </c>
      <c r="H15" s="38" t="s">
        <v>127</v>
      </c>
      <c r="I15" s="307"/>
      <c r="J15" s="307"/>
      <c r="K15" s="39">
        <v>0</v>
      </c>
      <c r="L15" s="40"/>
      <c r="M15" s="37">
        <v>11302</v>
      </c>
      <c r="N15" s="38" t="s">
        <v>127</v>
      </c>
      <c r="O15" s="311">
        <v>0</v>
      </c>
      <c r="P15" s="311"/>
      <c r="Q15" s="39">
        <v>0</v>
      </c>
      <c r="R15" s="35"/>
      <c r="S15" s="37">
        <v>11302</v>
      </c>
      <c r="T15" s="38" t="s">
        <v>127</v>
      </c>
      <c r="U15" s="311">
        <v>0</v>
      </c>
      <c r="V15" s="311"/>
      <c r="W15" s="39">
        <v>0</v>
      </c>
      <c r="X15" s="35"/>
      <c r="Y15" s="37">
        <v>11302</v>
      </c>
      <c r="Z15" s="38" t="s">
        <v>127</v>
      </c>
      <c r="AA15" s="311">
        <v>0</v>
      </c>
      <c r="AB15" s="311"/>
      <c r="AC15" s="39">
        <v>0</v>
      </c>
      <c r="AD15" s="7"/>
      <c r="AE15" s="37">
        <v>11302</v>
      </c>
      <c r="AF15" s="38" t="s">
        <v>127</v>
      </c>
      <c r="AG15" s="327">
        <v>735002.72</v>
      </c>
      <c r="AH15" s="327">
        <v>440570.33</v>
      </c>
      <c r="AI15" s="42">
        <v>757951.83</v>
      </c>
    </row>
    <row r="16" spans="1:35" s="10" customFormat="1" ht="11.25">
      <c r="A16" s="37">
        <v>11303</v>
      </c>
      <c r="B16" s="38" t="s">
        <v>128</v>
      </c>
      <c r="C16" s="306">
        <f t="shared" si="0"/>
        <v>1366024.8619637503</v>
      </c>
      <c r="D16" s="306">
        <f t="shared" si="2"/>
        <v>1096152.23</v>
      </c>
      <c r="E16" s="382">
        <f t="shared" si="1"/>
        <v>1993627.266169721</v>
      </c>
      <c r="F16" s="7"/>
      <c r="G16" s="37">
        <v>11303</v>
      </c>
      <c r="H16" s="38" t="s">
        <v>128</v>
      </c>
      <c r="I16" s="311">
        <v>876287.6535466155</v>
      </c>
      <c r="J16" s="311">
        <v>927319.53</v>
      </c>
      <c r="K16" s="39">
        <v>1463916.418901277</v>
      </c>
      <c r="L16" s="40"/>
      <c r="M16" s="37">
        <v>11303</v>
      </c>
      <c r="N16" s="38" t="s">
        <v>128</v>
      </c>
      <c r="O16" s="311">
        <v>264735.15865702683</v>
      </c>
      <c r="P16" s="311">
        <v>71867.06</v>
      </c>
      <c r="Q16" s="39">
        <v>291208.67452272953</v>
      </c>
      <c r="R16" s="35"/>
      <c r="S16" s="37">
        <v>11303</v>
      </c>
      <c r="T16" s="38" t="s">
        <v>128</v>
      </c>
      <c r="U16" s="311">
        <v>225002.04976010797</v>
      </c>
      <c r="V16" s="311">
        <v>96965.64</v>
      </c>
      <c r="W16" s="39">
        <v>238502.17274571446</v>
      </c>
      <c r="X16" s="35"/>
      <c r="Y16" s="37">
        <v>11303</v>
      </c>
      <c r="Z16" s="38" t="s">
        <v>128</v>
      </c>
      <c r="AA16" s="319">
        <v>0</v>
      </c>
      <c r="AB16" s="319"/>
      <c r="AC16" s="39">
        <v>0</v>
      </c>
      <c r="AD16" s="7"/>
      <c r="AE16" s="37">
        <v>11303</v>
      </c>
      <c r="AF16" s="38" t="s">
        <v>128</v>
      </c>
      <c r="AG16" s="327"/>
      <c r="AH16" s="327"/>
      <c r="AI16" s="42"/>
    </row>
    <row r="17" spans="1:35" s="10" customFormat="1" ht="22.5">
      <c r="A17" s="37">
        <v>11304</v>
      </c>
      <c r="B17" s="38" t="s">
        <v>129</v>
      </c>
      <c r="C17" s="306">
        <f t="shared" si="0"/>
        <v>0</v>
      </c>
      <c r="D17" s="306">
        <f t="shared" si="2"/>
        <v>0</v>
      </c>
      <c r="E17" s="382">
        <f t="shared" si="1"/>
        <v>0</v>
      </c>
      <c r="F17" s="7"/>
      <c r="G17" s="37">
        <v>11304</v>
      </c>
      <c r="H17" s="38" t="s">
        <v>129</v>
      </c>
      <c r="I17" s="307"/>
      <c r="J17" s="307"/>
      <c r="K17" s="39">
        <v>0</v>
      </c>
      <c r="L17" s="40"/>
      <c r="M17" s="37">
        <v>11304</v>
      </c>
      <c r="N17" s="38" t="s">
        <v>129</v>
      </c>
      <c r="O17" s="319">
        <v>0</v>
      </c>
      <c r="P17" s="319"/>
      <c r="Q17" s="39">
        <v>0</v>
      </c>
      <c r="R17" s="35"/>
      <c r="S17" s="37">
        <v>11304</v>
      </c>
      <c r="T17" s="38" t="s">
        <v>129</v>
      </c>
      <c r="U17" s="319">
        <v>0</v>
      </c>
      <c r="V17" s="319"/>
      <c r="W17" s="39">
        <v>0</v>
      </c>
      <c r="X17" s="35"/>
      <c r="Y17" s="37">
        <v>11304</v>
      </c>
      <c r="Z17" s="38" t="s">
        <v>129</v>
      </c>
      <c r="AA17" s="319">
        <v>0</v>
      </c>
      <c r="AB17" s="319"/>
      <c r="AC17" s="39">
        <v>0</v>
      </c>
      <c r="AD17" s="7"/>
      <c r="AE17" s="37">
        <v>11304</v>
      </c>
      <c r="AF17" s="38" t="s">
        <v>129</v>
      </c>
      <c r="AG17" s="327"/>
      <c r="AH17" s="327"/>
      <c r="AI17" s="42"/>
    </row>
    <row r="18" spans="1:35" s="10" customFormat="1" ht="11.25">
      <c r="A18" s="37">
        <v>11306</v>
      </c>
      <c r="B18" s="38" t="s">
        <v>130</v>
      </c>
      <c r="C18" s="306">
        <f t="shared" si="0"/>
        <v>34975736.589243285</v>
      </c>
      <c r="D18" s="306">
        <f t="shared" si="2"/>
        <v>20551571.839999996</v>
      </c>
      <c r="E18" s="382">
        <f t="shared" si="1"/>
        <v>36765322.856338397</v>
      </c>
      <c r="F18" s="7"/>
      <c r="G18" s="37">
        <v>11306</v>
      </c>
      <c r="H18" s="38" t="s">
        <v>130</v>
      </c>
      <c r="I18" s="311">
        <v>19295029.976511911</v>
      </c>
      <c r="J18" s="311">
        <v>11862585.34</v>
      </c>
      <c r="K18" s="39">
        <v>20224532.9741631</v>
      </c>
      <c r="L18" s="40"/>
      <c r="M18" s="37">
        <v>11306</v>
      </c>
      <c r="N18" s="38" t="s">
        <v>130</v>
      </c>
      <c r="O18" s="311">
        <v>10481021.817001089</v>
      </c>
      <c r="P18" s="311">
        <v>5683869.5599999996</v>
      </c>
      <c r="Q18" s="39">
        <v>11079123.998701198</v>
      </c>
      <c r="R18" s="35"/>
      <c r="S18" s="37">
        <v>11306</v>
      </c>
      <c r="T18" s="38" t="s">
        <v>130</v>
      </c>
      <c r="U18" s="311">
        <v>5018079.5220733695</v>
      </c>
      <c r="V18" s="311">
        <v>2691957.95</v>
      </c>
      <c r="W18" s="39">
        <v>5069164.2933977712</v>
      </c>
      <c r="X18" s="35"/>
      <c r="Y18" s="37">
        <v>11306</v>
      </c>
      <c r="Z18" s="38" t="s">
        <v>130</v>
      </c>
      <c r="AA18" s="311">
        <v>181605.27365691011</v>
      </c>
      <c r="AB18" s="311">
        <v>313158.99</v>
      </c>
      <c r="AC18" s="39">
        <v>392501.5900763247</v>
      </c>
      <c r="AD18" s="7"/>
      <c r="AE18" s="37">
        <v>11306</v>
      </c>
      <c r="AF18" s="38" t="s">
        <v>130</v>
      </c>
      <c r="AG18" s="327"/>
      <c r="AH18" s="327"/>
      <c r="AI18" s="42"/>
    </row>
    <row r="19" spans="1:35" s="10" customFormat="1" ht="11.25">
      <c r="A19" s="37">
        <v>11307</v>
      </c>
      <c r="B19" s="38" t="s">
        <v>131</v>
      </c>
      <c r="C19" s="306">
        <f t="shared" si="0"/>
        <v>10643911.045503145</v>
      </c>
      <c r="D19" s="306">
        <f t="shared" si="2"/>
        <v>5046836.78</v>
      </c>
      <c r="E19" s="382">
        <f t="shared" si="1"/>
        <v>11633590.08053299</v>
      </c>
      <c r="F19" s="7"/>
      <c r="G19" s="37">
        <v>11307</v>
      </c>
      <c r="H19" s="38" t="s">
        <v>131</v>
      </c>
      <c r="I19" s="311">
        <v>5114964.639573738</v>
      </c>
      <c r="J19" s="311">
        <v>2557855.2599999998</v>
      </c>
      <c r="K19" s="39">
        <v>5626461.103531112</v>
      </c>
      <c r="L19" s="40"/>
      <c r="M19" s="37">
        <v>11307</v>
      </c>
      <c r="N19" s="38" t="s">
        <v>131</v>
      </c>
      <c r="O19" s="311">
        <v>3661144.6679177238</v>
      </c>
      <c r="P19" s="311">
        <v>1648572.16</v>
      </c>
      <c r="Q19" s="39">
        <v>4027259.1347094961</v>
      </c>
      <c r="R19" s="35"/>
      <c r="S19" s="37">
        <v>11307</v>
      </c>
      <c r="T19" s="38" t="s">
        <v>131</v>
      </c>
      <c r="U19" s="311">
        <v>1759882.5559400578</v>
      </c>
      <c r="V19" s="311">
        <v>732857.36</v>
      </c>
      <c r="W19" s="39">
        <v>1865475.5092964612</v>
      </c>
      <c r="X19" s="35"/>
      <c r="Y19" s="37">
        <v>11307</v>
      </c>
      <c r="Z19" s="38" t="s">
        <v>131</v>
      </c>
      <c r="AA19" s="311">
        <v>107919.1820716248</v>
      </c>
      <c r="AB19" s="311">
        <v>107552</v>
      </c>
      <c r="AC19" s="39">
        <v>114394.33299592229</v>
      </c>
      <c r="AD19" s="7"/>
      <c r="AE19" s="37">
        <v>11307</v>
      </c>
      <c r="AF19" s="38" t="s">
        <v>131</v>
      </c>
      <c r="AG19" s="327"/>
      <c r="AH19" s="327"/>
      <c r="AI19" s="42"/>
    </row>
    <row r="20" spans="1:35" s="10" customFormat="1" ht="11.25">
      <c r="A20" s="37">
        <v>11308</v>
      </c>
      <c r="B20" s="38" t="s">
        <v>132</v>
      </c>
      <c r="C20" s="306">
        <f t="shared" si="0"/>
        <v>453876.75201704889</v>
      </c>
      <c r="D20" s="306">
        <f t="shared" si="2"/>
        <v>15210</v>
      </c>
      <c r="E20" s="382">
        <f t="shared" si="1"/>
        <v>20009.357138071839</v>
      </c>
      <c r="F20" s="7"/>
      <c r="G20" s="37">
        <v>11308</v>
      </c>
      <c r="H20" s="38" t="s">
        <v>132</v>
      </c>
      <c r="I20" s="307"/>
      <c r="J20" s="307"/>
      <c r="K20" s="39">
        <v>0</v>
      </c>
      <c r="L20" s="40"/>
      <c r="M20" s="37">
        <v>11308</v>
      </c>
      <c r="N20" s="38" t="s">
        <v>132</v>
      </c>
      <c r="O20" s="319">
        <v>0</v>
      </c>
      <c r="P20" s="319"/>
      <c r="Q20" s="39">
        <v>0</v>
      </c>
      <c r="R20" s="35"/>
      <c r="S20" s="37">
        <v>11308</v>
      </c>
      <c r="T20" s="38" t="s">
        <v>132</v>
      </c>
      <c r="U20" s="311">
        <v>18876.752017048904</v>
      </c>
      <c r="V20" s="311">
        <v>15210</v>
      </c>
      <c r="W20" s="39">
        <v>20009.357138071839</v>
      </c>
      <c r="X20" s="35"/>
      <c r="Y20" s="37">
        <v>11308</v>
      </c>
      <c r="Z20" s="38" t="s">
        <v>132</v>
      </c>
      <c r="AA20" s="319">
        <v>0</v>
      </c>
      <c r="AB20" s="319"/>
      <c r="AC20" s="39">
        <v>0</v>
      </c>
      <c r="AD20" s="7"/>
      <c r="AE20" s="37">
        <v>11308</v>
      </c>
      <c r="AF20" s="38" t="s">
        <v>132</v>
      </c>
      <c r="AG20" s="327">
        <v>435000</v>
      </c>
      <c r="AH20" s="327"/>
      <c r="AI20" s="42"/>
    </row>
    <row r="21" spans="1:35" s="10" customFormat="1" ht="11.25">
      <c r="A21" s="37">
        <v>11310</v>
      </c>
      <c r="B21" s="38" t="s">
        <v>133</v>
      </c>
      <c r="C21" s="306">
        <f t="shared" si="0"/>
        <v>6944306.6060835188</v>
      </c>
      <c r="D21" s="306">
        <f t="shared" si="2"/>
        <v>3364555.2</v>
      </c>
      <c r="E21" s="382">
        <f t="shared" si="1"/>
        <v>7589691.7268467396</v>
      </c>
      <c r="F21" s="7"/>
      <c r="G21" s="37">
        <v>11310</v>
      </c>
      <c r="H21" s="38" t="s">
        <v>133</v>
      </c>
      <c r="I21" s="311">
        <v>3409962.4086688505</v>
      </c>
      <c r="J21" s="311">
        <v>1705235.42</v>
      </c>
      <c r="K21" s="39">
        <v>3750958.6495357356</v>
      </c>
      <c r="L21" s="40"/>
      <c r="M21" s="37">
        <v>11310</v>
      </c>
      <c r="N21" s="38" t="s">
        <v>133</v>
      </c>
      <c r="O21" s="311">
        <v>2308205.7012863583</v>
      </c>
      <c r="P21" s="311">
        <v>1099047.33</v>
      </c>
      <c r="Q21" s="39">
        <v>2539026.2714149943</v>
      </c>
      <c r="R21" s="35"/>
      <c r="S21" s="37">
        <v>11310</v>
      </c>
      <c r="T21" s="38" t="s">
        <v>133</v>
      </c>
      <c r="U21" s="311">
        <v>1173252.2060923525</v>
      </c>
      <c r="V21" s="311">
        <v>488571.14</v>
      </c>
      <c r="W21" s="39">
        <v>1243647.3384578936</v>
      </c>
      <c r="X21" s="35"/>
      <c r="Y21" s="37">
        <v>11310</v>
      </c>
      <c r="Z21" s="38" t="s">
        <v>133</v>
      </c>
      <c r="AA21" s="311">
        <v>52886.29003595878</v>
      </c>
      <c r="AB21" s="311">
        <v>71701.31</v>
      </c>
      <c r="AC21" s="39">
        <v>56059.467438116306</v>
      </c>
      <c r="AD21" s="7"/>
      <c r="AE21" s="37">
        <v>11310</v>
      </c>
      <c r="AF21" s="38" t="s">
        <v>133</v>
      </c>
      <c r="AG21" s="327"/>
      <c r="AH21" s="327"/>
      <c r="AI21" s="42"/>
    </row>
    <row r="22" spans="1:35" s="10" customFormat="1" ht="11.25">
      <c r="A22" s="37">
        <v>12101</v>
      </c>
      <c r="B22" s="38" t="s">
        <v>134</v>
      </c>
      <c r="C22" s="306">
        <f t="shared" si="0"/>
        <v>2136256.5064250561</v>
      </c>
      <c r="D22" s="306">
        <f t="shared" si="2"/>
        <v>1270869.7999999998</v>
      </c>
      <c r="E22" s="382">
        <f t="shared" si="1"/>
        <v>2334476.3438247917</v>
      </c>
      <c r="F22" s="7"/>
      <c r="G22" s="37">
        <v>12101</v>
      </c>
      <c r="H22" s="38" t="s">
        <v>134</v>
      </c>
      <c r="I22" s="311">
        <v>1198725.9519661728</v>
      </c>
      <c r="J22" s="311">
        <v>802525.79</v>
      </c>
      <c r="K22" s="39">
        <v>1318598.5471627901</v>
      </c>
      <c r="L22" s="40"/>
      <c r="M22" s="37">
        <v>12101</v>
      </c>
      <c r="N22" s="38" t="s">
        <v>134</v>
      </c>
      <c r="O22" s="311">
        <v>655967.28838962805</v>
      </c>
      <c r="P22" s="311">
        <v>327074.65999999997</v>
      </c>
      <c r="Q22" s="39">
        <v>721564.01722859091</v>
      </c>
      <c r="R22" s="35"/>
      <c r="S22" s="37">
        <v>12101</v>
      </c>
      <c r="T22" s="38" t="s">
        <v>134</v>
      </c>
      <c r="U22" s="311">
        <v>74371.556069255021</v>
      </c>
      <c r="V22" s="311">
        <v>3141.19</v>
      </c>
      <c r="W22" s="39">
        <v>78833.849433410316</v>
      </c>
      <c r="X22" s="35"/>
      <c r="Y22" s="37">
        <v>12101</v>
      </c>
      <c r="Z22" s="38" t="s">
        <v>134</v>
      </c>
      <c r="AA22" s="319">
        <v>0</v>
      </c>
      <c r="AB22" s="319"/>
      <c r="AC22" s="39">
        <v>0</v>
      </c>
      <c r="AD22" s="7"/>
      <c r="AE22" s="37">
        <v>12101</v>
      </c>
      <c r="AF22" s="38" t="s">
        <v>134</v>
      </c>
      <c r="AG22" s="327">
        <v>207191.71</v>
      </c>
      <c r="AH22" s="327">
        <v>138128.16</v>
      </c>
      <c r="AI22" s="42">
        <v>215479.93</v>
      </c>
    </row>
    <row r="23" spans="1:35" s="10" customFormat="1" ht="11.25">
      <c r="A23" s="37">
        <v>12201</v>
      </c>
      <c r="B23" s="38" t="s">
        <v>389</v>
      </c>
      <c r="C23" s="306">
        <f t="shared" si="0"/>
        <v>362774.13</v>
      </c>
      <c r="D23" s="306">
        <f t="shared" si="2"/>
        <v>237821.88</v>
      </c>
      <c r="E23" s="382">
        <f t="shared" si="1"/>
        <v>377290.37</v>
      </c>
      <c r="F23" s="7"/>
      <c r="G23" s="37">
        <v>12201</v>
      </c>
      <c r="H23" s="38" t="s">
        <v>389</v>
      </c>
      <c r="I23" s="311"/>
      <c r="J23" s="311"/>
      <c r="K23" s="39">
        <v>0</v>
      </c>
      <c r="L23" s="40"/>
      <c r="M23" s="37">
        <v>12201</v>
      </c>
      <c r="N23" s="38" t="s">
        <v>389</v>
      </c>
      <c r="O23" s="311"/>
      <c r="P23" s="311"/>
      <c r="Q23" s="39">
        <v>0</v>
      </c>
      <c r="R23" s="35"/>
      <c r="S23" s="37">
        <v>12201</v>
      </c>
      <c r="T23" s="38" t="s">
        <v>389</v>
      </c>
      <c r="U23" s="311"/>
      <c r="V23" s="311"/>
      <c r="W23" s="39">
        <v>0</v>
      </c>
      <c r="X23" s="35"/>
      <c r="Y23" s="37">
        <v>12201</v>
      </c>
      <c r="Z23" s="38" t="s">
        <v>389</v>
      </c>
      <c r="AA23" s="311"/>
      <c r="AB23" s="311"/>
      <c r="AC23" s="39">
        <v>0</v>
      </c>
      <c r="AD23" s="7"/>
      <c r="AE23" s="37">
        <v>12201</v>
      </c>
      <c r="AF23" s="38" t="s">
        <v>389</v>
      </c>
      <c r="AG23" s="327">
        <v>362774.13</v>
      </c>
      <c r="AH23" s="327">
        <v>237821.88</v>
      </c>
      <c r="AI23" s="42">
        <v>377290.37</v>
      </c>
    </row>
    <row r="24" spans="1:35" s="10" customFormat="1" ht="22.5">
      <c r="A24" s="37">
        <v>13101</v>
      </c>
      <c r="B24" s="38" t="s">
        <v>135</v>
      </c>
      <c r="C24" s="306">
        <f t="shared" si="0"/>
        <v>3002590.2679614332</v>
      </c>
      <c r="D24" s="306">
        <f t="shared" si="2"/>
        <v>2486552.29</v>
      </c>
      <c r="E24" s="382">
        <f t="shared" si="1"/>
        <v>3262305.5978756426</v>
      </c>
      <c r="F24" s="7"/>
      <c r="G24" s="37">
        <v>13101</v>
      </c>
      <c r="H24" s="38" t="s">
        <v>135</v>
      </c>
      <c r="I24" s="311">
        <v>1010366.1030229549</v>
      </c>
      <c r="J24" s="311">
        <v>924854.61</v>
      </c>
      <c r="K24" s="39">
        <v>1111402.7133252504</v>
      </c>
      <c r="L24" s="40"/>
      <c r="M24" s="37">
        <v>13101</v>
      </c>
      <c r="N24" s="38" t="s">
        <v>135</v>
      </c>
      <c r="O24" s="311">
        <v>1008637.4728901421</v>
      </c>
      <c r="P24" s="311">
        <v>778235.64</v>
      </c>
      <c r="Q24" s="39">
        <v>1109501.2201791564</v>
      </c>
      <c r="R24" s="35"/>
      <c r="S24" s="37">
        <v>13101</v>
      </c>
      <c r="T24" s="38" t="s">
        <v>135</v>
      </c>
      <c r="U24" s="311">
        <v>348858.29658023408</v>
      </c>
      <c r="V24" s="311">
        <v>345544.6</v>
      </c>
      <c r="W24" s="39">
        <v>369789.79437504814</v>
      </c>
      <c r="X24" s="35"/>
      <c r="Y24" s="37">
        <v>13101</v>
      </c>
      <c r="Z24" s="38" t="s">
        <v>135</v>
      </c>
      <c r="AA24" s="311">
        <v>31114.575468101903</v>
      </c>
      <c r="AB24" s="311">
        <v>39504.800000000003</v>
      </c>
      <c r="AC24" s="39">
        <v>32981.449996188014</v>
      </c>
      <c r="AD24" s="7"/>
      <c r="AE24" s="37">
        <v>13101</v>
      </c>
      <c r="AF24" s="38" t="s">
        <v>135</v>
      </c>
      <c r="AG24" s="327">
        <v>603613.81999999995</v>
      </c>
      <c r="AH24" s="327">
        <v>398412.64</v>
      </c>
      <c r="AI24" s="42">
        <v>638630.42000000004</v>
      </c>
    </row>
    <row r="25" spans="1:35" s="10" customFormat="1" ht="11.25">
      <c r="A25" s="37">
        <v>13201</v>
      </c>
      <c r="B25" s="38" t="s">
        <v>136</v>
      </c>
      <c r="C25" s="306">
        <f t="shared" si="0"/>
        <v>5034974.9398913616</v>
      </c>
      <c r="D25" s="306">
        <f t="shared" si="2"/>
        <v>1289865.55</v>
      </c>
      <c r="E25" s="382">
        <f t="shared" si="1"/>
        <v>5515019.5752978437</v>
      </c>
      <c r="F25" s="7"/>
      <c r="G25" s="37">
        <v>13201</v>
      </c>
      <c r="H25" s="38" t="s">
        <v>136</v>
      </c>
      <c r="I25" s="311">
        <v>3364280.9800325162</v>
      </c>
      <c r="J25" s="311">
        <v>858519.52</v>
      </c>
      <c r="K25" s="39">
        <v>3700709.0780357677</v>
      </c>
      <c r="L25" s="40"/>
      <c r="M25" s="37">
        <v>13201</v>
      </c>
      <c r="N25" s="38" t="s">
        <v>136</v>
      </c>
      <c r="O25" s="311">
        <v>1254191.9152925219</v>
      </c>
      <c r="P25" s="311">
        <v>98209.76</v>
      </c>
      <c r="Q25" s="39">
        <v>1379611.106821774</v>
      </c>
      <c r="R25" s="35"/>
      <c r="S25" s="37">
        <v>13201</v>
      </c>
      <c r="T25" s="38" t="s">
        <v>136</v>
      </c>
      <c r="U25" s="311">
        <v>59416.192951838355</v>
      </c>
      <c r="V25" s="311">
        <v>92449.67</v>
      </c>
      <c r="W25" s="39">
        <v>62981.164528948655</v>
      </c>
      <c r="X25" s="35"/>
      <c r="Y25" s="37">
        <v>13201</v>
      </c>
      <c r="Z25" s="38" t="s">
        <v>136</v>
      </c>
      <c r="AA25" s="311">
        <v>7788.5716144844391</v>
      </c>
      <c r="AB25" s="311">
        <v>12459.55</v>
      </c>
      <c r="AC25" s="39">
        <v>8255.8859113535054</v>
      </c>
      <c r="AD25" s="7"/>
      <c r="AE25" s="37">
        <v>13201</v>
      </c>
      <c r="AF25" s="38" t="s">
        <v>136</v>
      </c>
      <c r="AG25" s="327">
        <v>349297.28</v>
      </c>
      <c r="AH25" s="327">
        <v>228227.05</v>
      </c>
      <c r="AI25" s="42">
        <v>363462.34</v>
      </c>
    </row>
    <row r="26" spans="1:35" s="10" customFormat="1" ht="22.5">
      <c r="A26" s="37">
        <v>13202</v>
      </c>
      <c r="B26" s="38" t="s">
        <v>137</v>
      </c>
      <c r="C26" s="306">
        <f t="shared" si="0"/>
        <v>1340499.722908821</v>
      </c>
      <c r="D26" s="306">
        <f t="shared" si="2"/>
        <v>783092.07000000007</v>
      </c>
      <c r="E26" s="382">
        <f t="shared" si="1"/>
        <v>1517230.5161871098</v>
      </c>
      <c r="F26" s="7"/>
      <c r="G26" s="37">
        <v>13202</v>
      </c>
      <c r="H26" s="38" t="s">
        <v>137</v>
      </c>
      <c r="I26" s="307">
        <v>308418.55394533585</v>
      </c>
      <c r="J26" s="307">
        <v>116225.89</v>
      </c>
      <c r="K26" s="39">
        <v>339260.40933986945</v>
      </c>
      <c r="L26" s="40"/>
      <c r="M26" s="37">
        <v>13202</v>
      </c>
      <c r="N26" s="38" t="s">
        <v>137</v>
      </c>
      <c r="O26" s="319">
        <v>216151.72364865374</v>
      </c>
      <c r="P26" s="319">
        <v>169116.51</v>
      </c>
      <c r="Q26" s="39">
        <v>237766.89601351912</v>
      </c>
      <c r="R26" s="35"/>
      <c r="S26" s="37">
        <v>13202</v>
      </c>
      <c r="T26" s="38" t="s">
        <v>137</v>
      </c>
      <c r="U26" s="319">
        <v>99466.40936997009</v>
      </c>
      <c r="V26" s="319">
        <v>35376.019999999997</v>
      </c>
      <c r="W26" s="39">
        <v>105434.3939321683</v>
      </c>
      <c r="X26" s="35"/>
      <c r="Y26" s="37">
        <v>13202</v>
      </c>
      <c r="Z26" s="38" t="s">
        <v>137</v>
      </c>
      <c r="AA26" s="319">
        <v>17868.515944861367</v>
      </c>
      <c r="AB26" s="319">
        <v>4626.53</v>
      </c>
      <c r="AC26" s="39">
        <v>18940.626901553049</v>
      </c>
      <c r="AD26" s="7"/>
      <c r="AE26" s="37">
        <v>13202</v>
      </c>
      <c r="AF26" s="38" t="s">
        <v>137</v>
      </c>
      <c r="AG26" s="327">
        <v>698594.52</v>
      </c>
      <c r="AH26" s="327">
        <v>457747.12</v>
      </c>
      <c r="AI26" s="42">
        <v>815828.19</v>
      </c>
    </row>
    <row r="27" spans="1:35" s="10" customFormat="1" ht="22.5">
      <c r="A27" s="37">
        <v>13203</v>
      </c>
      <c r="B27" s="38" t="s">
        <v>138</v>
      </c>
      <c r="C27" s="306">
        <f t="shared" si="0"/>
        <v>90430.26</v>
      </c>
      <c r="D27" s="306">
        <f t="shared" si="2"/>
        <v>667.98</v>
      </c>
      <c r="E27" s="382">
        <f t="shared" si="1"/>
        <v>94140.96</v>
      </c>
      <c r="F27" s="7"/>
      <c r="G27" s="37">
        <v>13203</v>
      </c>
      <c r="H27" s="38" t="s">
        <v>138</v>
      </c>
      <c r="I27" s="307"/>
      <c r="J27" s="307"/>
      <c r="K27" s="39">
        <v>0</v>
      </c>
      <c r="L27" s="40"/>
      <c r="M27" s="37">
        <v>13203</v>
      </c>
      <c r="N27" s="38" t="s">
        <v>138</v>
      </c>
      <c r="O27" s="319">
        <v>0</v>
      </c>
      <c r="P27" s="319"/>
      <c r="Q27" s="39">
        <v>0</v>
      </c>
      <c r="R27" s="35"/>
      <c r="S27" s="37">
        <v>13203</v>
      </c>
      <c r="T27" s="38" t="s">
        <v>138</v>
      </c>
      <c r="U27" s="319">
        <v>0</v>
      </c>
      <c r="V27" s="319"/>
      <c r="W27" s="39">
        <v>0</v>
      </c>
      <c r="X27" s="35"/>
      <c r="Y27" s="37">
        <v>13203</v>
      </c>
      <c r="Z27" s="38" t="s">
        <v>138</v>
      </c>
      <c r="AA27" s="319">
        <v>0</v>
      </c>
      <c r="AB27" s="319"/>
      <c r="AC27" s="39">
        <v>0</v>
      </c>
      <c r="AD27" s="7"/>
      <c r="AE27" s="37">
        <v>13203</v>
      </c>
      <c r="AF27" s="38" t="s">
        <v>138</v>
      </c>
      <c r="AG27" s="327">
        <v>90430.26</v>
      </c>
      <c r="AH27" s="327">
        <v>667.98</v>
      </c>
      <c r="AI27" s="42">
        <v>94140.96</v>
      </c>
    </row>
    <row r="28" spans="1:35" s="10" customFormat="1" ht="11.25">
      <c r="A28" s="37">
        <v>13204</v>
      </c>
      <c r="B28" s="38" t="s">
        <v>139</v>
      </c>
      <c r="C28" s="306">
        <f t="shared" si="0"/>
        <v>85460.75</v>
      </c>
      <c r="D28" s="306">
        <f t="shared" si="2"/>
        <v>56234.29</v>
      </c>
      <c r="E28" s="382">
        <f t="shared" si="1"/>
        <v>88900.89</v>
      </c>
      <c r="F28" s="7"/>
      <c r="G28" s="37">
        <v>13204</v>
      </c>
      <c r="H28" s="38" t="s">
        <v>139</v>
      </c>
      <c r="I28" s="311"/>
      <c r="J28" s="311"/>
      <c r="K28" s="39">
        <v>0</v>
      </c>
      <c r="L28" s="40"/>
      <c r="M28" s="37">
        <v>13204</v>
      </c>
      <c r="N28" s="38" t="s">
        <v>139</v>
      </c>
      <c r="O28" s="319">
        <v>0</v>
      </c>
      <c r="P28" s="319"/>
      <c r="Q28" s="39">
        <v>0</v>
      </c>
      <c r="R28" s="35"/>
      <c r="S28" s="37">
        <v>13204</v>
      </c>
      <c r="T28" s="38" t="s">
        <v>139</v>
      </c>
      <c r="U28" s="319">
        <v>0</v>
      </c>
      <c r="V28" s="319"/>
      <c r="W28" s="39">
        <v>0</v>
      </c>
      <c r="X28" s="35"/>
      <c r="Y28" s="37">
        <v>13204</v>
      </c>
      <c r="Z28" s="38" t="s">
        <v>139</v>
      </c>
      <c r="AA28" s="319">
        <v>0</v>
      </c>
      <c r="AB28" s="319"/>
      <c r="AC28" s="39">
        <v>0</v>
      </c>
      <c r="AD28" s="7"/>
      <c r="AE28" s="37">
        <v>13204</v>
      </c>
      <c r="AF28" s="38" t="s">
        <v>139</v>
      </c>
      <c r="AG28" s="327">
        <v>85460.75</v>
      </c>
      <c r="AH28" s="327">
        <v>56234.29</v>
      </c>
      <c r="AI28" s="42">
        <v>88900.89</v>
      </c>
    </row>
    <row r="29" spans="1:35" s="10" customFormat="1" ht="22.5">
      <c r="A29" s="37">
        <v>13301</v>
      </c>
      <c r="B29" s="38" t="s">
        <v>140</v>
      </c>
      <c r="C29" s="306">
        <f t="shared" si="0"/>
        <v>1950288.586785926</v>
      </c>
      <c r="D29" s="306">
        <f t="shared" si="2"/>
        <v>5302597.5</v>
      </c>
      <c r="E29" s="382">
        <f t="shared" si="1"/>
        <v>3465189.1934645185</v>
      </c>
      <c r="F29" s="7"/>
      <c r="G29" s="37">
        <v>13301</v>
      </c>
      <c r="H29" s="38" t="s">
        <v>140</v>
      </c>
      <c r="I29" s="307">
        <v>1112183.866785926</v>
      </c>
      <c r="J29" s="307">
        <v>4940226.33</v>
      </c>
      <c r="K29" s="39">
        <v>2223402.2534645186</v>
      </c>
      <c r="L29" s="40"/>
      <c r="M29" s="37">
        <v>13301</v>
      </c>
      <c r="N29" s="38" t="s">
        <v>140</v>
      </c>
      <c r="O29" s="319">
        <v>0</v>
      </c>
      <c r="P29" s="319"/>
      <c r="Q29" s="39">
        <v>450000</v>
      </c>
      <c r="R29" s="35"/>
      <c r="S29" s="37">
        <v>13301</v>
      </c>
      <c r="T29" s="38" t="s">
        <v>140</v>
      </c>
      <c r="U29" s="319">
        <v>0</v>
      </c>
      <c r="V29" s="319"/>
      <c r="W29" s="39">
        <v>250000</v>
      </c>
      <c r="X29" s="35"/>
      <c r="Y29" s="37">
        <v>13301</v>
      </c>
      <c r="Z29" s="38" t="s">
        <v>140</v>
      </c>
      <c r="AA29" s="319">
        <v>0</v>
      </c>
      <c r="AB29" s="319"/>
      <c r="AC29" s="39">
        <v>0</v>
      </c>
      <c r="AD29" s="7"/>
      <c r="AE29" s="37">
        <v>13301</v>
      </c>
      <c r="AF29" s="38" t="s">
        <v>140</v>
      </c>
      <c r="AG29" s="327">
        <v>838104.72</v>
      </c>
      <c r="AH29" s="327">
        <v>362371.17</v>
      </c>
      <c r="AI29" s="42">
        <v>541786.93999999994</v>
      </c>
    </row>
    <row r="30" spans="1:35" s="10" customFormat="1" ht="11.25">
      <c r="A30" s="37">
        <v>13403</v>
      </c>
      <c r="B30" s="38" t="s">
        <v>141</v>
      </c>
      <c r="C30" s="306">
        <f t="shared" si="0"/>
        <v>117600</v>
      </c>
      <c r="D30" s="306">
        <f t="shared" si="2"/>
        <v>78400</v>
      </c>
      <c r="E30" s="382">
        <f t="shared" si="1"/>
        <v>168000</v>
      </c>
      <c r="F30" s="7"/>
      <c r="G30" s="37">
        <v>13403</v>
      </c>
      <c r="H30" s="38" t="s">
        <v>141</v>
      </c>
      <c r="I30" s="311"/>
      <c r="J30" s="311"/>
      <c r="K30" s="39">
        <v>0</v>
      </c>
      <c r="L30" s="40"/>
      <c r="M30" s="37">
        <v>13403</v>
      </c>
      <c r="N30" s="38" t="s">
        <v>141</v>
      </c>
      <c r="O30" s="311">
        <v>0</v>
      </c>
      <c r="P30" s="311"/>
      <c r="Q30" s="39">
        <v>0</v>
      </c>
      <c r="R30" s="35"/>
      <c r="S30" s="37">
        <v>13403</v>
      </c>
      <c r="T30" s="38" t="s">
        <v>141</v>
      </c>
      <c r="U30" s="311">
        <v>0</v>
      </c>
      <c r="V30" s="311"/>
      <c r="W30" s="39">
        <v>0</v>
      </c>
      <c r="X30" s="35"/>
      <c r="Y30" s="37">
        <v>13403</v>
      </c>
      <c r="Z30" s="38" t="s">
        <v>141</v>
      </c>
      <c r="AA30" s="319">
        <v>0</v>
      </c>
      <c r="AB30" s="319"/>
      <c r="AC30" s="39">
        <v>0</v>
      </c>
      <c r="AD30" s="7"/>
      <c r="AE30" s="37">
        <v>13403</v>
      </c>
      <c r="AF30" s="38" t="s">
        <v>141</v>
      </c>
      <c r="AG30" s="327">
        <v>117600</v>
      </c>
      <c r="AH30" s="327">
        <v>78400</v>
      </c>
      <c r="AI30" s="42">
        <v>168000</v>
      </c>
    </row>
    <row r="31" spans="1:35" s="10" customFormat="1" ht="22.5">
      <c r="A31" s="37">
        <v>14106</v>
      </c>
      <c r="B31" s="38" t="s">
        <v>142</v>
      </c>
      <c r="C31" s="306">
        <f t="shared" si="0"/>
        <v>20586336.075066939</v>
      </c>
      <c r="D31" s="306">
        <f t="shared" si="2"/>
        <v>13473652.51</v>
      </c>
      <c r="E31" s="382">
        <f t="shared" si="1"/>
        <v>22926906.896410115</v>
      </c>
      <c r="F31" s="7"/>
      <c r="G31" s="37">
        <v>14106</v>
      </c>
      <c r="H31" s="38" t="s">
        <v>142</v>
      </c>
      <c r="I31" s="307">
        <v>14919520.795583477</v>
      </c>
      <c r="J31" s="307">
        <v>9768885.2300000004</v>
      </c>
      <c r="K31" s="39">
        <v>16411472.875141826</v>
      </c>
      <c r="L31" s="40"/>
      <c r="M31" s="37">
        <v>14106</v>
      </c>
      <c r="N31" s="38" t="s">
        <v>142</v>
      </c>
      <c r="O31" s="311">
        <v>2515373.7653956567</v>
      </c>
      <c r="P31" s="311">
        <v>1453793.25</v>
      </c>
      <c r="Q31" s="39">
        <v>2766911.1419352223</v>
      </c>
      <c r="R31" s="35"/>
      <c r="S31" s="37">
        <v>14106</v>
      </c>
      <c r="T31" s="38" t="s">
        <v>142</v>
      </c>
      <c r="U31" s="319">
        <v>1890602.2540878006</v>
      </c>
      <c r="V31" s="319">
        <v>1196015.8600000001</v>
      </c>
      <c r="W31" s="39">
        <v>2004038.3893330686</v>
      </c>
      <c r="X31" s="35"/>
      <c r="Y31" s="37">
        <v>14106</v>
      </c>
      <c r="Z31" s="38" t="s">
        <v>142</v>
      </c>
      <c r="AA31" s="311">
        <v>0</v>
      </c>
      <c r="AB31" s="311"/>
      <c r="AC31" s="39">
        <v>0</v>
      </c>
      <c r="AD31" s="7"/>
      <c r="AE31" s="37">
        <v>14106</v>
      </c>
      <c r="AF31" s="38" t="s">
        <v>142</v>
      </c>
      <c r="AG31" s="327">
        <v>1260839.26</v>
      </c>
      <c r="AH31" s="327">
        <v>1054958.17</v>
      </c>
      <c r="AI31" s="42">
        <v>1744484.49</v>
      </c>
    </row>
    <row r="32" spans="1:35" s="10" customFormat="1" ht="22.5">
      <c r="A32" s="37">
        <v>14109</v>
      </c>
      <c r="B32" s="38" t="s">
        <v>143</v>
      </c>
      <c r="C32" s="306">
        <f t="shared" si="0"/>
        <v>3153830.7810449335</v>
      </c>
      <c r="D32" s="306">
        <f t="shared" si="2"/>
        <v>2166569.27</v>
      </c>
      <c r="E32" s="382">
        <f t="shared" si="1"/>
        <v>3461707.7650426412</v>
      </c>
      <c r="F32" s="7"/>
      <c r="G32" s="37">
        <v>14109</v>
      </c>
      <c r="H32" s="38" t="s">
        <v>143</v>
      </c>
      <c r="I32" s="307"/>
      <c r="J32" s="307"/>
      <c r="K32" s="39">
        <v>0</v>
      </c>
      <c r="L32" s="40"/>
      <c r="M32" s="37">
        <v>14109</v>
      </c>
      <c r="N32" s="38" t="s">
        <v>143</v>
      </c>
      <c r="O32" s="319">
        <v>2966178.4283752996</v>
      </c>
      <c r="P32" s="319">
        <v>1969429.08</v>
      </c>
      <c r="Q32" s="39">
        <v>3262796.2712128293</v>
      </c>
      <c r="R32" s="35"/>
      <c r="S32" s="37">
        <v>14109</v>
      </c>
      <c r="T32" s="38" t="s">
        <v>143</v>
      </c>
      <c r="U32" s="311">
        <v>0</v>
      </c>
      <c r="V32" s="311"/>
      <c r="W32" s="39">
        <v>0</v>
      </c>
      <c r="X32" s="35"/>
      <c r="Y32" s="37">
        <v>14109</v>
      </c>
      <c r="Z32" s="38" t="s">
        <v>143</v>
      </c>
      <c r="AA32" s="319">
        <v>187652.35266963392</v>
      </c>
      <c r="AB32" s="319">
        <v>197140.19</v>
      </c>
      <c r="AC32" s="39">
        <v>198911.49382981195</v>
      </c>
      <c r="AD32" s="7"/>
      <c r="AE32" s="37">
        <v>14109</v>
      </c>
      <c r="AF32" s="38" t="s">
        <v>143</v>
      </c>
      <c r="AG32" s="327"/>
      <c r="AH32" s="327"/>
      <c r="AI32" s="42"/>
    </row>
    <row r="33" spans="1:35" s="10" customFormat="1" ht="22.5">
      <c r="A33" s="37">
        <v>14303</v>
      </c>
      <c r="B33" s="38" t="s">
        <v>144</v>
      </c>
      <c r="C33" s="306">
        <f t="shared" si="0"/>
        <v>0</v>
      </c>
      <c r="D33" s="306">
        <f t="shared" si="2"/>
        <v>0</v>
      </c>
      <c r="E33" s="382">
        <f t="shared" si="1"/>
        <v>0</v>
      </c>
      <c r="F33" s="7"/>
      <c r="G33" s="37">
        <v>14303</v>
      </c>
      <c r="H33" s="38" t="s">
        <v>144</v>
      </c>
      <c r="I33" s="307"/>
      <c r="J33" s="307"/>
      <c r="K33" s="39">
        <v>0</v>
      </c>
      <c r="L33" s="40"/>
      <c r="M33" s="37">
        <v>14303</v>
      </c>
      <c r="N33" s="38" t="s">
        <v>144</v>
      </c>
      <c r="O33" s="319">
        <v>0</v>
      </c>
      <c r="P33" s="319"/>
      <c r="Q33" s="39">
        <v>0</v>
      </c>
      <c r="R33" s="35"/>
      <c r="S33" s="37">
        <v>14303</v>
      </c>
      <c r="T33" s="38" t="s">
        <v>144</v>
      </c>
      <c r="U33" s="319">
        <v>0</v>
      </c>
      <c r="V33" s="319"/>
      <c r="W33" s="39">
        <v>0</v>
      </c>
      <c r="X33" s="35"/>
      <c r="Y33" s="37">
        <v>14303</v>
      </c>
      <c r="Z33" s="38" t="s">
        <v>144</v>
      </c>
      <c r="AA33" s="319">
        <v>0</v>
      </c>
      <c r="AB33" s="319"/>
      <c r="AC33" s="39">
        <v>0</v>
      </c>
      <c r="AD33" s="7"/>
      <c r="AE33" s="37">
        <v>14303</v>
      </c>
      <c r="AF33" s="38" t="s">
        <v>144</v>
      </c>
      <c r="AG33" s="327"/>
      <c r="AH33" s="327"/>
      <c r="AI33" s="42"/>
    </row>
    <row r="34" spans="1:35" s="10" customFormat="1" ht="11.25">
      <c r="A34" s="37">
        <v>14402</v>
      </c>
      <c r="B34" s="38" t="s">
        <v>145</v>
      </c>
      <c r="C34" s="306">
        <f t="shared" si="0"/>
        <v>0</v>
      </c>
      <c r="D34" s="306">
        <f t="shared" si="2"/>
        <v>0</v>
      </c>
      <c r="E34" s="382">
        <f t="shared" si="1"/>
        <v>0</v>
      </c>
      <c r="F34" s="7"/>
      <c r="G34" s="37">
        <v>14402</v>
      </c>
      <c r="H34" s="38" t="s">
        <v>145</v>
      </c>
      <c r="I34" s="311"/>
      <c r="J34" s="311"/>
      <c r="K34" s="39">
        <v>0</v>
      </c>
      <c r="L34" s="40"/>
      <c r="M34" s="37">
        <v>14402</v>
      </c>
      <c r="N34" s="38" t="s">
        <v>145</v>
      </c>
      <c r="O34" s="311">
        <v>0</v>
      </c>
      <c r="P34" s="311"/>
      <c r="Q34" s="39">
        <v>0</v>
      </c>
      <c r="R34" s="35"/>
      <c r="S34" s="37">
        <v>14402</v>
      </c>
      <c r="T34" s="38" t="s">
        <v>145</v>
      </c>
      <c r="U34" s="311">
        <v>0</v>
      </c>
      <c r="V34" s="311"/>
      <c r="W34" s="39">
        <v>0</v>
      </c>
      <c r="X34" s="35"/>
      <c r="Y34" s="37">
        <v>14402</v>
      </c>
      <c r="Z34" s="38" t="s">
        <v>145</v>
      </c>
      <c r="AA34" s="319">
        <v>0</v>
      </c>
      <c r="AB34" s="319"/>
      <c r="AC34" s="39">
        <v>0</v>
      </c>
      <c r="AD34" s="7"/>
      <c r="AE34" s="37">
        <v>14402</v>
      </c>
      <c r="AF34" s="38" t="s">
        <v>145</v>
      </c>
      <c r="AG34" s="327"/>
      <c r="AH34" s="327"/>
      <c r="AI34" s="42"/>
    </row>
    <row r="35" spans="1:35" s="10" customFormat="1" ht="22.5">
      <c r="A35" s="37">
        <v>14403</v>
      </c>
      <c r="B35" s="38" t="s">
        <v>146</v>
      </c>
      <c r="C35" s="306">
        <f t="shared" si="0"/>
        <v>2655814.0646938649</v>
      </c>
      <c r="D35" s="306">
        <f t="shared" si="2"/>
        <v>1736915.88</v>
      </c>
      <c r="E35" s="382">
        <f t="shared" si="1"/>
        <v>2881940.8531115321</v>
      </c>
      <c r="F35" s="7"/>
      <c r="G35" s="37">
        <v>14403</v>
      </c>
      <c r="H35" s="38" t="s">
        <v>146</v>
      </c>
      <c r="I35" s="307">
        <v>1302755.3428103081</v>
      </c>
      <c r="J35" s="307">
        <v>703433.6</v>
      </c>
      <c r="K35" s="39">
        <v>1433030.8770913389</v>
      </c>
      <c r="L35" s="40"/>
      <c r="M35" s="37">
        <v>14403</v>
      </c>
      <c r="N35" s="38" t="s">
        <v>146</v>
      </c>
      <c r="O35" s="319">
        <v>743949.27059057471</v>
      </c>
      <c r="P35" s="319">
        <v>597226.44999999995</v>
      </c>
      <c r="Q35" s="39">
        <v>818344.19764963223</v>
      </c>
      <c r="R35" s="35"/>
      <c r="S35" s="37">
        <v>14403</v>
      </c>
      <c r="T35" s="38" t="s">
        <v>146</v>
      </c>
      <c r="U35" s="319">
        <v>301868.38529298216</v>
      </c>
      <c r="V35" s="319">
        <v>167984.83</v>
      </c>
      <c r="W35" s="39">
        <v>319980.48841056111</v>
      </c>
      <c r="X35" s="35"/>
      <c r="Y35" s="37">
        <v>14403</v>
      </c>
      <c r="Z35" s="38" t="s">
        <v>146</v>
      </c>
      <c r="AA35" s="319">
        <v>55737.065999999999</v>
      </c>
      <c r="AB35" s="319">
        <v>26044.87</v>
      </c>
      <c r="AC35" s="39">
        <v>59081.289960000002</v>
      </c>
      <c r="AD35" s="7"/>
      <c r="AE35" s="37">
        <v>14403</v>
      </c>
      <c r="AF35" s="38" t="s">
        <v>146</v>
      </c>
      <c r="AG35" s="327">
        <v>251504</v>
      </c>
      <c r="AH35" s="327">
        <v>242226.13</v>
      </c>
      <c r="AI35" s="42">
        <v>251504</v>
      </c>
    </row>
    <row r="36" spans="1:35" s="10" customFormat="1" ht="11.25">
      <c r="A36" s="37">
        <v>14406</v>
      </c>
      <c r="B36" s="38" t="s">
        <v>147</v>
      </c>
      <c r="C36" s="306">
        <f t="shared" si="0"/>
        <v>0</v>
      </c>
      <c r="D36" s="306">
        <f t="shared" si="2"/>
        <v>0</v>
      </c>
      <c r="E36" s="382">
        <f t="shared" si="1"/>
        <v>0</v>
      </c>
      <c r="F36" s="7"/>
      <c r="G36" s="37">
        <v>14406</v>
      </c>
      <c r="H36" s="38" t="s">
        <v>147</v>
      </c>
      <c r="I36" s="311"/>
      <c r="J36" s="311"/>
      <c r="K36" s="39">
        <v>0</v>
      </c>
      <c r="L36" s="40"/>
      <c r="M36" s="37">
        <v>14406</v>
      </c>
      <c r="N36" s="38" t="s">
        <v>147</v>
      </c>
      <c r="O36" s="311">
        <v>0</v>
      </c>
      <c r="P36" s="311"/>
      <c r="Q36" s="39">
        <v>0</v>
      </c>
      <c r="R36" s="35"/>
      <c r="S36" s="37">
        <v>14406</v>
      </c>
      <c r="T36" s="38" t="s">
        <v>147</v>
      </c>
      <c r="U36" s="311">
        <v>0</v>
      </c>
      <c r="V36" s="311"/>
      <c r="W36" s="39">
        <v>0</v>
      </c>
      <c r="X36" s="35"/>
      <c r="Y36" s="37">
        <v>14406</v>
      </c>
      <c r="Z36" s="38" t="s">
        <v>147</v>
      </c>
      <c r="AA36" s="311">
        <v>0</v>
      </c>
      <c r="AB36" s="311"/>
      <c r="AC36" s="39">
        <v>0</v>
      </c>
      <c r="AD36" s="7"/>
      <c r="AE36" s="37">
        <v>14406</v>
      </c>
      <c r="AF36" s="38" t="s">
        <v>147</v>
      </c>
      <c r="AG36" s="327"/>
      <c r="AH36" s="327"/>
      <c r="AI36" s="42"/>
    </row>
    <row r="37" spans="1:35" s="10" customFormat="1" ht="22.5">
      <c r="A37" s="37">
        <v>15101</v>
      </c>
      <c r="B37" s="38" t="s">
        <v>148</v>
      </c>
      <c r="C37" s="306">
        <f t="shared" si="0"/>
        <v>6591526.1667810846</v>
      </c>
      <c r="D37" s="306">
        <f t="shared" si="2"/>
        <v>4488301.26</v>
      </c>
      <c r="E37" s="382">
        <f t="shared" si="1"/>
        <v>7216373.6389318472</v>
      </c>
      <c r="F37" s="7"/>
      <c r="G37" s="37">
        <v>15101</v>
      </c>
      <c r="H37" s="38" t="s">
        <v>148</v>
      </c>
      <c r="I37" s="307">
        <v>4037549.9697542801</v>
      </c>
      <c r="J37" s="307">
        <v>3056683.01</v>
      </c>
      <c r="K37" s="39">
        <v>4441304.966729708</v>
      </c>
      <c r="L37" s="40"/>
      <c r="M37" s="37">
        <v>15101</v>
      </c>
      <c r="N37" s="38" t="s">
        <v>148</v>
      </c>
      <c r="O37" s="319">
        <v>1696347.58384316</v>
      </c>
      <c r="P37" s="319">
        <v>934497.62</v>
      </c>
      <c r="Q37" s="39">
        <v>1865982.342227476</v>
      </c>
      <c r="R37" s="35"/>
      <c r="S37" s="37">
        <v>15101</v>
      </c>
      <c r="T37" s="38" t="s">
        <v>148</v>
      </c>
      <c r="U37" s="319">
        <v>806315.98905213736</v>
      </c>
      <c r="V37" s="319">
        <v>444595.61</v>
      </c>
      <c r="W37" s="39">
        <v>854694.94839526562</v>
      </c>
      <c r="X37" s="35"/>
      <c r="Y37" s="37">
        <v>15101</v>
      </c>
      <c r="Z37" s="38" t="s">
        <v>148</v>
      </c>
      <c r="AA37" s="319">
        <v>51312.624131507597</v>
      </c>
      <c r="AB37" s="319">
        <v>52525.02</v>
      </c>
      <c r="AC37" s="39">
        <v>54391.381579398054</v>
      </c>
      <c r="AD37" s="7"/>
      <c r="AE37" s="37">
        <v>15101</v>
      </c>
      <c r="AF37" s="38" t="s">
        <v>148</v>
      </c>
      <c r="AG37" s="327"/>
      <c r="AH37" s="327"/>
      <c r="AI37" s="42"/>
    </row>
    <row r="38" spans="1:35" s="10" customFormat="1" ht="11.25">
      <c r="A38" s="37">
        <v>15201</v>
      </c>
      <c r="B38" s="38" t="s">
        <v>149</v>
      </c>
      <c r="C38" s="306">
        <f t="shared" si="0"/>
        <v>0</v>
      </c>
      <c r="D38" s="306">
        <f t="shared" si="2"/>
        <v>153345.34</v>
      </c>
      <c r="E38" s="382">
        <f t="shared" si="1"/>
        <v>0</v>
      </c>
      <c r="F38" s="7"/>
      <c r="G38" s="37">
        <v>15201</v>
      </c>
      <c r="H38" s="38" t="s">
        <v>149</v>
      </c>
      <c r="I38" s="311"/>
      <c r="J38" s="311"/>
      <c r="K38" s="39">
        <v>0</v>
      </c>
      <c r="L38" s="40"/>
      <c r="M38" s="37">
        <v>15201</v>
      </c>
      <c r="N38" s="38" t="s">
        <v>149</v>
      </c>
      <c r="O38" s="319">
        <v>0</v>
      </c>
      <c r="P38" s="319"/>
      <c r="Q38" s="39">
        <v>0</v>
      </c>
      <c r="R38" s="35"/>
      <c r="S38" s="37">
        <v>15201</v>
      </c>
      <c r="T38" s="38" t="s">
        <v>149</v>
      </c>
      <c r="U38" s="319">
        <v>0</v>
      </c>
      <c r="V38" s="319"/>
      <c r="W38" s="39">
        <v>0</v>
      </c>
      <c r="X38" s="35"/>
      <c r="Y38" s="37">
        <v>15201</v>
      </c>
      <c r="Z38" s="38" t="s">
        <v>149</v>
      </c>
      <c r="AA38" s="319">
        <v>0</v>
      </c>
      <c r="AB38" s="319"/>
      <c r="AC38" s="39">
        <v>0</v>
      </c>
      <c r="AD38" s="7"/>
      <c r="AE38" s="37">
        <v>15201</v>
      </c>
      <c r="AF38" s="38" t="s">
        <v>149</v>
      </c>
      <c r="AG38" s="327"/>
      <c r="AH38" s="327">
        <v>153345.34</v>
      </c>
      <c r="AI38" s="42"/>
    </row>
    <row r="39" spans="1:35" s="10" customFormat="1" ht="11.25">
      <c r="A39" s="37">
        <v>15202</v>
      </c>
      <c r="B39" s="38" t="s">
        <v>150</v>
      </c>
      <c r="C39" s="306">
        <f t="shared" si="0"/>
        <v>4349.7511029997568</v>
      </c>
      <c r="D39" s="306">
        <f t="shared" si="2"/>
        <v>0</v>
      </c>
      <c r="E39" s="382">
        <f t="shared" si="1"/>
        <v>4784.7262132997321</v>
      </c>
      <c r="F39" s="7"/>
      <c r="G39" s="37">
        <v>15202</v>
      </c>
      <c r="H39" s="38" t="s">
        <v>150</v>
      </c>
      <c r="I39" s="311">
        <v>4349.7511029997568</v>
      </c>
      <c r="J39" s="311"/>
      <c r="K39" s="39">
        <v>4784.7262132997321</v>
      </c>
      <c r="L39" s="40"/>
      <c r="M39" s="37">
        <v>15202</v>
      </c>
      <c r="N39" s="38" t="s">
        <v>150</v>
      </c>
      <c r="O39" s="319">
        <v>0</v>
      </c>
      <c r="P39" s="319"/>
      <c r="Q39" s="39">
        <v>0</v>
      </c>
      <c r="R39" s="35"/>
      <c r="S39" s="37">
        <v>15202</v>
      </c>
      <c r="T39" s="38" t="s">
        <v>150</v>
      </c>
      <c r="U39" s="321">
        <v>0</v>
      </c>
      <c r="V39" s="321"/>
      <c r="W39" s="39">
        <v>0</v>
      </c>
      <c r="X39" s="35"/>
      <c r="Y39" s="37">
        <v>15202</v>
      </c>
      <c r="Z39" s="38" t="s">
        <v>150</v>
      </c>
      <c r="AA39" s="321">
        <v>0</v>
      </c>
      <c r="AB39" s="321"/>
      <c r="AC39" s="39">
        <v>0</v>
      </c>
      <c r="AD39" s="7"/>
      <c r="AE39" s="37">
        <v>15202</v>
      </c>
      <c r="AF39" s="38" t="s">
        <v>150</v>
      </c>
      <c r="AG39" s="327"/>
      <c r="AH39" s="327"/>
      <c r="AI39" s="42"/>
    </row>
    <row r="40" spans="1:35" s="10" customFormat="1" ht="22.5">
      <c r="A40" s="37">
        <v>15404</v>
      </c>
      <c r="B40" s="38" t="s">
        <v>390</v>
      </c>
      <c r="C40" s="306">
        <f t="shared" si="0"/>
        <v>972825.66999999993</v>
      </c>
      <c r="D40" s="306">
        <f t="shared" si="2"/>
        <v>575740.15</v>
      </c>
      <c r="E40" s="382">
        <f t="shared" si="1"/>
        <v>848947.14</v>
      </c>
      <c r="F40" s="7"/>
      <c r="G40" s="37">
        <v>15404</v>
      </c>
      <c r="H40" s="38" t="s">
        <v>390</v>
      </c>
      <c r="I40" s="311"/>
      <c r="J40" s="311"/>
      <c r="K40" s="39">
        <v>0</v>
      </c>
      <c r="L40" s="40"/>
      <c r="M40" s="37">
        <v>15404</v>
      </c>
      <c r="N40" s="38" t="s">
        <v>390</v>
      </c>
      <c r="O40" s="319"/>
      <c r="P40" s="319"/>
      <c r="Q40" s="39">
        <v>0</v>
      </c>
      <c r="R40" s="35"/>
      <c r="S40" s="37">
        <v>15404</v>
      </c>
      <c r="T40" s="38" t="s">
        <v>390</v>
      </c>
      <c r="U40" s="319"/>
      <c r="V40" s="319"/>
      <c r="W40" s="39">
        <v>0</v>
      </c>
      <c r="X40" s="35"/>
      <c r="Y40" s="37">
        <v>15404</v>
      </c>
      <c r="Z40" s="38" t="s">
        <v>390</v>
      </c>
      <c r="AA40" s="319"/>
      <c r="AB40" s="319"/>
      <c r="AC40" s="39">
        <v>0</v>
      </c>
      <c r="AD40" s="7"/>
      <c r="AE40" s="37">
        <v>15404</v>
      </c>
      <c r="AF40" s="38" t="s">
        <v>390</v>
      </c>
      <c r="AG40" s="327">
        <v>972825.66999999993</v>
      </c>
      <c r="AH40" s="327">
        <v>575740.15</v>
      </c>
      <c r="AI40" s="42">
        <v>848947.14</v>
      </c>
    </row>
    <row r="41" spans="1:35" s="10" customFormat="1" ht="11.25">
      <c r="A41" s="37">
        <v>15409</v>
      </c>
      <c r="B41" s="38" t="s">
        <v>151</v>
      </c>
      <c r="C41" s="306">
        <f t="shared" si="0"/>
        <v>2655563.6430924898</v>
      </c>
      <c r="D41" s="306">
        <f t="shared" si="2"/>
        <v>2752778.87</v>
      </c>
      <c r="E41" s="382">
        <f t="shared" si="1"/>
        <v>3356120.0074017388</v>
      </c>
      <c r="F41" s="7"/>
      <c r="G41" s="37">
        <v>15409</v>
      </c>
      <c r="H41" s="38" t="s">
        <v>151</v>
      </c>
      <c r="I41" s="311">
        <v>2655563.6430924898</v>
      </c>
      <c r="J41" s="311">
        <v>2479153.77</v>
      </c>
      <c r="K41" s="39">
        <v>2921120.0074017388</v>
      </c>
      <c r="L41" s="40"/>
      <c r="M41" s="37">
        <v>15409</v>
      </c>
      <c r="N41" s="38" t="s">
        <v>151</v>
      </c>
      <c r="O41" s="311">
        <v>0</v>
      </c>
      <c r="P41" s="311"/>
      <c r="Q41" s="39">
        <v>0</v>
      </c>
      <c r="R41" s="35"/>
      <c r="S41" s="37">
        <v>15409</v>
      </c>
      <c r="T41" s="38" t="s">
        <v>151</v>
      </c>
      <c r="U41" s="311">
        <v>0</v>
      </c>
      <c r="V41" s="311"/>
      <c r="W41" s="39">
        <v>0</v>
      </c>
      <c r="X41" s="35"/>
      <c r="Y41" s="37">
        <v>15409</v>
      </c>
      <c r="Z41" s="38" t="s">
        <v>151</v>
      </c>
      <c r="AA41" s="311">
        <v>0</v>
      </c>
      <c r="AB41" s="311"/>
      <c r="AC41" s="39">
        <v>0</v>
      </c>
      <c r="AD41" s="7"/>
      <c r="AE41" s="37">
        <v>15409</v>
      </c>
      <c r="AF41" s="38" t="s">
        <v>151</v>
      </c>
      <c r="AG41" s="327"/>
      <c r="AH41" s="327">
        <v>273625.09999999998</v>
      </c>
      <c r="AI41" s="42">
        <v>435000</v>
      </c>
    </row>
    <row r="42" spans="1:35" s="10" customFormat="1" ht="11.25">
      <c r="A42" s="37">
        <v>15419</v>
      </c>
      <c r="B42" s="38" t="s">
        <v>152</v>
      </c>
      <c r="C42" s="306">
        <f t="shared" si="0"/>
        <v>461148.13323704898</v>
      </c>
      <c r="D42" s="306">
        <f t="shared" si="2"/>
        <v>934101.62</v>
      </c>
      <c r="E42" s="382">
        <f t="shared" si="1"/>
        <v>507262.94656075386</v>
      </c>
      <c r="F42" s="7"/>
      <c r="G42" s="37">
        <v>15419</v>
      </c>
      <c r="H42" s="38" t="s">
        <v>152</v>
      </c>
      <c r="I42" s="307">
        <v>461148.13323704898</v>
      </c>
      <c r="J42" s="307">
        <v>934101.62</v>
      </c>
      <c r="K42" s="39">
        <v>507262.94656075386</v>
      </c>
      <c r="L42" s="40"/>
      <c r="M42" s="37">
        <v>15419</v>
      </c>
      <c r="N42" s="38" t="s">
        <v>152</v>
      </c>
      <c r="O42" s="319">
        <v>0</v>
      </c>
      <c r="P42" s="319"/>
      <c r="Q42" s="39">
        <v>0</v>
      </c>
      <c r="R42" s="35"/>
      <c r="S42" s="37">
        <v>15419</v>
      </c>
      <c r="T42" s="38" t="s">
        <v>152</v>
      </c>
      <c r="U42" s="319">
        <v>0</v>
      </c>
      <c r="V42" s="319"/>
      <c r="W42" s="39">
        <v>0</v>
      </c>
      <c r="X42" s="35"/>
      <c r="Y42" s="37">
        <v>15419</v>
      </c>
      <c r="Z42" s="38" t="s">
        <v>152</v>
      </c>
      <c r="AA42" s="319">
        <v>0</v>
      </c>
      <c r="AB42" s="319"/>
      <c r="AC42" s="39">
        <v>0</v>
      </c>
      <c r="AD42" s="7"/>
      <c r="AE42" s="37">
        <v>15419</v>
      </c>
      <c r="AF42" s="38" t="s">
        <v>152</v>
      </c>
      <c r="AG42" s="327"/>
      <c r="AH42" s="327"/>
      <c r="AI42" s="42"/>
    </row>
    <row r="43" spans="1:35" s="10" customFormat="1" ht="11.25">
      <c r="A43" s="37">
        <v>15901</v>
      </c>
      <c r="B43" s="38" t="s">
        <v>153</v>
      </c>
      <c r="C43" s="306">
        <f t="shared" si="0"/>
        <v>19384527.408658702</v>
      </c>
      <c r="D43" s="306">
        <f t="shared" si="2"/>
        <v>9694855.5600000005</v>
      </c>
      <c r="E43" s="382">
        <f t="shared" si="1"/>
        <v>21113450.523875043</v>
      </c>
      <c r="F43" s="7"/>
      <c r="G43" s="37">
        <v>15901</v>
      </c>
      <c r="H43" s="38" t="s">
        <v>153</v>
      </c>
      <c r="I43" s="311">
        <v>8372458.6009092638</v>
      </c>
      <c r="J43" s="311">
        <v>4705535.8</v>
      </c>
      <c r="K43" s="39">
        <v>9209704.461000191</v>
      </c>
      <c r="L43" s="40"/>
      <c r="M43" s="37">
        <v>15901</v>
      </c>
      <c r="N43" s="38" t="s">
        <v>153</v>
      </c>
      <c r="O43" s="319">
        <v>5773828.1665111482</v>
      </c>
      <c r="P43" s="319">
        <v>3059881.52</v>
      </c>
      <c r="Q43" s="39">
        <v>6351210.9831622634</v>
      </c>
      <c r="R43" s="35"/>
      <c r="S43" s="37">
        <v>15901</v>
      </c>
      <c r="T43" s="38" t="s">
        <v>153</v>
      </c>
      <c r="U43" s="319">
        <v>5077965.9248208515</v>
      </c>
      <c r="V43" s="319">
        <v>1741419.58</v>
      </c>
      <c r="W43" s="39">
        <v>5382643.8803101024</v>
      </c>
      <c r="X43" s="35"/>
      <c r="Y43" s="37">
        <v>15901</v>
      </c>
      <c r="Z43" s="38" t="s">
        <v>153</v>
      </c>
      <c r="AA43" s="319">
        <v>160274.71641743794</v>
      </c>
      <c r="AB43" s="319">
        <v>188018.66</v>
      </c>
      <c r="AC43" s="39">
        <v>169891.19940248423</v>
      </c>
      <c r="AD43" s="7"/>
      <c r="AE43" s="37">
        <v>15901</v>
      </c>
      <c r="AF43" s="38" t="s">
        <v>153</v>
      </c>
      <c r="AG43" s="327"/>
      <c r="AH43" s="327"/>
      <c r="AI43" s="42"/>
    </row>
    <row r="44" spans="1:35" s="10" customFormat="1" ht="11.25">
      <c r="A44" s="37">
        <v>17102</v>
      </c>
      <c r="B44" s="38" t="s">
        <v>154</v>
      </c>
      <c r="C44" s="306">
        <f t="shared" si="0"/>
        <v>0</v>
      </c>
      <c r="D44" s="306">
        <f t="shared" si="2"/>
        <v>0</v>
      </c>
      <c r="E44" s="382">
        <f t="shared" si="1"/>
        <v>0</v>
      </c>
      <c r="F44" s="7"/>
      <c r="G44" s="37">
        <v>17102</v>
      </c>
      <c r="H44" s="38" t="s">
        <v>154</v>
      </c>
      <c r="I44" s="311"/>
      <c r="J44" s="311"/>
      <c r="K44" s="39">
        <v>0</v>
      </c>
      <c r="L44" s="40"/>
      <c r="M44" s="37">
        <v>17102</v>
      </c>
      <c r="N44" s="38" t="s">
        <v>154</v>
      </c>
      <c r="O44" s="319">
        <v>0</v>
      </c>
      <c r="P44" s="319"/>
      <c r="Q44" s="39">
        <v>0</v>
      </c>
      <c r="R44" s="35"/>
      <c r="S44" s="37">
        <v>17102</v>
      </c>
      <c r="T44" s="38" t="s">
        <v>154</v>
      </c>
      <c r="U44" s="319">
        <v>0</v>
      </c>
      <c r="V44" s="319"/>
      <c r="W44" s="39">
        <v>0</v>
      </c>
      <c r="X44" s="35"/>
      <c r="Y44" s="37">
        <v>17102</v>
      </c>
      <c r="Z44" s="38" t="s">
        <v>154</v>
      </c>
      <c r="AA44" s="319">
        <v>0</v>
      </c>
      <c r="AB44" s="319"/>
      <c r="AC44" s="39">
        <v>0</v>
      </c>
      <c r="AD44" s="7"/>
      <c r="AE44" s="37">
        <v>17102</v>
      </c>
      <c r="AF44" s="38" t="s">
        <v>154</v>
      </c>
      <c r="AG44" s="327"/>
      <c r="AH44" s="327"/>
      <c r="AI44" s="42"/>
    </row>
    <row r="45" spans="1:35" s="10" customFormat="1" ht="11.25">
      <c r="A45" s="16">
        <v>17104</v>
      </c>
      <c r="B45" s="17" t="s">
        <v>155</v>
      </c>
      <c r="C45" s="306">
        <f t="shared" si="0"/>
        <v>441985.20521232736</v>
      </c>
      <c r="D45" s="306">
        <f t="shared" si="2"/>
        <v>270215</v>
      </c>
      <c r="E45" s="382">
        <f t="shared" si="1"/>
        <v>486183.7257335601</v>
      </c>
      <c r="F45" s="7"/>
      <c r="G45" s="16">
        <v>17104</v>
      </c>
      <c r="H45" s="17" t="s">
        <v>155</v>
      </c>
      <c r="I45" s="311">
        <v>441985.20521232736</v>
      </c>
      <c r="J45" s="311">
        <v>245575</v>
      </c>
      <c r="K45" s="39">
        <v>486183.7257335601</v>
      </c>
      <c r="L45" s="40"/>
      <c r="M45" s="16">
        <v>17104</v>
      </c>
      <c r="N45" s="17" t="s">
        <v>155</v>
      </c>
      <c r="O45" s="319">
        <v>0</v>
      </c>
      <c r="P45" s="319"/>
      <c r="Q45" s="39">
        <v>0</v>
      </c>
      <c r="R45" s="35"/>
      <c r="S45" s="16">
        <v>17104</v>
      </c>
      <c r="T45" s="17" t="s">
        <v>155</v>
      </c>
      <c r="U45" s="319">
        <v>0</v>
      </c>
      <c r="V45" s="319">
        <v>20240</v>
      </c>
      <c r="W45" s="39">
        <v>0</v>
      </c>
      <c r="X45" s="35"/>
      <c r="Y45" s="16">
        <v>17104</v>
      </c>
      <c r="Z45" s="17" t="s">
        <v>155</v>
      </c>
      <c r="AA45" s="319">
        <v>0</v>
      </c>
      <c r="AB45" s="319">
        <v>4400</v>
      </c>
      <c r="AC45" s="39">
        <v>0</v>
      </c>
      <c r="AD45" s="7"/>
      <c r="AE45" s="16">
        <v>17104</v>
      </c>
      <c r="AF45" s="17" t="s">
        <v>155</v>
      </c>
      <c r="AG45" s="327"/>
      <c r="AH45" s="327"/>
      <c r="AI45" s="42"/>
    </row>
    <row r="46" spans="1:35" s="6" customFormat="1" ht="11.25">
      <c r="A46" s="37"/>
      <c r="B46" s="38"/>
      <c r="C46" s="306"/>
      <c r="D46" s="306"/>
      <c r="E46" s="39"/>
      <c r="F46" s="10"/>
      <c r="G46" s="37"/>
      <c r="H46" s="38"/>
      <c r="I46" s="307"/>
      <c r="J46" s="307"/>
      <c r="K46" s="39"/>
      <c r="L46" s="40"/>
      <c r="M46" s="37"/>
      <c r="N46" s="38"/>
      <c r="O46" s="320"/>
      <c r="P46" s="320"/>
      <c r="Q46" s="39"/>
      <c r="R46" s="35"/>
      <c r="S46" s="37"/>
      <c r="T46" s="38"/>
      <c r="U46" s="319"/>
      <c r="V46" s="319"/>
      <c r="W46" s="39"/>
      <c r="X46" s="35"/>
      <c r="Y46" s="37"/>
      <c r="Z46" s="38"/>
      <c r="AA46" s="319"/>
      <c r="AB46" s="319"/>
      <c r="AC46" s="39"/>
      <c r="AD46" s="7"/>
      <c r="AE46" s="37"/>
      <c r="AF46" s="38"/>
      <c r="AG46" s="17"/>
      <c r="AH46" s="17"/>
      <c r="AI46" s="43"/>
    </row>
    <row r="47" spans="1:35" s="6" customFormat="1" ht="11.25">
      <c r="A47" s="31">
        <v>2000</v>
      </c>
      <c r="B47" s="2" t="s">
        <v>10</v>
      </c>
      <c r="C47" s="308">
        <f>SUM(C48:C83)</f>
        <v>31243753.536461078</v>
      </c>
      <c r="D47" s="308">
        <f>SUM(D48:D83)</f>
        <v>11166692.68</v>
      </c>
      <c r="E47" s="44">
        <f>SUM(E48:E83)</f>
        <v>35132325.127452672</v>
      </c>
      <c r="F47" s="7"/>
      <c r="G47" s="31">
        <v>2000</v>
      </c>
      <c r="H47" s="2" t="s">
        <v>10</v>
      </c>
      <c r="I47" s="309">
        <f>SUM(I48:I83)</f>
        <v>14738474.665180571</v>
      </c>
      <c r="J47" s="309">
        <f>SUM(J48:J83)</f>
        <v>6343253.2800000003</v>
      </c>
      <c r="K47" s="44">
        <f>SUM(K48:K83)</f>
        <v>17515322.131698627</v>
      </c>
      <c r="L47" s="60"/>
      <c r="M47" s="31">
        <v>2000</v>
      </c>
      <c r="N47" s="2" t="s">
        <v>10</v>
      </c>
      <c r="O47" s="318">
        <f>SUM(O48:O83)</f>
        <v>5927734.9551640553</v>
      </c>
      <c r="P47" s="318">
        <f>SUM(P48:P83)</f>
        <v>2120794.7599999998</v>
      </c>
      <c r="Q47" s="44">
        <f>SUM(Q48:Q83)</f>
        <v>7020508.4506804608</v>
      </c>
      <c r="R47" s="35"/>
      <c r="S47" s="31">
        <v>2000</v>
      </c>
      <c r="T47" s="2" t="s">
        <v>10</v>
      </c>
      <c r="U47" s="318">
        <f>SUM(U48:U83)</f>
        <v>6678311.7945292713</v>
      </c>
      <c r="V47" s="318">
        <f>SUM(V48:V83)</f>
        <v>1056921.99</v>
      </c>
      <c r="W47" s="44">
        <f>SUM(W48:W83)</f>
        <v>7079010.5022010272</v>
      </c>
      <c r="X47" s="35"/>
      <c r="Y47" s="31">
        <v>2000</v>
      </c>
      <c r="Z47" s="2" t="s">
        <v>10</v>
      </c>
      <c r="AA47" s="318">
        <f>SUM(AA48:AA83)</f>
        <v>315918.71969109075</v>
      </c>
      <c r="AB47" s="318">
        <f>SUM(AB48:AB83)</f>
        <v>60481</v>
      </c>
      <c r="AC47" s="44">
        <f>SUM(AC48:AC83)</f>
        <v>334873.84287255624</v>
      </c>
      <c r="AD47" s="7"/>
      <c r="AE47" s="31">
        <v>2000</v>
      </c>
      <c r="AF47" s="2" t="s">
        <v>10</v>
      </c>
      <c r="AG47" s="328">
        <f>SUM(AG48:AG81)+AG82</f>
        <v>3583313.4018960861</v>
      </c>
      <c r="AH47" s="328">
        <f>SUM(AH48:AH83)</f>
        <v>1585241.6500000004</v>
      </c>
      <c r="AI47" s="45">
        <f>SUM(AI48:AI81)+AI82</f>
        <v>3182610.2</v>
      </c>
    </row>
    <row r="48" spans="1:35" s="10" customFormat="1" ht="22.5">
      <c r="A48" s="37">
        <v>21101</v>
      </c>
      <c r="B48" s="38" t="s">
        <v>11</v>
      </c>
      <c r="C48" s="310">
        <f t="shared" ref="C48:C82" si="3">I48+O48+U48+AA48+AG48</f>
        <v>1133624.7829236174</v>
      </c>
      <c r="D48" s="310">
        <f>J48+P48+V48+AB48+AH48</f>
        <v>100499.1</v>
      </c>
      <c r="E48" s="383">
        <f t="shared" ref="E48:E82" si="4">K48+Q48+W48+AC48+AI48</f>
        <v>1171208.4934598706</v>
      </c>
      <c r="F48" s="7"/>
      <c r="G48" s="37">
        <v>21101</v>
      </c>
      <c r="H48" s="38" t="s">
        <v>11</v>
      </c>
      <c r="I48" s="311">
        <v>624005.75464264094</v>
      </c>
      <c r="J48" s="311">
        <v>100499.1</v>
      </c>
      <c r="K48" s="41">
        <v>686406.33010690508</v>
      </c>
      <c r="L48" s="46"/>
      <c r="M48" s="37">
        <v>21101</v>
      </c>
      <c r="N48" s="38" t="s">
        <v>11</v>
      </c>
      <c r="O48" s="311">
        <v>251792.16189300001</v>
      </c>
      <c r="P48" s="311"/>
      <c r="Q48" s="41">
        <v>276971.37808230001</v>
      </c>
      <c r="R48" s="35"/>
      <c r="S48" s="37">
        <v>21101</v>
      </c>
      <c r="T48" s="38" t="s">
        <v>11</v>
      </c>
      <c r="U48" s="311">
        <v>75063.080622481953</v>
      </c>
      <c r="V48" s="311"/>
      <c r="W48" s="41">
        <v>79566.865459830864</v>
      </c>
      <c r="X48" s="35"/>
      <c r="Y48" s="37">
        <v>21101</v>
      </c>
      <c r="Z48" s="38" t="s">
        <v>11</v>
      </c>
      <c r="AA48" s="311">
        <v>1407.122463051624</v>
      </c>
      <c r="AB48" s="311"/>
      <c r="AC48" s="41">
        <v>1491.5498108347215</v>
      </c>
      <c r="AD48" s="7"/>
      <c r="AE48" s="37">
        <v>21101</v>
      </c>
      <c r="AF48" s="38" t="s">
        <v>11</v>
      </c>
      <c r="AG48" s="327">
        <v>181356.66330244284</v>
      </c>
      <c r="AH48" s="327"/>
      <c r="AI48" s="42">
        <v>126772.37</v>
      </c>
    </row>
    <row r="49" spans="1:35" s="10" customFormat="1" ht="22.5">
      <c r="A49" s="37">
        <v>21201</v>
      </c>
      <c r="B49" s="38" t="s">
        <v>12</v>
      </c>
      <c r="C49" s="310">
        <f t="shared" si="3"/>
        <v>194417.23748493221</v>
      </c>
      <c r="D49" s="310">
        <f t="shared" ref="D49:D82" si="5">J49+P49+V49+AB49+AH49</f>
        <v>101510.39</v>
      </c>
      <c r="E49" s="383">
        <f t="shared" si="4"/>
        <v>212418.27774044522</v>
      </c>
      <c r="F49" s="7"/>
      <c r="G49" s="37">
        <v>21201</v>
      </c>
      <c r="H49" s="38" t="s">
        <v>12</v>
      </c>
      <c r="I49" s="311">
        <v>102175.21491334954</v>
      </c>
      <c r="J49" s="311">
        <v>906</v>
      </c>
      <c r="K49" s="41">
        <v>112392.73640468449</v>
      </c>
      <c r="L49" s="46"/>
      <c r="M49" s="37">
        <v>21201</v>
      </c>
      <c r="N49" s="38" t="s">
        <v>12</v>
      </c>
      <c r="O49" s="311">
        <v>56224.935247077563</v>
      </c>
      <c r="P49" s="311">
        <v>25746.959999999999</v>
      </c>
      <c r="Q49" s="41">
        <v>61847.428771785322</v>
      </c>
      <c r="R49" s="35"/>
      <c r="S49" s="37">
        <v>21201</v>
      </c>
      <c r="T49" s="38" t="s">
        <v>12</v>
      </c>
      <c r="U49" s="311">
        <v>36017.087324505112</v>
      </c>
      <c r="V49" s="311">
        <v>24252.53</v>
      </c>
      <c r="W49" s="41">
        <v>38178.112563975417</v>
      </c>
      <c r="X49" s="35"/>
      <c r="Y49" s="37">
        <v>21201</v>
      </c>
      <c r="Z49" s="38" t="s">
        <v>12</v>
      </c>
      <c r="AA49" s="319">
        <v>0</v>
      </c>
      <c r="AB49" s="319"/>
      <c r="AC49" s="41">
        <v>0</v>
      </c>
      <c r="AD49" s="7"/>
      <c r="AE49" s="37">
        <v>21201</v>
      </c>
      <c r="AF49" s="38" t="s">
        <v>12</v>
      </c>
      <c r="AG49" s="327"/>
      <c r="AH49" s="327">
        <v>50604.9</v>
      </c>
      <c r="AI49" s="42"/>
    </row>
    <row r="50" spans="1:35" s="10" customFormat="1" ht="33.75">
      <c r="A50" s="37">
        <v>21401</v>
      </c>
      <c r="B50" s="38" t="s">
        <v>13</v>
      </c>
      <c r="C50" s="310">
        <f t="shared" si="3"/>
        <v>351407.40035151551</v>
      </c>
      <c r="D50" s="310">
        <f t="shared" si="5"/>
        <v>107823.70999999999</v>
      </c>
      <c r="E50" s="383">
        <f t="shared" si="4"/>
        <v>327518.10330666706</v>
      </c>
      <c r="F50" s="7"/>
      <c r="G50" s="37">
        <v>21401</v>
      </c>
      <c r="H50" s="38" t="s">
        <v>13</v>
      </c>
      <c r="I50" s="311">
        <v>74094.04166363104</v>
      </c>
      <c r="J50" s="311">
        <v>68675.63</v>
      </c>
      <c r="K50" s="41">
        <v>81503.445829994147</v>
      </c>
      <c r="L50" s="46"/>
      <c r="M50" s="37">
        <v>21401</v>
      </c>
      <c r="N50" s="38" t="s">
        <v>13</v>
      </c>
      <c r="O50" s="311">
        <v>105846.4158878845</v>
      </c>
      <c r="P50" s="311">
        <v>12615.4</v>
      </c>
      <c r="Q50" s="41">
        <v>116431.05747667296</v>
      </c>
      <c r="R50" s="35"/>
      <c r="S50" s="37">
        <v>21401</v>
      </c>
      <c r="T50" s="38" t="s">
        <v>13</v>
      </c>
      <c r="U50" s="319">
        <v>0</v>
      </c>
      <c r="V50" s="319">
        <v>3445.2</v>
      </c>
      <c r="W50" s="41">
        <v>0</v>
      </c>
      <c r="X50" s="35"/>
      <c r="Y50" s="37">
        <v>21401</v>
      </c>
      <c r="Z50" s="38" t="s">
        <v>13</v>
      </c>
      <c r="AA50" s="319">
        <v>0</v>
      </c>
      <c r="AB50" s="319"/>
      <c r="AC50" s="41">
        <v>0</v>
      </c>
      <c r="AD50" s="7"/>
      <c r="AE50" s="37">
        <v>21401</v>
      </c>
      <c r="AF50" s="38" t="s">
        <v>13</v>
      </c>
      <c r="AG50" s="327">
        <v>171466.94279999999</v>
      </c>
      <c r="AH50" s="327">
        <v>23087.48</v>
      </c>
      <c r="AI50" s="42">
        <v>129583.6</v>
      </c>
    </row>
    <row r="51" spans="1:35" s="10" customFormat="1" ht="11.25">
      <c r="A51" s="37">
        <v>21501</v>
      </c>
      <c r="B51" s="38" t="s">
        <v>14</v>
      </c>
      <c r="C51" s="310">
        <f t="shared" si="3"/>
        <v>0</v>
      </c>
      <c r="D51" s="310">
        <f t="shared" si="5"/>
        <v>0</v>
      </c>
      <c r="E51" s="383">
        <f t="shared" si="4"/>
        <v>0</v>
      </c>
      <c r="F51" s="7"/>
      <c r="G51" s="37">
        <v>21501</v>
      </c>
      <c r="H51" s="38" t="s">
        <v>14</v>
      </c>
      <c r="I51" s="307">
        <v>0</v>
      </c>
      <c r="J51" s="307"/>
      <c r="K51" s="41">
        <v>0</v>
      </c>
      <c r="L51" s="46"/>
      <c r="M51" s="37">
        <v>21501</v>
      </c>
      <c r="N51" s="38" t="s">
        <v>14</v>
      </c>
      <c r="O51" s="319">
        <v>0</v>
      </c>
      <c r="P51" s="319"/>
      <c r="Q51" s="41">
        <v>0</v>
      </c>
      <c r="R51" s="35"/>
      <c r="S51" s="37">
        <v>21501</v>
      </c>
      <c r="T51" s="38" t="s">
        <v>14</v>
      </c>
      <c r="U51" s="319">
        <v>0</v>
      </c>
      <c r="V51" s="319"/>
      <c r="W51" s="41">
        <v>0</v>
      </c>
      <c r="X51" s="35"/>
      <c r="Y51" s="37">
        <v>21501</v>
      </c>
      <c r="Z51" s="38" t="s">
        <v>14</v>
      </c>
      <c r="AA51" s="319">
        <v>0</v>
      </c>
      <c r="AB51" s="319"/>
      <c r="AC51" s="41">
        <v>0</v>
      </c>
      <c r="AD51" s="7"/>
      <c r="AE51" s="37">
        <v>21501</v>
      </c>
      <c r="AF51" s="38" t="s">
        <v>14</v>
      </c>
      <c r="AG51" s="327"/>
      <c r="AH51" s="327"/>
      <c r="AI51" s="42"/>
    </row>
    <row r="52" spans="1:35" s="10" customFormat="1" ht="11.25">
      <c r="A52" s="37">
        <v>21502</v>
      </c>
      <c r="B52" s="38" t="s">
        <v>391</v>
      </c>
      <c r="C52" s="310">
        <f t="shared" si="3"/>
        <v>32890.999994999998</v>
      </c>
      <c r="D52" s="310">
        <f t="shared" si="5"/>
        <v>7330.25</v>
      </c>
      <c r="E52" s="383">
        <f t="shared" si="4"/>
        <v>31841</v>
      </c>
      <c r="F52" s="7"/>
      <c r="G52" s="37">
        <v>21502</v>
      </c>
      <c r="H52" s="38" t="s">
        <v>391</v>
      </c>
      <c r="I52" s="311"/>
      <c r="J52" s="311"/>
      <c r="K52" s="41">
        <v>0</v>
      </c>
      <c r="L52" s="46"/>
      <c r="M52" s="37">
        <v>21502</v>
      </c>
      <c r="N52" s="38" t="s">
        <v>391</v>
      </c>
      <c r="O52" s="311"/>
      <c r="P52" s="311"/>
      <c r="Q52" s="41">
        <v>0</v>
      </c>
      <c r="R52" s="35"/>
      <c r="S52" s="37">
        <v>21502</v>
      </c>
      <c r="T52" s="38" t="s">
        <v>391</v>
      </c>
      <c r="U52" s="311"/>
      <c r="V52" s="311"/>
      <c r="W52" s="41">
        <v>0</v>
      </c>
      <c r="X52" s="35"/>
      <c r="Y52" s="37">
        <v>21502</v>
      </c>
      <c r="Z52" s="38" t="s">
        <v>391</v>
      </c>
      <c r="AA52" s="319"/>
      <c r="AB52" s="319"/>
      <c r="AC52" s="41">
        <v>0</v>
      </c>
      <c r="AD52" s="7"/>
      <c r="AE52" s="37">
        <v>21502</v>
      </c>
      <c r="AF52" s="38" t="s">
        <v>391</v>
      </c>
      <c r="AG52" s="327">
        <v>32890.999994999998</v>
      </c>
      <c r="AH52" s="327">
        <v>7330.25</v>
      </c>
      <c r="AI52" s="42">
        <v>31841</v>
      </c>
    </row>
    <row r="53" spans="1:35" s="10" customFormat="1" ht="11.25">
      <c r="A53" s="37">
        <v>21601</v>
      </c>
      <c r="B53" s="38" t="s">
        <v>15</v>
      </c>
      <c r="C53" s="310">
        <f t="shared" si="3"/>
        <v>202162.45134055649</v>
      </c>
      <c r="D53" s="310">
        <f t="shared" si="5"/>
        <v>57950.15</v>
      </c>
      <c r="E53" s="383">
        <f t="shared" si="4"/>
        <v>222503.75222387936</v>
      </c>
      <c r="F53" s="7"/>
      <c r="G53" s="37">
        <v>21601</v>
      </c>
      <c r="H53" s="38" t="s">
        <v>15</v>
      </c>
      <c r="I53" s="307">
        <v>55609.190757137636</v>
      </c>
      <c r="J53" s="307">
        <v>27730.23</v>
      </c>
      <c r="K53" s="41">
        <v>61170.109832851398</v>
      </c>
      <c r="L53" s="46"/>
      <c r="M53" s="37">
        <v>21601</v>
      </c>
      <c r="N53" s="38" t="s">
        <v>15</v>
      </c>
      <c r="O53" s="319">
        <v>43690.67067509862</v>
      </c>
      <c r="P53" s="319">
        <v>12726.04</v>
      </c>
      <c r="Q53" s="41">
        <v>48059.737742608479</v>
      </c>
      <c r="R53" s="35"/>
      <c r="S53" s="37">
        <v>21601</v>
      </c>
      <c r="T53" s="38" t="s">
        <v>15</v>
      </c>
      <c r="U53" s="319">
        <v>89935.249668320263</v>
      </c>
      <c r="V53" s="319">
        <v>14250.28</v>
      </c>
      <c r="W53" s="41">
        <v>95331.364648419476</v>
      </c>
      <c r="X53" s="35"/>
      <c r="Y53" s="37">
        <v>21601</v>
      </c>
      <c r="Z53" s="38" t="s">
        <v>15</v>
      </c>
      <c r="AA53" s="319">
        <v>0</v>
      </c>
      <c r="AB53" s="319"/>
      <c r="AC53" s="41">
        <v>0</v>
      </c>
      <c r="AD53" s="7"/>
      <c r="AE53" s="37">
        <v>21601</v>
      </c>
      <c r="AF53" s="38" t="s">
        <v>15</v>
      </c>
      <c r="AG53" s="327">
        <v>12927.340239999998</v>
      </c>
      <c r="AH53" s="327">
        <v>3243.6</v>
      </c>
      <c r="AI53" s="42">
        <v>17942.54</v>
      </c>
    </row>
    <row r="54" spans="1:35" s="10" customFormat="1" ht="11.25">
      <c r="A54" s="37">
        <v>21701</v>
      </c>
      <c r="B54" s="38" t="s">
        <v>16</v>
      </c>
      <c r="C54" s="311">
        <f t="shared" si="3"/>
        <v>0</v>
      </c>
      <c r="D54" s="310">
        <f t="shared" si="5"/>
        <v>0</v>
      </c>
      <c r="E54" s="383">
        <f t="shared" si="4"/>
        <v>0</v>
      </c>
      <c r="F54" s="7"/>
      <c r="G54" s="37">
        <v>21701</v>
      </c>
      <c r="H54" s="38" t="s">
        <v>16</v>
      </c>
      <c r="I54" s="311">
        <v>0</v>
      </c>
      <c r="J54" s="311"/>
      <c r="K54" s="41">
        <v>0</v>
      </c>
      <c r="L54" s="46"/>
      <c r="M54" s="37">
        <v>21701</v>
      </c>
      <c r="N54" s="38" t="s">
        <v>16</v>
      </c>
      <c r="O54" s="311">
        <v>0</v>
      </c>
      <c r="P54" s="311"/>
      <c r="Q54" s="41">
        <v>0</v>
      </c>
      <c r="R54" s="35"/>
      <c r="S54" s="37">
        <v>21701</v>
      </c>
      <c r="T54" s="38" t="s">
        <v>16</v>
      </c>
      <c r="U54" s="311">
        <v>0</v>
      </c>
      <c r="V54" s="311"/>
      <c r="W54" s="41">
        <v>0</v>
      </c>
      <c r="X54" s="35"/>
      <c r="Y54" s="37">
        <v>21701</v>
      </c>
      <c r="Z54" s="38" t="s">
        <v>16</v>
      </c>
      <c r="AA54" s="319">
        <v>0</v>
      </c>
      <c r="AB54" s="319"/>
      <c r="AC54" s="41">
        <v>0</v>
      </c>
      <c r="AD54" s="7"/>
      <c r="AE54" s="37">
        <v>21701</v>
      </c>
      <c r="AF54" s="38" t="s">
        <v>16</v>
      </c>
      <c r="AG54" s="327"/>
      <c r="AH54" s="327"/>
      <c r="AI54" s="42"/>
    </row>
    <row r="55" spans="1:35" s="10" customFormat="1" ht="22.5">
      <c r="A55" s="37">
        <v>21801</v>
      </c>
      <c r="B55" s="38" t="s">
        <v>17</v>
      </c>
      <c r="C55" s="311">
        <f t="shared" si="3"/>
        <v>200591.73921926779</v>
      </c>
      <c r="D55" s="310">
        <f t="shared" si="5"/>
        <v>159018</v>
      </c>
      <c r="E55" s="383">
        <f t="shared" si="4"/>
        <v>216779.99848086189</v>
      </c>
      <c r="F55" s="7"/>
      <c r="G55" s="37">
        <v>21801</v>
      </c>
      <c r="H55" s="38" t="s">
        <v>17</v>
      </c>
      <c r="I55" s="307">
        <v>88974.705211420209</v>
      </c>
      <c r="J55" s="307">
        <v>92166</v>
      </c>
      <c r="K55" s="41">
        <v>97872.175732562231</v>
      </c>
      <c r="L55" s="46"/>
      <c r="M55" s="37">
        <v>21801</v>
      </c>
      <c r="N55" s="38" t="s">
        <v>17</v>
      </c>
      <c r="O55" s="319">
        <v>45069.167499531148</v>
      </c>
      <c r="P55" s="319">
        <v>24516</v>
      </c>
      <c r="Q55" s="41">
        <v>49576.084249484265</v>
      </c>
      <c r="R55" s="35"/>
      <c r="S55" s="37">
        <v>21801</v>
      </c>
      <c r="T55" s="38" t="s">
        <v>17</v>
      </c>
      <c r="U55" s="319">
        <v>26797.866508316423</v>
      </c>
      <c r="V55" s="319">
        <v>17064</v>
      </c>
      <c r="W55" s="41">
        <v>28405.738498815408</v>
      </c>
      <c r="X55" s="35"/>
      <c r="Y55" s="37">
        <v>21801</v>
      </c>
      <c r="Z55" s="38" t="s">
        <v>17</v>
      </c>
      <c r="AA55" s="319">
        <v>0</v>
      </c>
      <c r="AB55" s="319"/>
      <c r="AC55" s="41">
        <v>0</v>
      </c>
      <c r="AD55" s="7"/>
      <c r="AE55" s="37">
        <v>21801</v>
      </c>
      <c r="AF55" s="38" t="s">
        <v>17</v>
      </c>
      <c r="AG55" s="327">
        <v>39750</v>
      </c>
      <c r="AH55" s="327">
        <v>25272</v>
      </c>
      <c r="AI55" s="42">
        <v>40926</v>
      </c>
    </row>
    <row r="56" spans="1:35" s="10" customFormat="1" ht="11.25">
      <c r="A56" s="37">
        <v>21802</v>
      </c>
      <c r="B56" s="38" t="s">
        <v>18</v>
      </c>
      <c r="C56" s="311">
        <f t="shared" si="3"/>
        <v>0</v>
      </c>
      <c r="D56" s="310">
        <f t="shared" si="5"/>
        <v>0</v>
      </c>
      <c r="E56" s="383">
        <f t="shared" si="4"/>
        <v>0</v>
      </c>
      <c r="F56" s="7"/>
      <c r="G56" s="37">
        <v>21802</v>
      </c>
      <c r="H56" s="38" t="s">
        <v>18</v>
      </c>
      <c r="I56" s="311">
        <v>0</v>
      </c>
      <c r="J56" s="311"/>
      <c r="K56" s="41">
        <v>0</v>
      </c>
      <c r="L56" s="46"/>
      <c r="M56" s="37">
        <v>21802</v>
      </c>
      <c r="N56" s="38" t="s">
        <v>18</v>
      </c>
      <c r="O56" s="311">
        <v>0</v>
      </c>
      <c r="P56" s="311"/>
      <c r="Q56" s="41">
        <v>0</v>
      </c>
      <c r="R56" s="35"/>
      <c r="S56" s="37">
        <v>21802</v>
      </c>
      <c r="T56" s="38" t="s">
        <v>18</v>
      </c>
      <c r="U56" s="311">
        <v>0</v>
      </c>
      <c r="V56" s="311"/>
      <c r="W56" s="41">
        <v>0</v>
      </c>
      <c r="X56" s="35"/>
      <c r="Y56" s="37">
        <v>21802</v>
      </c>
      <c r="Z56" s="38" t="s">
        <v>18</v>
      </c>
      <c r="AA56" s="319">
        <v>0</v>
      </c>
      <c r="AB56" s="319"/>
      <c r="AC56" s="41">
        <v>0</v>
      </c>
      <c r="AD56" s="7"/>
      <c r="AE56" s="37">
        <v>21802</v>
      </c>
      <c r="AF56" s="38" t="s">
        <v>18</v>
      </c>
      <c r="AG56" s="327"/>
      <c r="AH56" s="327"/>
      <c r="AI56" s="42"/>
    </row>
    <row r="57" spans="1:35" s="10" customFormat="1" ht="22.5">
      <c r="A57" s="37">
        <v>22101</v>
      </c>
      <c r="B57" s="38" t="s">
        <v>19</v>
      </c>
      <c r="C57" s="311">
        <f t="shared" si="3"/>
        <v>216992.95548414555</v>
      </c>
      <c r="D57" s="310">
        <f t="shared" si="5"/>
        <v>185903.15999999997</v>
      </c>
      <c r="E57" s="383">
        <f t="shared" si="4"/>
        <v>195529.26484625455</v>
      </c>
      <c r="F57" s="7"/>
      <c r="G57" s="37">
        <v>22101</v>
      </c>
      <c r="H57" s="38" t="s">
        <v>19</v>
      </c>
      <c r="I57" s="311">
        <v>110848.90951427528</v>
      </c>
      <c r="J57" s="311">
        <v>166311.49</v>
      </c>
      <c r="K57" s="41">
        <v>121933.80046570281</v>
      </c>
      <c r="L57" s="46"/>
      <c r="M57" s="37">
        <v>22101</v>
      </c>
      <c r="N57" s="38" t="s">
        <v>19</v>
      </c>
      <c r="O57" s="311">
        <v>25914.771312230409</v>
      </c>
      <c r="P57" s="311">
        <v>2430.71</v>
      </c>
      <c r="Q57" s="41">
        <v>28506.248443453449</v>
      </c>
      <c r="R57" s="35"/>
      <c r="S57" s="37">
        <v>22101</v>
      </c>
      <c r="T57" s="38" t="s">
        <v>19</v>
      </c>
      <c r="U57" s="311">
        <v>23398.354657639909</v>
      </c>
      <c r="V57" s="311">
        <v>4302.6099999999997</v>
      </c>
      <c r="W57" s="41">
        <v>24802.255937098304</v>
      </c>
      <c r="X57" s="35"/>
      <c r="Y57" s="37">
        <v>22101</v>
      </c>
      <c r="Z57" s="38" t="s">
        <v>19</v>
      </c>
      <c r="AA57" s="319">
        <v>0</v>
      </c>
      <c r="AB57" s="319"/>
      <c r="AC57" s="41">
        <v>0</v>
      </c>
      <c r="AD57" s="7"/>
      <c r="AE57" s="37">
        <v>22101</v>
      </c>
      <c r="AF57" s="38" t="s">
        <v>19</v>
      </c>
      <c r="AG57" s="327">
        <v>56830.92</v>
      </c>
      <c r="AH57" s="327">
        <v>12858.35</v>
      </c>
      <c r="AI57" s="42">
        <v>20286.96</v>
      </c>
    </row>
    <row r="58" spans="1:35" s="10" customFormat="1" ht="11.25">
      <c r="A58" s="37">
        <v>22106</v>
      </c>
      <c r="B58" s="38" t="s">
        <v>20</v>
      </c>
      <c r="C58" s="311">
        <f t="shared" si="3"/>
        <v>175693.57651650545</v>
      </c>
      <c r="D58" s="310">
        <f t="shared" si="5"/>
        <v>79633.5</v>
      </c>
      <c r="E58" s="383">
        <f t="shared" si="4"/>
        <v>193153.78352842678</v>
      </c>
      <c r="F58" s="7"/>
      <c r="G58" s="37">
        <v>22106</v>
      </c>
      <c r="H58" s="38" t="s">
        <v>20</v>
      </c>
      <c r="I58" s="307">
        <v>88974.705211420209</v>
      </c>
      <c r="J58" s="307">
        <v>56153.5</v>
      </c>
      <c r="K58" s="41">
        <v>97872.175732562231</v>
      </c>
      <c r="L58" s="46"/>
      <c r="M58" s="37">
        <v>22106</v>
      </c>
      <c r="N58" s="38" t="s">
        <v>20</v>
      </c>
      <c r="O58" s="319">
        <v>61970.105311855325</v>
      </c>
      <c r="P58" s="319">
        <v>19468</v>
      </c>
      <c r="Q58" s="41">
        <v>68167.115843040854</v>
      </c>
      <c r="R58" s="35"/>
      <c r="S58" s="37">
        <v>22106</v>
      </c>
      <c r="T58" s="38" t="s">
        <v>20</v>
      </c>
      <c r="U58" s="319">
        <v>17548.765993229932</v>
      </c>
      <c r="V58" s="319">
        <v>1420</v>
      </c>
      <c r="W58" s="41">
        <v>18601.691952823727</v>
      </c>
      <c r="X58" s="35"/>
      <c r="Y58" s="37">
        <v>22106</v>
      </c>
      <c r="Z58" s="38" t="s">
        <v>20</v>
      </c>
      <c r="AA58" s="319">
        <v>0</v>
      </c>
      <c r="AB58" s="319"/>
      <c r="AC58" s="41">
        <v>0</v>
      </c>
      <c r="AD58" s="7"/>
      <c r="AE58" s="37">
        <v>22106</v>
      </c>
      <c r="AF58" s="38" t="s">
        <v>20</v>
      </c>
      <c r="AG58" s="327">
        <v>7200</v>
      </c>
      <c r="AH58" s="327">
        <v>2592</v>
      </c>
      <c r="AI58" s="42">
        <v>8512.7999999999993</v>
      </c>
    </row>
    <row r="59" spans="1:35" s="10" customFormat="1" ht="22.5">
      <c r="A59" s="37">
        <v>22301</v>
      </c>
      <c r="B59" s="38" t="s">
        <v>21</v>
      </c>
      <c r="C59" s="311">
        <f t="shared" si="3"/>
        <v>369.47199999999998</v>
      </c>
      <c r="D59" s="310">
        <f t="shared" si="5"/>
        <v>2071.89</v>
      </c>
      <c r="E59" s="383">
        <f t="shared" si="4"/>
        <v>3406.4191999999998</v>
      </c>
      <c r="F59" s="7"/>
      <c r="G59" s="37">
        <v>22301</v>
      </c>
      <c r="H59" s="38" t="s">
        <v>21</v>
      </c>
      <c r="I59" s="311">
        <v>369.47199999999998</v>
      </c>
      <c r="J59" s="311">
        <v>2071.89</v>
      </c>
      <c r="K59" s="41">
        <v>3406.4191999999998</v>
      </c>
      <c r="L59" s="46"/>
      <c r="M59" s="37">
        <v>22301</v>
      </c>
      <c r="N59" s="38" t="s">
        <v>21</v>
      </c>
      <c r="O59" s="311">
        <v>0</v>
      </c>
      <c r="P59" s="311"/>
      <c r="Q59" s="41">
        <v>0</v>
      </c>
      <c r="R59" s="35"/>
      <c r="S59" s="37">
        <v>22301</v>
      </c>
      <c r="T59" s="38" t="s">
        <v>21</v>
      </c>
      <c r="U59" s="311">
        <v>0</v>
      </c>
      <c r="V59" s="311"/>
      <c r="W59" s="41">
        <v>0</v>
      </c>
      <c r="X59" s="35"/>
      <c r="Y59" s="37">
        <v>22301</v>
      </c>
      <c r="Z59" s="38" t="s">
        <v>21</v>
      </c>
      <c r="AA59" s="311">
        <v>0</v>
      </c>
      <c r="AB59" s="311"/>
      <c r="AC59" s="41">
        <v>0</v>
      </c>
      <c r="AD59" s="7"/>
      <c r="AE59" s="37">
        <v>22301</v>
      </c>
      <c r="AF59" s="38" t="s">
        <v>21</v>
      </c>
      <c r="AG59" s="327"/>
      <c r="AH59" s="327"/>
      <c r="AI59" s="42"/>
    </row>
    <row r="60" spans="1:35" s="10" customFormat="1" ht="22.5">
      <c r="A60" s="37">
        <v>23901</v>
      </c>
      <c r="B60" s="38" t="s">
        <v>22</v>
      </c>
      <c r="C60" s="311">
        <f t="shared" si="3"/>
        <v>7291594.7244469412</v>
      </c>
      <c r="D60" s="310">
        <f t="shared" si="5"/>
        <v>1646438.04</v>
      </c>
      <c r="E60" s="383">
        <f t="shared" si="4"/>
        <v>7761843.4253553571</v>
      </c>
      <c r="F60" s="7"/>
      <c r="G60" s="37">
        <v>23901</v>
      </c>
      <c r="H60" s="38" t="s">
        <v>22</v>
      </c>
      <c r="I60" s="311">
        <v>3959827.7060000002</v>
      </c>
      <c r="J60" s="311">
        <v>814959.45</v>
      </c>
      <c r="K60" s="41">
        <v>4355810.4766000006</v>
      </c>
      <c r="L60" s="46"/>
      <c r="M60" s="37">
        <v>23901</v>
      </c>
      <c r="N60" s="38" t="s">
        <v>22</v>
      </c>
      <c r="O60" s="311">
        <v>1295067.284</v>
      </c>
      <c r="P60" s="311">
        <v>262045.82</v>
      </c>
      <c r="Q60" s="41">
        <v>1424574.0123999999</v>
      </c>
      <c r="R60" s="35"/>
      <c r="S60" s="37">
        <v>23901</v>
      </c>
      <c r="T60" s="38" t="s">
        <v>22</v>
      </c>
      <c r="U60" s="311">
        <v>1235197.0246000001</v>
      </c>
      <c r="V60" s="311">
        <v>148326.26</v>
      </c>
      <c r="W60" s="41">
        <v>1309308.846076</v>
      </c>
      <c r="X60" s="35"/>
      <c r="Y60" s="37">
        <v>23901</v>
      </c>
      <c r="Z60" s="38" t="s">
        <v>22</v>
      </c>
      <c r="AA60" s="319">
        <v>2386.6512069399996</v>
      </c>
      <c r="AB60" s="319"/>
      <c r="AC60" s="41">
        <v>2529.8502793563994</v>
      </c>
      <c r="AD60" s="7"/>
      <c r="AE60" s="37">
        <v>23901</v>
      </c>
      <c r="AF60" s="38" t="s">
        <v>22</v>
      </c>
      <c r="AG60" s="327">
        <v>799116.05863999994</v>
      </c>
      <c r="AH60" s="327">
        <v>421106.51</v>
      </c>
      <c r="AI60" s="42">
        <v>669620.24</v>
      </c>
    </row>
    <row r="61" spans="1:35" s="10" customFormat="1" ht="11.25">
      <c r="A61" s="37">
        <v>24201</v>
      </c>
      <c r="B61" s="38" t="s">
        <v>23</v>
      </c>
      <c r="C61" s="311">
        <f t="shared" si="3"/>
        <v>144727.14518984672</v>
      </c>
      <c r="D61" s="310">
        <f t="shared" si="5"/>
        <v>34763.279999999999</v>
      </c>
      <c r="E61" s="383">
        <f t="shared" si="4"/>
        <v>158731.8926156786</v>
      </c>
      <c r="F61" s="7"/>
      <c r="G61" s="37">
        <v>24201</v>
      </c>
      <c r="H61" s="38" t="s">
        <v>23</v>
      </c>
      <c r="I61" s="307">
        <v>105657.4624385615</v>
      </c>
      <c r="J61" s="307">
        <v>15027.89</v>
      </c>
      <c r="K61" s="41">
        <v>116223.20868241765</v>
      </c>
      <c r="L61" s="46"/>
      <c r="M61" s="37">
        <v>24201</v>
      </c>
      <c r="N61" s="38" t="s">
        <v>23</v>
      </c>
      <c r="O61" s="319">
        <v>27370.505422465263</v>
      </c>
      <c r="P61" s="319">
        <v>17510.2</v>
      </c>
      <c r="Q61" s="41">
        <v>30107.555964711792</v>
      </c>
      <c r="R61" s="35"/>
      <c r="S61" s="37">
        <v>24201</v>
      </c>
      <c r="T61" s="38" t="s">
        <v>23</v>
      </c>
      <c r="U61" s="319">
        <v>11699.177328819955</v>
      </c>
      <c r="V61" s="319">
        <v>2225.19</v>
      </c>
      <c r="W61" s="41">
        <v>12401.127968549152</v>
      </c>
      <c r="X61" s="35"/>
      <c r="Y61" s="37">
        <v>24201</v>
      </c>
      <c r="Z61" s="38" t="s">
        <v>23</v>
      </c>
      <c r="AA61" s="319">
        <v>0</v>
      </c>
      <c r="AB61" s="319"/>
      <c r="AC61" s="41">
        <v>0</v>
      </c>
      <c r="AD61" s="7"/>
      <c r="AE61" s="37">
        <v>24201</v>
      </c>
      <c r="AF61" s="38" t="s">
        <v>23</v>
      </c>
      <c r="AG61" s="327"/>
      <c r="AH61" s="327"/>
      <c r="AI61" s="42"/>
    </row>
    <row r="62" spans="1:35" s="10" customFormat="1" ht="11.25">
      <c r="A62" s="37">
        <v>24301</v>
      </c>
      <c r="B62" s="38" t="s">
        <v>24</v>
      </c>
      <c r="C62" s="311">
        <f t="shared" si="3"/>
        <v>0</v>
      </c>
      <c r="D62" s="310">
        <f t="shared" si="5"/>
        <v>0</v>
      </c>
      <c r="E62" s="383">
        <f t="shared" si="4"/>
        <v>0</v>
      </c>
      <c r="F62" s="7"/>
      <c r="G62" s="37">
        <v>24301</v>
      </c>
      <c r="H62" s="38" t="s">
        <v>24</v>
      </c>
      <c r="I62" s="307">
        <v>0</v>
      </c>
      <c r="J62" s="307"/>
      <c r="K62" s="41">
        <v>0</v>
      </c>
      <c r="L62" s="46"/>
      <c r="M62" s="37">
        <v>24301</v>
      </c>
      <c r="N62" s="38" t="s">
        <v>24</v>
      </c>
      <c r="O62" s="319">
        <v>0</v>
      </c>
      <c r="P62" s="319"/>
      <c r="Q62" s="41">
        <v>0</v>
      </c>
      <c r="R62" s="35"/>
      <c r="S62" s="37">
        <v>24301</v>
      </c>
      <c r="T62" s="38" t="s">
        <v>24</v>
      </c>
      <c r="U62" s="319">
        <v>0</v>
      </c>
      <c r="V62" s="319"/>
      <c r="W62" s="41">
        <v>0</v>
      </c>
      <c r="X62" s="35"/>
      <c r="Y62" s="37">
        <v>24301</v>
      </c>
      <c r="Z62" s="38" t="s">
        <v>24</v>
      </c>
      <c r="AA62" s="319">
        <v>0</v>
      </c>
      <c r="AB62" s="319"/>
      <c r="AC62" s="41">
        <v>0</v>
      </c>
      <c r="AD62" s="7"/>
      <c r="AE62" s="37">
        <v>24301</v>
      </c>
      <c r="AF62" s="38" t="s">
        <v>24</v>
      </c>
      <c r="AG62" s="327"/>
      <c r="AH62" s="327"/>
      <c r="AI62" s="42"/>
    </row>
    <row r="63" spans="1:35" s="10" customFormat="1" ht="11.25">
      <c r="A63" s="37">
        <v>24401</v>
      </c>
      <c r="B63" s="38" t="s">
        <v>25</v>
      </c>
      <c r="C63" s="311">
        <f t="shared" si="3"/>
        <v>0</v>
      </c>
      <c r="D63" s="310">
        <f t="shared" si="5"/>
        <v>0</v>
      </c>
      <c r="E63" s="383">
        <f t="shared" si="4"/>
        <v>0</v>
      </c>
      <c r="F63" s="7"/>
      <c r="G63" s="37">
        <v>24401</v>
      </c>
      <c r="H63" s="38" t="s">
        <v>25</v>
      </c>
      <c r="I63" s="307">
        <v>0</v>
      </c>
      <c r="J63" s="307"/>
      <c r="K63" s="41">
        <v>0</v>
      </c>
      <c r="L63" s="46"/>
      <c r="M63" s="37">
        <v>24401</v>
      </c>
      <c r="N63" s="38" t="s">
        <v>25</v>
      </c>
      <c r="O63" s="319">
        <v>0</v>
      </c>
      <c r="P63" s="319"/>
      <c r="Q63" s="41">
        <v>0</v>
      </c>
      <c r="R63" s="35"/>
      <c r="S63" s="37">
        <v>24401</v>
      </c>
      <c r="T63" s="38" t="s">
        <v>25</v>
      </c>
      <c r="U63" s="319">
        <v>0</v>
      </c>
      <c r="V63" s="319"/>
      <c r="W63" s="41">
        <v>0</v>
      </c>
      <c r="X63" s="35"/>
      <c r="Y63" s="37">
        <v>24401</v>
      </c>
      <c r="Z63" s="38" t="s">
        <v>25</v>
      </c>
      <c r="AA63" s="319">
        <v>0</v>
      </c>
      <c r="AB63" s="319"/>
      <c r="AC63" s="41">
        <v>0</v>
      </c>
      <c r="AD63" s="7"/>
      <c r="AE63" s="37">
        <v>24401</v>
      </c>
      <c r="AF63" s="38" t="s">
        <v>25</v>
      </c>
      <c r="AG63" s="327"/>
      <c r="AH63" s="327"/>
      <c r="AI63" s="42"/>
    </row>
    <row r="64" spans="1:35" s="10" customFormat="1" ht="11.25">
      <c r="A64" s="37">
        <v>24501</v>
      </c>
      <c r="B64" s="38" t="s">
        <v>26</v>
      </c>
      <c r="C64" s="311">
        <f t="shared" si="3"/>
        <v>0</v>
      </c>
      <c r="D64" s="310">
        <f t="shared" si="5"/>
        <v>0</v>
      </c>
      <c r="E64" s="383">
        <f t="shared" si="4"/>
        <v>0</v>
      </c>
      <c r="F64" s="7"/>
      <c r="G64" s="37">
        <v>24501</v>
      </c>
      <c r="H64" s="38" t="s">
        <v>26</v>
      </c>
      <c r="I64" s="311">
        <v>0</v>
      </c>
      <c r="J64" s="311"/>
      <c r="K64" s="41">
        <v>0</v>
      </c>
      <c r="L64" s="46"/>
      <c r="M64" s="37">
        <v>24501</v>
      </c>
      <c r="N64" s="38" t="s">
        <v>26</v>
      </c>
      <c r="O64" s="311">
        <v>0</v>
      </c>
      <c r="P64" s="311"/>
      <c r="Q64" s="41">
        <v>0</v>
      </c>
      <c r="R64" s="35"/>
      <c r="S64" s="37">
        <v>24501</v>
      </c>
      <c r="T64" s="38" t="s">
        <v>26</v>
      </c>
      <c r="U64" s="311">
        <v>0</v>
      </c>
      <c r="V64" s="311"/>
      <c r="W64" s="41">
        <v>0</v>
      </c>
      <c r="X64" s="35"/>
      <c r="Y64" s="37">
        <v>24501</v>
      </c>
      <c r="Z64" s="38" t="s">
        <v>26</v>
      </c>
      <c r="AA64" s="319">
        <v>0</v>
      </c>
      <c r="AB64" s="319"/>
      <c r="AC64" s="41">
        <v>0</v>
      </c>
      <c r="AD64" s="7"/>
      <c r="AE64" s="37">
        <v>24501</v>
      </c>
      <c r="AF64" s="38" t="s">
        <v>26</v>
      </c>
      <c r="AG64" s="327"/>
      <c r="AH64" s="327"/>
      <c r="AI64" s="42"/>
    </row>
    <row r="65" spans="1:35" s="10" customFormat="1" ht="11.25">
      <c r="A65" s="37">
        <v>24601</v>
      </c>
      <c r="B65" s="38" t="s">
        <v>27</v>
      </c>
      <c r="C65" s="311">
        <f t="shared" si="3"/>
        <v>573666.95066466124</v>
      </c>
      <c r="D65" s="310">
        <f t="shared" si="5"/>
        <v>319520.08999999997</v>
      </c>
      <c r="E65" s="383">
        <f t="shared" si="4"/>
        <v>618875.35429225769</v>
      </c>
      <c r="F65" s="7"/>
      <c r="G65" s="37">
        <v>24601</v>
      </c>
      <c r="H65" s="38" t="s">
        <v>27</v>
      </c>
      <c r="I65" s="307">
        <v>311411.46823997074</v>
      </c>
      <c r="J65" s="307">
        <v>168033.62</v>
      </c>
      <c r="K65" s="41">
        <v>342552.61506396782</v>
      </c>
      <c r="L65" s="46"/>
      <c r="M65" s="37">
        <v>24601</v>
      </c>
      <c r="N65" s="38" t="s">
        <v>27</v>
      </c>
      <c r="O65" s="319">
        <v>82836.003134950748</v>
      </c>
      <c r="P65" s="319">
        <v>15775.94</v>
      </c>
      <c r="Q65" s="41">
        <v>91119.603448445821</v>
      </c>
      <c r="R65" s="35"/>
      <c r="S65" s="37">
        <v>24601</v>
      </c>
      <c r="T65" s="38" t="s">
        <v>27</v>
      </c>
      <c r="U65" s="319">
        <v>81894.241301739676</v>
      </c>
      <c r="V65" s="319">
        <v>43891.59</v>
      </c>
      <c r="W65" s="41">
        <v>86807.895779844053</v>
      </c>
      <c r="X65" s="35"/>
      <c r="Y65" s="37">
        <v>24601</v>
      </c>
      <c r="Z65" s="38" t="s">
        <v>27</v>
      </c>
      <c r="AA65" s="319">
        <v>0</v>
      </c>
      <c r="AB65" s="319"/>
      <c r="AC65" s="41">
        <v>0</v>
      </c>
      <c r="AD65" s="7"/>
      <c r="AE65" s="37">
        <v>24601</v>
      </c>
      <c r="AF65" s="38" t="s">
        <v>27</v>
      </c>
      <c r="AG65" s="327">
        <v>97525.237988000008</v>
      </c>
      <c r="AH65" s="327">
        <v>91818.94</v>
      </c>
      <c r="AI65" s="42">
        <v>98395.24</v>
      </c>
    </row>
    <row r="66" spans="1:35" s="10" customFormat="1" ht="11.25">
      <c r="A66" s="37">
        <v>24801</v>
      </c>
      <c r="B66" s="38" t="s">
        <v>28</v>
      </c>
      <c r="C66" s="311">
        <f t="shared" si="3"/>
        <v>0</v>
      </c>
      <c r="D66" s="310">
        <f t="shared" si="5"/>
        <v>0</v>
      </c>
      <c r="E66" s="383">
        <f t="shared" si="4"/>
        <v>0</v>
      </c>
      <c r="F66" s="7"/>
      <c r="G66" s="37">
        <v>24801</v>
      </c>
      <c r="H66" s="38" t="s">
        <v>28</v>
      </c>
      <c r="I66" s="307">
        <v>0</v>
      </c>
      <c r="J66" s="307"/>
      <c r="K66" s="41">
        <v>0</v>
      </c>
      <c r="L66" s="46"/>
      <c r="M66" s="37">
        <v>24801</v>
      </c>
      <c r="N66" s="38" t="s">
        <v>28</v>
      </c>
      <c r="O66" s="319">
        <v>0</v>
      </c>
      <c r="P66" s="319"/>
      <c r="Q66" s="41">
        <v>0</v>
      </c>
      <c r="R66" s="35"/>
      <c r="S66" s="37">
        <v>24801</v>
      </c>
      <c r="T66" s="38" t="s">
        <v>28</v>
      </c>
      <c r="U66" s="319">
        <v>0</v>
      </c>
      <c r="V66" s="319"/>
      <c r="W66" s="41">
        <v>0</v>
      </c>
      <c r="X66" s="35"/>
      <c r="Y66" s="37">
        <v>24801</v>
      </c>
      <c r="Z66" s="38" t="s">
        <v>28</v>
      </c>
      <c r="AA66" s="319">
        <v>0</v>
      </c>
      <c r="AB66" s="319"/>
      <c r="AC66" s="41">
        <v>0</v>
      </c>
      <c r="AD66" s="7"/>
      <c r="AE66" s="37">
        <v>24801</v>
      </c>
      <c r="AF66" s="38" t="s">
        <v>28</v>
      </c>
      <c r="AG66" s="327"/>
      <c r="AH66" s="327"/>
      <c r="AI66" s="42"/>
    </row>
    <row r="67" spans="1:35" s="10" customFormat="1" ht="22.5">
      <c r="A67" s="37">
        <v>24901</v>
      </c>
      <c r="B67" s="38" t="s">
        <v>29</v>
      </c>
      <c r="C67" s="311">
        <f t="shared" si="3"/>
        <v>0</v>
      </c>
      <c r="D67" s="310">
        <f t="shared" si="5"/>
        <v>0</v>
      </c>
      <c r="E67" s="383">
        <f t="shared" si="4"/>
        <v>0</v>
      </c>
      <c r="F67" s="7"/>
      <c r="G67" s="37">
        <v>24901</v>
      </c>
      <c r="H67" s="38" t="s">
        <v>29</v>
      </c>
      <c r="I67" s="307">
        <v>0</v>
      </c>
      <c r="J67" s="307"/>
      <c r="K67" s="41">
        <v>0</v>
      </c>
      <c r="L67" s="46"/>
      <c r="M67" s="37">
        <v>24901</v>
      </c>
      <c r="N67" s="38" t="s">
        <v>29</v>
      </c>
      <c r="O67" s="321">
        <v>0</v>
      </c>
      <c r="P67" s="321"/>
      <c r="Q67" s="41">
        <v>0</v>
      </c>
      <c r="R67" s="35"/>
      <c r="S67" s="37">
        <v>24901</v>
      </c>
      <c r="T67" s="38" t="s">
        <v>29</v>
      </c>
      <c r="U67" s="321">
        <v>0</v>
      </c>
      <c r="V67" s="321"/>
      <c r="W67" s="41">
        <v>0</v>
      </c>
      <c r="X67" s="35"/>
      <c r="Y67" s="37">
        <v>24901</v>
      </c>
      <c r="Z67" s="38" t="s">
        <v>29</v>
      </c>
      <c r="AA67" s="321">
        <v>0</v>
      </c>
      <c r="AB67" s="321"/>
      <c r="AC67" s="41">
        <v>0</v>
      </c>
      <c r="AD67" s="7"/>
      <c r="AE67" s="37">
        <v>24901</v>
      </c>
      <c r="AF67" s="38" t="s">
        <v>29</v>
      </c>
      <c r="AG67" s="327"/>
      <c r="AH67" s="327"/>
      <c r="AI67" s="42"/>
    </row>
    <row r="68" spans="1:35" s="10" customFormat="1" ht="11.25">
      <c r="A68" s="37">
        <v>25101</v>
      </c>
      <c r="B68" s="38" t="s">
        <v>30</v>
      </c>
      <c r="C68" s="311">
        <f t="shared" si="3"/>
        <v>0</v>
      </c>
      <c r="D68" s="310">
        <f t="shared" si="5"/>
        <v>0</v>
      </c>
      <c r="E68" s="383">
        <f t="shared" si="4"/>
        <v>0</v>
      </c>
      <c r="F68" s="7"/>
      <c r="G68" s="37">
        <v>25101</v>
      </c>
      <c r="H68" s="38" t="s">
        <v>30</v>
      </c>
      <c r="I68" s="307">
        <v>0</v>
      </c>
      <c r="J68" s="307"/>
      <c r="K68" s="41">
        <v>0</v>
      </c>
      <c r="L68" s="46"/>
      <c r="M68" s="37">
        <v>25101</v>
      </c>
      <c r="N68" s="38" t="s">
        <v>30</v>
      </c>
      <c r="O68" s="319">
        <v>0</v>
      </c>
      <c r="P68" s="319"/>
      <c r="Q68" s="41">
        <v>0</v>
      </c>
      <c r="R68" s="35"/>
      <c r="S68" s="37">
        <v>25101</v>
      </c>
      <c r="T68" s="38" t="s">
        <v>30</v>
      </c>
      <c r="U68" s="319">
        <v>0</v>
      </c>
      <c r="V68" s="319"/>
      <c r="W68" s="41">
        <v>0</v>
      </c>
      <c r="X68" s="35"/>
      <c r="Y68" s="37">
        <v>25101</v>
      </c>
      <c r="Z68" s="38" t="s">
        <v>30</v>
      </c>
      <c r="AA68" s="319">
        <v>0</v>
      </c>
      <c r="AB68" s="319"/>
      <c r="AC68" s="41">
        <v>0</v>
      </c>
      <c r="AD68" s="7"/>
      <c r="AE68" s="37">
        <v>25101</v>
      </c>
      <c r="AF68" s="38" t="s">
        <v>30</v>
      </c>
      <c r="AG68" s="327"/>
      <c r="AH68" s="327"/>
      <c r="AI68" s="42"/>
    </row>
    <row r="69" spans="1:35" s="10" customFormat="1" ht="22.5">
      <c r="A69" s="37">
        <v>25201</v>
      </c>
      <c r="B69" s="38" t="s">
        <v>31</v>
      </c>
      <c r="C69" s="311">
        <f t="shared" si="3"/>
        <v>0</v>
      </c>
      <c r="D69" s="310">
        <f t="shared" si="5"/>
        <v>0</v>
      </c>
      <c r="E69" s="383">
        <f t="shared" si="4"/>
        <v>0</v>
      </c>
      <c r="F69" s="7"/>
      <c r="G69" s="37">
        <v>25201</v>
      </c>
      <c r="H69" s="38" t="s">
        <v>31</v>
      </c>
      <c r="I69" s="311">
        <v>0</v>
      </c>
      <c r="J69" s="311"/>
      <c r="K69" s="41">
        <v>0</v>
      </c>
      <c r="L69" s="46"/>
      <c r="M69" s="37">
        <v>25201</v>
      </c>
      <c r="N69" s="38" t="s">
        <v>31</v>
      </c>
      <c r="O69" s="319">
        <v>0</v>
      </c>
      <c r="P69" s="319"/>
      <c r="Q69" s="41">
        <v>0</v>
      </c>
      <c r="R69" s="35"/>
      <c r="S69" s="37">
        <v>25201</v>
      </c>
      <c r="T69" s="38" t="s">
        <v>31</v>
      </c>
      <c r="U69" s="319">
        <v>0</v>
      </c>
      <c r="V69" s="319"/>
      <c r="W69" s="41">
        <v>0</v>
      </c>
      <c r="X69" s="35"/>
      <c r="Y69" s="37">
        <v>25201</v>
      </c>
      <c r="Z69" s="38" t="s">
        <v>31</v>
      </c>
      <c r="AA69" s="319">
        <v>0</v>
      </c>
      <c r="AB69" s="319"/>
      <c r="AC69" s="41">
        <v>0</v>
      </c>
      <c r="AD69" s="7"/>
      <c r="AE69" s="37">
        <v>25201</v>
      </c>
      <c r="AF69" s="38" t="s">
        <v>31</v>
      </c>
      <c r="AG69" s="327"/>
      <c r="AH69" s="327"/>
      <c r="AI69" s="42"/>
    </row>
    <row r="70" spans="1:35" s="10" customFormat="1" ht="22.5">
      <c r="A70" s="37">
        <v>25301</v>
      </c>
      <c r="B70" s="38" t="s">
        <v>32</v>
      </c>
      <c r="C70" s="311">
        <f t="shared" si="3"/>
        <v>16682.75722714129</v>
      </c>
      <c r="D70" s="310">
        <f t="shared" si="5"/>
        <v>44029.53</v>
      </c>
      <c r="E70" s="383">
        <f t="shared" si="4"/>
        <v>68351.03294985542</v>
      </c>
      <c r="F70" s="7"/>
      <c r="G70" s="37">
        <v>25301</v>
      </c>
      <c r="H70" s="38" t="s">
        <v>32</v>
      </c>
      <c r="I70" s="307">
        <v>16682.75722714129</v>
      </c>
      <c r="J70" s="307">
        <v>44029.53</v>
      </c>
      <c r="K70" s="41">
        <v>68351.03294985542</v>
      </c>
      <c r="L70" s="46"/>
      <c r="M70" s="37">
        <v>25301</v>
      </c>
      <c r="N70" s="38" t="s">
        <v>32</v>
      </c>
      <c r="O70" s="319">
        <v>0</v>
      </c>
      <c r="P70" s="319"/>
      <c r="Q70" s="41">
        <v>0</v>
      </c>
      <c r="R70" s="35"/>
      <c r="S70" s="37">
        <v>25301</v>
      </c>
      <c r="T70" s="38" t="s">
        <v>32</v>
      </c>
      <c r="U70" s="319">
        <v>0</v>
      </c>
      <c r="V70" s="319"/>
      <c r="W70" s="41">
        <v>0</v>
      </c>
      <c r="X70" s="35"/>
      <c r="Y70" s="37">
        <v>25301</v>
      </c>
      <c r="Z70" s="38" t="s">
        <v>32</v>
      </c>
      <c r="AA70" s="319">
        <v>0</v>
      </c>
      <c r="AB70" s="319"/>
      <c r="AC70" s="41">
        <v>0</v>
      </c>
      <c r="AD70" s="7"/>
      <c r="AE70" s="37">
        <v>25301</v>
      </c>
      <c r="AF70" s="38" t="s">
        <v>32</v>
      </c>
      <c r="AG70" s="327"/>
      <c r="AH70" s="327"/>
      <c r="AI70" s="42"/>
    </row>
    <row r="71" spans="1:35" s="10" customFormat="1" ht="22.5">
      <c r="A71" s="37">
        <v>25501</v>
      </c>
      <c r="B71" s="38" t="s">
        <v>33</v>
      </c>
      <c r="C71" s="311">
        <f t="shared" si="3"/>
        <v>0</v>
      </c>
      <c r="D71" s="310">
        <f t="shared" si="5"/>
        <v>0</v>
      </c>
      <c r="E71" s="383">
        <f t="shared" si="4"/>
        <v>0</v>
      </c>
      <c r="F71" s="7"/>
      <c r="G71" s="37">
        <v>25501</v>
      </c>
      <c r="H71" s="38" t="s">
        <v>33</v>
      </c>
      <c r="I71" s="311">
        <v>0</v>
      </c>
      <c r="J71" s="311"/>
      <c r="K71" s="41">
        <v>0</v>
      </c>
      <c r="L71" s="46"/>
      <c r="M71" s="37">
        <v>25501</v>
      </c>
      <c r="N71" s="38" t="s">
        <v>33</v>
      </c>
      <c r="O71" s="311">
        <v>0</v>
      </c>
      <c r="P71" s="311"/>
      <c r="Q71" s="41">
        <v>0</v>
      </c>
      <c r="R71" s="35"/>
      <c r="S71" s="37">
        <v>25501</v>
      </c>
      <c r="T71" s="38" t="s">
        <v>33</v>
      </c>
      <c r="U71" s="311">
        <v>0</v>
      </c>
      <c r="V71" s="311"/>
      <c r="W71" s="41">
        <v>0</v>
      </c>
      <c r="X71" s="35"/>
      <c r="Y71" s="37">
        <v>25501</v>
      </c>
      <c r="Z71" s="38" t="s">
        <v>33</v>
      </c>
      <c r="AA71" s="311">
        <v>0</v>
      </c>
      <c r="AB71" s="311"/>
      <c r="AC71" s="41">
        <v>0</v>
      </c>
      <c r="AD71" s="7"/>
      <c r="AE71" s="37">
        <v>25501</v>
      </c>
      <c r="AF71" s="38" t="s">
        <v>33</v>
      </c>
      <c r="AG71" s="327"/>
      <c r="AH71" s="327"/>
      <c r="AI71" s="42"/>
    </row>
    <row r="72" spans="1:35" s="10" customFormat="1" ht="11.25">
      <c r="A72" s="37">
        <v>25901</v>
      </c>
      <c r="B72" s="38" t="s">
        <v>34</v>
      </c>
      <c r="C72" s="311">
        <f t="shared" si="3"/>
        <v>8829524.1877841018</v>
      </c>
      <c r="D72" s="310">
        <f t="shared" si="5"/>
        <v>109503.92</v>
      </c>
      <c r="E72" s="383">
        <f t="shared" si="4"/>
        <v>9627363.8256259467</v>
      </c>
      <c r="F72" s="7"/>
      <c r="G72" s="37">
        <v>25901</v>
      </c>
      <c r="H72" s="38" t="s">
        <v>34</v>
      </c>
      <c r="I72" s="311">
        <v>3417593.4275700003</v>
      </c>
      <c r="J72" s="311"/>
      <c r="K72" s="41">
        <v>3759352.7703270004</v>
      </c>
      <c r="L72" s="46"/>
      <c r="M72" s="37">
        <v>25901</v>
      </c>
      <c r="N72" s="38" t="s">
        <v>34</v>
      </c>
      <c r="O72" s="311">
        <v>2109713.8908000002</v>
      </c>
      <c r="P72" s="311"/>
      <c r="Q72" s="41">
        <v>2320685.2798800003</v>
      </c>
      <c r="R72" s="35"/>
      <c r="S72" s="37">
        <v>25901</v>
      </c>
      <c r="T72" s="38" t="s">
        <v>34</v>
      </c>
      <c r="U72" s="311">
        <v>2963416.165</v>
      </c>
      <c r="V72" s="311"/>
      <c r="W72" s="41">
        <v>3141221.1348999999</v>
      </c>
      <c r="X72" s="35"/>
      <c r="Y72" s="37">
        <v>25901</v>
      </c>
      <c r="Z72" s="38" t="s">
        <v>34</v>
      </c>
      <c r="AA72" s="311">
        <v>180585.86841410206</v>
      </c>
      <c r="AB72" s="311"/>
      <c r="AC72" s="41">
        <v>191421.02051894818</v>
      </c>
      <c r="AD72" s="7"/>
      <c r="AE72" s="37">
        <v>25901</v>
      </c>
      <c r="AF72" s="38" t="s">
        <v>34</v>
      </c>
      <c r="AG72" s="327">
        <v>158214.83600000001</v>
      </c>
      <c r="AH72" s="327">
        <v>109503.92</v>
      </c>
      <c r="AI72" s="42">
        <v>214683.62</v>
      </c>
    </row>
    <row r="73" spans="1:35" s="10" customFormat="1" ht="11.25">
      <c r="A73" s="37">
        <v>26101</v>
      </c>
      <c r="B73" s="38" t="s">
        <v>35</v>
      </c>
      <c r="C73" s="311">
        <f t="shared" si="3"/>
        <v>6707408.6438521994</v>
      </c>
      <c r="D73" s="310">
        <f t="shared" si="5"/>
        <v>6036361.6999999993</v>
      </c>
      <c r="E73" s="383">
        <f t="shared" si="4"/>
        <v>8223594.064250635</v>
      </c>
      <c r="F73" s="7"/>
      <c r="G73" s="37">
        <v>26101</v>
      </c>
      <c r="H73" s="38" t="s">
        <v>35</v>
      </c>
      <c r="I73" s="311">
        <v>2891677.919371157</v>
      </c>
      <c r="J73" s="311">
        <v>3695255.94</v>
      </c>
      <c r="K73" s="41">
        <v>4180845.7113082726</v>
      </c>
      <c r="L73" s="46"/>
      <c r="M73" s="37">
        <v>26101</v>
      </c>
      <c r="N73" s="38" t="s">
        <v>35</v>
      </c>
      <c r="O73" s="311">
        <v>1095749.6048114107</v>
      </c>
      <c r="P73" s="311">
        <v>1031140.62</v>
      </c>
      <c r="Q73" s="41">
        <v>1205324.5652925516</v>
      </c>
      <c r="R73" s="35"/>
      <c r="S73" s="37">
        <v>26101</v>
      </c>
      <c r="T73" s="38" t="s">
        <v>35</v>
      </c>
      <c r="U73" s="311">
        <v>1514369.8137524133</v>
      </c>
      <c r="V73" s="311">
        <v>645732.25</v>
      </c>
      <c r="W73" s="41">
        <v>1605232.0025775582</v>
      </c>
      <c r="X73" s="35"/>
      <c r="Y73" s="37">
        <v>26101</v>
      </c>
      <c r="Z73" s="38" t="s">
        <v>35</v>
      </c>
      <c r="AA73" s="311">
        <v>89861.98591721867</v>
      </c>
      <c r="AB73" s="311">
        <v>60481</v>
      </c>
      <c r="AC73" s="41">
        <v>95253.705072251789</v>
      </c>
      <c r="AD73" s="7"/>
      <c r="AE73" s="37">
        <v>26101</v>
      </c>
      <c r="AF73" s="38" t="s">
        <v>35</v>
      </c>
      <c r="AG73" s="327">
        <v>1115749.32</v>
      </c>
      <c r="AH73" s="327">
        <v>603751.89</v>
      </c>
      <c r="AI73" s="42">
        <v>1136938.08</v>
      </c>
    </row>
    <row r="74" spans="1:35" s="10" customFormat="1" ht="11.25">
      <c r="A74" s="37">
        <v>26102</v>
      </c>
      <c r="B74" s="38" t="s">
        <v>36</v>
      </c>
      <c r="C74" s="311">
        <f t="shared" si="3"/>
        <v>457520.430311809</v>
      </c>
      <c r="D74" s="310">
        <f t="shared" si="5"/>
        <v>461052.54999999993</v>
      </c>
      <c r="E74" s="383">
        <f t="shared" si="4"/>
        <v>682899.57425771153</v>
      </c>
      <c r="F74" s="7"/>
      <c r="G74" s="37">
        <v>26102</v>
      </c>
      <c r="H74" s="38" t="s">
        <v>36</v>
      </c>
      <c r="I74" s="311">
        <v>166827.57227141291</v>
      </c>
      <c r="J74" s="311">
        <v>304103.15999999997</v>
      </c>
      <c r="K74" s="41">
        <v>333510.32949855423</v>
      </c>
      <c r="L74" s="46"/>
      <c r="M74" s="37">
        <v>26102</v>
      </c>
      <c r="N74" s="38" t="s">
        <v>36</v>
      </c>
      <c r="O74" s="311">
        <v>85435.367370486201</v>
      </c>
      <c r="P74" s="311">
        <v>64939.66</v>
      </c>
      <c r="Q74" s="41">
        <v>93978.904107534821</v>
      </c>
      <c r="R74" s="35"/>
      <c r="S74" s="37">
        <v>26102</v>
      </c>
      <c r="T74" s="38" t="s">
        <v>36</v>
      </c>
      <c r="U74" s="311">
        <v>80539.230884338423</v>
      </c>
      <c r="V74" s="311">
        <v>39280.61</v>
      </c>
      <c r="W74" s="41">
        <v>85371.584737398734</v>
      </c>
      <c r="X74" s="35"/>
      <c r="Y74" s="37">
        <v>26102</v>
      </c>
      <c r="Z74" s="38" t="s">
        <v>36</v>
      </c>
      <c r="AA74" s="311">
        <v>2173.1376549280449</v>
      </c>
      <c r="AB74" s="311"/>
      <c r="AC74" s="41">
        <v>2303.5259142237273</v>
      </c>
      <c r="AD74" s="7"/>
      <c r="AE74" s="37">
        <v>26102</v>
      </c>
      <c r="AF74" s="38" t="s">
        <v>36</v>
      </c>
      <c r="AG74" s="327">
        <v>122545.12213064346</v>
      </c>
      <c r="AH74" s="327">
        <v>52729.120000000003</v>
      </c>
      <c r="AI74" s="42">
        <v>167735.23000000001</v>
      </c>
    </row>
    <row r="75" spans="1:35" s="10" customFormat="1" ht="11.25">
      <c r="A75" s="37">
        <v>27101</v>
      </c>
      <c r="B75" s="38" t="s">
        <v>37</v>
      </c>
      <c r="C75" s="311">
        <f t="shared" si="3"/>
        <v>2195656.5958342836</v>
      </c>
      <c r="D75" s="310">
        <f t="shared" si="5"/>
        <v>0</v>
      </c>
      <c r="E75" s="383">
        <f t="shared" si="4"/>
        <v>2371592.3139790259</v>
      </c>
      <c r="F75" s="7"/>
      <c r="G75" s="37">
        <v>27101</v>
      </c>
      <c r="H75" s="38" t="s">
        <v>37</v>
      </c>
      <c r="I75" s="311">
        <v>1501448.1504427162</v>
      </c>
      <c r="J75" s="311"/>
      <c r="K75" s="41">
        <v>1651592.9654869877</v>
      </c>
      <c r="L75" s="46"/>
      <c r="M75" s="37">
        <v>27101</v>
      </c>
      <c r="N75" s="38" t="s">
        <v>37</v>
      </c>
      <c r="O75" s="311">
        <v>384764.87062441802</v>
      </c>
      <c r="P75" s="311"/>
      <c r="Q75" s="41">
        <v>423241.35768685985</v>
      </c>
      <c r="R75" s="35"/>
      <c r="S75" s="37">
        <v>27101</v>
      </c>
      <c r="T75" s="38" t="s">
        <v>37</v>
      </c>
      <c r="U75" s="311">
        <v>175487.65993229931</v>
      </c>
      <c r="V75" s="311"/>
      <c r="W75" s="41">
        <v>186016.91952823728</v>
      </c>
      <c r="X75" s="35"/>
      <c r="Y75" s="37">
        <v>27101</v>
      </c>
      <c r="Z75" s="38" t="s">
        <v>37</v>
      </c>
      <c r="AA75" s="319">
        <v>39503.954034850351</v>
      </c>
      <c r="AB75" s="319"/>
      <c r="AC75" s="41">
        <v>41874.191276941368</v>
      </c>
      <c r="AD75" s="7"/>
      <c r="AE75" s="37">
        <v>27101</v>
      </c>
      <c r="AF75" s="38" t="s">
        <v>37</v>
      </c>
      <c r="AG75" s="327">
        <v>94451.960800000001</v>
      </c>
      <c r="AH75" s="327"/>
      <c r="AI75" s="42">
        <v>68866.880000000005</v>
      </c>
    </row>
    <row r="76" spans="1:35" s="10" customFormat="1" ht="22.5">
      <c r="A76" s="37">
        <v>27201</v>
      </c>
      <c r="B76" s="38" t="s">
        <v>38</v>
      </c>
      <c r="C76" s="311">
        <f t="shared" si="3"/>
        <v>177230.01834742585</v>
      </c>
      <c r="D76" s="310">
        <f t="shared" si="5"/>
        <v>60308.160000000003</v>
      </c>
      <c r="E76" s="383">
        <f t="shared" si="4"/>
        <v>191698.52726739255</v>
      </c>
      <c r="F76" s="7"/>
      <c r="G76" s="37">
        <v>27201</v>
      </c>
      <c r="H76" s="38" t="s">
        <v>38</v>
      </c>
      <c r="I76" s="311">
        <v>133684.49458015888</v>
      </c>
      <c r="J76" s="311">
        <v>57368.33</v>
      </c>
      <c r="K76" s="41">
        <v>147052.94403817476</v>
      </c>
      <c r="L76" s="46"/>
      <c r="M76" s="37">
        <v>27201</v>
      </c>
      <c r="N76" s="38" t="s">
        <v>38</v>
      </c>
      <c r="O76" s="311">
        <v>12511.200897869847</v>
      </c>
      <c r="P76" s="311">
        <v>551</v>
      </c>
      <c r="Q76" s="41">
        <v>13762.320987656833</v>
      </c>
      <c r="R76" s="35"/>
      <c r="S76" s="37">
        <v>27201</v>
      </c>
      <c r="T76" s="38" t="s">
        <v>38</v>
      </c>
      <c r="U76" s="311">
        <v>14834.322869397127</v>
      </c>
      <c r="V76" s="311">
        <v>2388.83</v>
      </c>
      <c r="W76" s="41">
        <v>15724.382241560954</v>
      </c>
      <c r="X76" s="35"/>
      <c r="Y76" s="37">
        <v>27201</v>
      </c>
      <c r="Z76" s="38" t="s">
        <v>38</v>
      </c>
      <c r="AA76" s="319">
        <v>0</v>
      </c>
      <c r="AB76" s="319"/>
      <c r="AC76" s="41">
        <v>0</v>
      </c>
      <c r="AD76" s="7"/>
      <c r="AE76" s="37">
        <v>27201</v>
      </c>
      <c r="AF76" s="38" t="s">
        <v>38</v>
      </c>
      <c r="AG76" s="327">
        <v>16200</v>
      </c>
      <c r="AH76" s="327"/>
      <c r="AI76" s="42">
        <v>15158.88</v>
      </c>
    </row>
    <row r="77" spans="1:35" s="10" customFormat="1" ht="11.25">
      <c r="A77" s="37">
        <v>29101</v>
      </c>
      <c r="B77" s="38" t="s">
        <v>39</v>
      </c>
      <c r="C77" s="311">
        <f t="shared" si="3"/>
        <v>284858.94043185533</v>
      </c>
      <c r="D77" s="310">
        <f t="shared" si="5"/>
        <v>31748.400000000001</v>
      </c>
      <c r="E77" s="383">
        <f t="shared" si="4"/>
        <v>309062.81674215884</v>
      </c>
      <c r="F77" s="7"/>
      <c r="G77" s="37">
        <v>29101</v>
      </c>
      <c r="H77" s="38" t="s">
        <v>39</v>
      </c>
      <c r="I77" s="311">
        <v>179420.82961027429</v>
      </c>
      <c r="J77" s="311">
        <v>26115.040000000001</v>
      </c>
      <c r="K77" s="41">
        <v>197362.91257130171</v>
      </c>
      <c r="L77" s="46"/>
      <c r="M77" s="37">
        <v>29101</v>
      </c>
      <c r="N77" s="38" t="s">
        <v>39</v>
      </c>
      <c r="O77" s="319">
        <v>45069.167499531148</v>
      </c>
      <c r="P77" s="319">
        <v>389</v>
      </c>
      <c r="Q77" s="41">
        <v>49576.084249484265</v>
      </c>
      <c r="R77" s="35"/>
      <c r="S77" s="37">
        <v>29101</v>
      </c>
      <c r="T77" s="38" t="s">
        <v>39</v>
      </c>
      <c r="U77" s="319">
        <v>29247.943322049887</v>
      </c>
      <c r="V77" s="319">
        <v>4419.3599999999997</v>
      </c>
      <c r="W77" s="41">
        <v>31002.81992137288</v>
      </c>
      <c r="X77" s="35"/>
      <c r="Y77" s="37">
        <v>29101</v>
      </c>
      <c r="Z77" s="38" t="s">
        <v>39</v>
      </c>
      <c r="AA77" s="319">
        <v>0</v>
      </c>
      <c r="AB77" s="319"/>
      <c r="AC77" s="41">
        <v>0</v>
      </c>
      <c r="AD77" s="7"/>
      <c r="AE77" s="37">
        <v>29101</v>
      </c>
      <c r="AF77" s="38" t="s">
        <v>39</v>
      </c>
      <c r="AG77" s="327">
        <v>31121</v>
      </c>
      <c r="AH77" s="327">
        <v>825</v>
      </c>
      <c r="AI77" s="42">
        <v>31121</v>
      </c>
    </row>
    <row r="78" spans="1:35" s="10" customFormat="1" ht="22.5">
      <c r="A78" s="37">
        <v>29201</v>
      </c>
      <c r="B78" s="38" t="s">
        <v>40</v>
      </c>
      <c r="C78" s="311">
        <f t="shared" si="3"/>
        <v>9161.0580853308547</v>
      </c>
      <c r="D78" s="310">
        <f t="shared" si="5"/>
        <v>10119.82</v>
      </c>
      <c r="E78" s="383">
        <f t="shared" si="4"/>
        <v>10077.163893863941</v>
      </c>
      <c r="F78" s="7"/>
      <c r="G78" s="37">
        <v>29201</v>
      </c>
      <c r="H78" s="38" t="s">
        <v>40</v>
      </c>
      <c r="I78" s="311">
        <v>9161.0580853308547</v>
      </c>
      <c r="J78" s="311">
        <v>10119.82</v>
      </c>
      <c r="K78" s="41">
        <v>10077.163893863941</v>
      </c>
      <c r="L78" s="46"/>
      <c r="M78" s="37">
        <v>29201</v>
      </c>
      <c r="N78" s="38" t="s">
        <v>40</v>
      </c>
      <c r="O78" s="319">
        <v>0</v>
      </c>
      <c r="P78" s="319"/>
      <c r="Q78" s="41">
        <v>0</v>
      </c>
      <c r="R78" s="35"/>
      <c r="S78" s="37">
        <v>29201</v>
      </c>
      <c r="T78" s="38" t="s">
        <v>40</v>
      </c>
      <c r="U78" s="319">
        <v>0</v>
      </c>
      <c r="V78" s="319"/>
      <c r="W78" s="41">
        <v>0</v>
      </c>
      <c r="X78" s="35"/>
      <c r="Y78" s="37">
        <v>29201</v>
      </c>
      <c r="Z78" s="38" t="s">
        <v>40</v>
      </c>
      <c r="AA78" s="319">
        <v>0</v>
      </c>
      <c r="AB78" s="319"/>
      <c r="AC78" s="41">
        <v>0</v>
      </c>
      <c r="AD78" s="7"/>
      <c r="AE78" s="37">
        <v>29201</v>
      </c>
      <c r="AF78" s="38" t="s">
        <v>40</v>
      </c>
      <c r="AG78" s="327"/>
      <c r="AH78" s="327"/>
      <c r="AI78" s="42"/>
    </row>
    <row r="79" spans="1:35" s="10" customFormat="1" ht="45">
      <c r="A79" s="37">
        <v>29301</v>
      </c>
      <c r="B79" s="38" t="s">
        <v>156</v>
      </c>
      <c r="C79" s="311">
        <f t="shared" si="3"/>
        <v>1472.4631271976868</v>
      </c>
      <c r="D79" s="310">
        <f t="shared" si="5"/>
        <v>1237.8699999999999</v>
      </c>
      <c r="E79" s="383">
        <f t="shared" si="4"/>
        <v>1619.7094399174555</v>
      </c>
      <c r="F79" s="7"/>
      <c r="G79" s="37">
        <v>29301</v>
      </c>
      <c r="H79" s="38" t="s">
        <v>156</v>
      </c>
      <c r="I79" s="311">
        <v>1472.4631271976868</v>
      </c>
      <c r="J79" s="311">
        <v>1237.8699999999999</v>
      </c>
      <c r="K79" s="41">
        <v>1619.7094399174555</v>
      </c>
      <c r="L79" s="46"/>
      <c r="M79" s="37">
        <v>29301</v>
      </c>
      <c r="N79" s="38" t="s">
        <v>156</v>
      </c>
      <c r="O79" s="311">
        <v>0</v>
      </c>
      <c r="P79" s="311"/>
      <c r="Q79" s="41">
        <v>0</v>
      </c>
      <c r="R79" s="35"/>
      <c r="S79" s="37">
        <v>29301</v>
      </c>
      <c r="T79" s="38" t="s">
        <v>156</v>
      </c>
      <c r="U79" s="311">
        <v>0</v>
      </c>
      <c r="V79" s="311"/>
      <c r="W79" s="41">
        <v>0</v>
      </c>
      <c r="X79" s="35"/>
      <c r="Y79" s="37">
        <v>29301</v>
      </c>
      <c r="Z79" s="38" t="s">
        <v>156</v>
      </c>
      <c r="AA79" s="319">
        <v>0</v>
      </c>
      <c r="AB79" s="319"/>
      <c r="AC79" s="41">
        <v>0</v>
      </c>
      <c r="AD79" s="7"/>
      <c r="AE79" s="37">
        <v>29301</v>
      </c>
      <c r="AF79" s="38" t="s">
        <v>156</v>
      </c>
      <c r="AG79" s="327"/>
      <c r="AH79" s="327"/>
      <c r="AI79" s="42"/>
    </row>
    <row r="80" spans="1:35" s="10" customFormat="1" ht="33.75">
      <c r="A80" s="37">
        <v>29401</v>
      </c>
      <c r="B80" s="38" t="s">
        <v>41</v>
      </c>
      <c r="C80" s="311">
        <f t="shared" si="3"/>
        <v>62941.078574689542</v>
      </c>
      <c r="D80" s="310">
        <f t="shared" si="5"/>
        <v>15142.3</v>
      </c>
      <c r="E80" s="383">
        <f t="shared" si="4"/>
        <v>57209.164779351093</v>
      </c>
      <c r="F80" s="7"/>
      <c r="G80" s="37">
        <v>29401</v>
      </c>
      <c r="H80" s="38" t="s">
        <v>41</v>
      </c>
      <c r="I80" s="311">
        <v>7876.5540228922928</v>
      </c>
      <c r="J80" s="311">
        <v>5465.3</v>
      </c>
      <c r="K80" s="41">
        <v>8664.2094251815215</v>
      </c>
      <c r="L80" s="46"/>
      <c r="M80" s="37">
        <v>29401</v>
      </c>
      <c r="N80" s="38" t="s">
        <v>41</v>
      </c>
      <c r="O80" s="311">
        <v>1259.6832316118957</v>
      </c>
      <c r="P80" s="311">
        <v>9677</v>
      </c>
      <c r="Q80" s="41">
        <v>1385.6515547730853</v>
      </c>
      <c r="R80" s="35"/>
      <c r="S80" s="37">
        <v>29401</v>
      </c>
      <c r="T80" s="38" t="s">
        <v>41</v>
      </c>
      <c r="U80" s="311">
        <v>39241.041320185359</v>
      </c>
      <c r="V80" s="311"/>
      <c r="W80" s="41">
        <v>41595.50379939648</v>
      </c>
      <c r="X80" s="35"/>
      <c r="Y80" s="37">
        <v>29401</v>
      </c>
      <c r="Z80" s="38" t="s">
        <v>41</v>
      </c>
      <c r="AA80" s="319">
        <v>0</v>
      </c>
      <c r="AB80" s="319"/>
      <c r="AC80" s="41">
        <v>0</v>
      </c>
      <c r="AD80" s="7"/>
      <c r="AE80" s="37">
        <v>29401</v>
      </c>
      <c r="AF80" s="38" t="s">
        <v>41</v>
      </c>
      <c r="AG80" s="327">
        <v>14563.8</v>
      </c>
      <c r="AH80" s="327"/>
      <c r="AI80" s="42">
        <v>5563.8</v>
      </c>
    </row>
    <row r="81" spans="1:35" s="10" customFormat="1" ht="22.5">
      <c r="A81" s="37">
        <v>29601</v>
      </c>
      <c r="B81" s="38" t="s">
        <v>42</v>
      </c>
      <c r="C81" s="311">
        <f t="shared" si="3"/>
        <v>1106915.1543943598</v>
      </c>
      <c r="D81" s="310">
        <f t="shared" si="5"/>
        <v>332581.20000000007</v>
      </c>
      <c r="E81" s="383">
        <f t="shared" si="4"/>
        <v>932097.52343650372</v>
      </c>
      <c r="F81" s="7"/>
      <c r="G81" s="37">
        <v>29601</v>
      </c>
      <c r="H81" s="38" t="s">
        <v>42</v>
      </c>
      <c r="I81" s="311">
        <v>434507.97289997066</v>
      </c>
      <c r="J81" s="311">
        <v>180176.95</v>
      </c>
      <c r="K81" s="41">
        <v>477958.7701899677</v>
      </c>
      <c r="L81" s="46"/>
      <c r="M81" s="37">
        <v>29601</v>
      </c>
      <c r="N81" s="38" t="s">
        <v>42</v>
      </c>
      <c r="O81" s="311">
        <v>39435.521562089751</v>
      </c>
      <c r="P81" s="311">
        <v>18009.48</v>
      </c>
      <c r="Q81" s="41">
        <v>43379.073718298729</v>
      </c>
      <c r="R81" s="35"/>
      <c r="S81" s="37">
        <v>29601</v>
      </c>
      <c r="T81" s="38" t="s">
        <v>42</v>
      </c>
      <c r="U81" s="311">
        <v>175487.65993229931</v>
      </c>
      <c r="V81" s="311">
        <v>36465.17</v>
      </c>
      <c r="W81" s="41">
        <v>186016.91952823728</v>
      </c>
      <c r="X81" s="35"/>
      <c r="Y81" s="37">
        <v>29601</v>
      </c>
      <c r="Z81" s="38" t="s">
        <v>42</v>
      </c>
      <c r="AA81" s="319">
        <v>0</v>
      </c>
      <c r="AB81" s="319"/>
      <c r="AC81" s="41">
        <v>0</v>
      </c>
      <c r="AD81" s="7"/>
      <c r="AE81" s="37">
        <v>29601</v>
      </c>
      <c r="AF81" s="38" t="s">
        <v>42</v>
      </c>
      <c r="AG81" s="327">
        <v>457484</v>
      </c>
      <c r="AH81" s="327">
        <v>97929.600000000006</v>
      </c>
      <c r="AI81" s="42">
        <v>224742.76</v>
      </c>
    </row>
    <row r="82" spans="1:35" s="10" customFormat="1" ht="22.5">
      <c r="A82" s="37">
        <v>29801</v>
      </c>
      <c r="B82" s="38" t="s">
        <v>43</v>
      </c>
      <c r="C82" s="311">
        <f t="shared" si="3"/>
        <v>876242.77287368989</v>
      </c>
      <c r="D82" s="310">
        <f t="shared" si="5"/>
        <v>1262145.6700000002</v>
      </c>
      <c r="E82" s="383">
        <f t="shared" si="4"/>
        <v>1542949.6457806095</v>
      </c>
      <c r="F82" s="7"/>
      <c r="G82" s="37">
        <v>29801</v>
      </c>
      <c r="H82" s="38" t="s">
        <v>43</v>
      </c>
      <c r="I82" s="311">
        <v>456172.83537991095</v>
      </c>
      <c r="J82" s="311">
        <v>506846.54</v>
      </c>
      <c r="K82" s="41">
        <v>601790.118917902</v>
      </c>
      <c r="L82" s="46"/>
      <c r="M82" s="37">
        <v>29801</v>
      </c>
      <c r="N82" s="38" t="s">
        <v>43</v>
      </c>
      <c r="O82" s="311">
        <v>158013.62798254369</v>
      </c>
      <c r="P82" s="311">
        <v>603252.93000000005</v>
      </c>
      <c r="Q82" s="41">
        <v>673814.99078079802</v>
      </c>
      <c r="R82" s="35"/>
      <c r="S82" s="37">
        <v>29801</v>
      </c>
      <c r="T82" s="38" t="s">
        <v>43</v>
      </c>
      <c r="U82" s="311">
        <v>88137.109511235292</v>
      </c>
      <c r="V82" s="311">
        <v>69458.11</v>
      </c>
      <c r="W82" s="41">
        <v>93425.336081909409</v>
      </c>
      <c r="X82" s="35"/>
      <c r="Y82" s="37">
        <v>29801</v>
      </c>
      <c r="Z82" s="38" t="s">
        <v>43</v>
      </c>
      <c r="AA82" s="319">
        <v>0</v>
      </c>
      <c r="AB82" s="319"/>
      <c r="AC82" s="41">
        <v>0</v>
      </c>
      <c r="AD82" s="7"/>
      <c r="AE82" s="37">
        <v>29801</v>
      </c>
      <c r="AF82" s="38" t="s">
        <v>43</v>
      </c>
      <c r="AG82" s="327">
        <v>173919.2</v>
      </c>
      <c r="AH82" s="327">
        <v>82588.09</v>
      </c>
      <c r="AI82" s="42">
        <v>173919.2</v>
      </c>
    </row>
    <row r="83" spans="1:35" s="6" customFormat="1" ht="11.25">
      <c r="A83" s="37"/>
      <c r="B83" s="38"/>
      <c r="C83" s="312"/>
      <c r="D83" s="312"/>
      <c r="E83" s="49"/>
      <c r="F83" s="7"/>
      <c r="G83" s="37"/>
      <c r="H83" s="38"/>
      <c r="I83" s="312"/>
      <c r="J83" s="312"/>
      <c r="K83" s="49"/>
      <c r="L83" s="40"/>
      <c r="M83" s="37"/>
      <c r="N83" s="38"/>
      <c r="O83" s="319"/>
      <c r="P83" s="319"/>
      <c r="Q83" s="49"/>
      <c r="R83" s="35"/>
      <c r="S83" s="47"/>
      <c r="T83" s="48"/>
      <c r="U83" s="319"/>
      <c r="V83" s="319"/>
      <c r="W83" s="49"/>
      <c r="X83" s="35"/>
      <c r="Y83" s="37"/>
      <c r="Z83" s="38"/>
      <c r="AA83" s="319"/>
      <c r="AB83" s="319"/>
      <c r="AC83" s="49"/>
      <c r="AD83" s="7"/>
      <c r="AE83" s="47"/>
      <c r="AF83" s="48"/>
      <c r="AG83" s="326"/>
      <c r="AH83" s="326"/>
      <c r="AI83" s="50"/>
    </row>
    <row r="84" spans="1:35" s="6" customFormat="1" ht="11.25">
      <c r="A84" s="31">
        <v>3000</v>
      </c>
      <c r="B84" s="2" t="s">
        <v>44</v>
      </c>
      <c r="C84" s="308">
        <f>SUM(C85:C144)</f>
        <v>166067939.19502658</v>
      </c>
      <c r="D84" s="308">
        <f>SUM(D85:D144)</f>
        <v>100220550.17</v>
      </c>
      <c r="E84" s="44">
        <f>SUM(E85:E144)</f>
        <v>156099177.2724165</v>
      </c>
      <c r="F84" s="7"/>
      <c r="G84" s="31">
        <v>3000</v>
      </c>
      <c r="H84" s="2" t="s">
        <v>44</v>
      </c>
      <c r="I84" s="309">
        <f>SUM(I85:I144)</f>
        <v>77584853.454154164</v>
      </c>
      <c r="J84" s="309">
        <f>SUM(J85:J144)</f>
        <v>44998846.299999997</v>
      </c>
      <c r="K84" s="44">
        <f>SUM(K85:K144)</f>
        <v>184345128.13956955</v>
      </c>
      <c r="L84" s="160"/>
      <c r="M84" s="31">
        <v>3000</v>
      </c>
      <c r="N84" s="2" t="s">
        <v>44</v>
      </c>
      <c r="O84" s="318">
        <f>SUM(O85:O144)</f>
        <v>23545581.683188949</v>
      </c>
      <c r="P84" s="318">
        <f>SUM(P85:P144)</f>
        <v>11964053.060000002</v>
      </c>
      <c r="Q84" s="44">
        <f>SUM(Q85:Q144)</f>
        <v>23483442.386182874</v>
      </c>
      <c r="R84" s="35"/>
      <c r="S84" s="31">
        <v>3000</v>
      </c>
      <c r="T84" s="2" t="s">
        <v>44</v>
      </c>
      <c r="U84" s="318">
        <f>SUM(U85:U144)</f>
        <v>16624012.333181424</v>
      </c>
      <c r="V84" s="318">
        <f>SUM(V85:V144)</f>
        <v>10854550.109999999</v>
      </c>
      <c r="W84" s="44">
        <f>SUM(W85:W144)</f>
        <v>17621453.063172314</v>
      </c>
      <c r="X84" s="35"/>
      <c r="Y84" s="31">
        <v>3000</v>
      </c>
      <c r="Z84" s="2" t="s">
        <v>44</v>
      </c>
      <c r="AA84" s="318">
        <f>SUM(AA85:AA144)</f>
        <v>1655137.9465019999</v>
      </c>
      <c r="AB84" s="318">
        <f>SUM(AB85:AB144)</f>
        <v>806543.50000000012</v>
      </c>
      <c r="AC84" s="44">
        <f>SUM(AC85:AC144)</f>
        <v>1623175.9732921196</v>
      </c>
      <c r="AD84" s="7"/>
      <c r="AE84" s="31">
        <v>3000</v>
      </c>
      <c r="AF84" s="2" t="s">
        <v>44</v>
      </c>
      <c r="AG84" s="328">
        <f>SUM(AG85:AG144)</f>
        <v>46658353.777999997</v>
      </c>
      <c r="AH84" s="328">
        <f>SUM(AH85:AH144)</f>
        <v>31596557.200000003</v>
      </c>
      <c r="AI84" s="45">
        <f>SUM(AI85:AI144)</f>
        <v>45880377.710199632</v>
      </c>
    </row>
    <row r="85" spans="1:35" s="6" customFormat="1" ht="24" customHeight="1">
      <c r="A85" s="37">
        <v>31101</v>
      </c>
      <c r="B85" s="38" t="s">
        <v>45</v>
      </c>
      <c r="C85" s="307">
        <f t="shared" ref="C85:C116" si="6">I85+O85+U85+AA85+AG85</f>
        <v>117349256.67709199</v>
      </c>
      <c r="D85" s="307">
        <f>J85+P85+V85+AB85+AH85</f>
        <v>69871530.310000002</v>
      </c>
      <c r="E85" s="382">
        <f>(K85+Q85+W85+AC85+AI85)-107000000-9854400</f>
        <v>-2318587.5501989126</v>
      </c>
      <c r="F85" s="7"/>
      <c r="G85" s="37">
        <v>31101</v>
      </c>
      <c r="H85" s="38" t="s">
        <v>45</v>
      </c>
      <c r="I85" s="307">
        <v>55230725</v>
      </c>
      <c r="J85" s="307">
        <v>30289779.920000002</v>
      </c>
      <c r="K85" s="51">
        <v>53607471</v>
      </c>
      <c r="L85" s="52" t="s">
        <v>157</v>
      </c>
      <c r="M85" s="37">
        <v>31101</v>
      </c>
      <c r="N85" s="38" t="s">
        <v>45</v>
      </c>
      <c r="O85" s="319">
        <v>14813288.323022701</v>
      </c>
      <c r="P85" s="319">
        <v>7915447.2800000003</v>
      </c>
      <c r="Q85" s="51">
        <v>14377920</v>
      </c>
      <c r="R85" s="52" t="s">
        <v>157</v>
      </c>
      <c r="S85" s="37">
        <v>31101</v>
      </c>
      <c r="T85" s="38" t="s">
        <v>45</v>
      </c>
      <c r="U85" s="311">
        <v>7109256.6788692968</v>
      </c>
      <c r="V85" s="311">
        <v>6005164.2400000002</v>
      </c>
      <c r="W85" s="39">
        <v>7535812.0796014545</v>
      </c>
      <c r="X85" s="35"/>
      <c r="Y85" s="37">
        <v>31101</v>
      </c>
      <c r="Z85" s="38" t="s">
        <v>45</v>
      </c>
      <c r="AA85" s="205">
        <v>1468503</v>
      </c>
      <c r="AB85" s="205">
        <v>740998.9</v>
      </c>
      <c r="AC85" s="51">
        <v>1425343</v>
      </c>
      <c r="AD85" s="52" t="s">
        <v>158</v>
      </c>
      <c r="AE85" s="37">
        <v>31101</v>
      </c>
      <c r="AF85" s="38" t="s">
        <v>45</v>
      </c>
      <c r="AG85" s="329">
        <v>38727483.6752</v>
      </c>
      <c r="AH85" s="329">
        <v>24920139.969999999</v>
      </c>
      <c r="AI85" s="54">
        <v>37589266.370199628</v>
      </c>
    </row>
    <row r="86" spans="1:35" s="6" customFormat="1" ht="11.25">
      <c r="A86" s="37">
        <v>31201</v>
      </c>
      <c r="B86" s="38" t="s">
        <v>46</v>
      </c>
      <c r="C86" s="307">
        <f t="shared" si="6"/>
        <v>4499.7</v>
      </c>
      <c r="D86" s="307">
        <f t="shared" ref="D86:D144" si="7">J86+P86+V86+AB86+AH86</f>
        <v>2700</v>
      </c>
      <c r="E86" s="382">
        <f t="shared" ref="E86:E116" si="8">K86+Q86+W86+AC86+AI86</f>
        <v>4156.26</v>
      </c>
      <c r="F86" s="7"/>
      <c r="G86" s="37">
        <v>31201</v>
      </c>
      <c r="H86" s="38" t="s">
        <v>46</v>
      </c>
      <c r="I86" s="307"/>
      <c r="J86" s="307"/>
      <c r="K86" s="39">
        <v>0</v>
      </c>
      <c r="L86" s="40"/>
      <c r="M86" s="37">
        <v>31201</v>
      </c>
      <c r="N86" s="38" t="s">
        <v>46</v>
      </c>
      <c r="O86" s="319"/>
      <c r="P86" s="319"/>
      <c r="Q86" s="39">
        <v>0</v>
      </c>
      <c r="R86" s="35"/>
      <c r="S86" s="37">
        <v>31201</v>
      </c>
      <c r="T86" s="38" t="s">
        <v>46</v>
      </c>
      <c r="U86" s="319">
        <v>0</v>
      </c>
      <c r="V86" s="319"/>
      <c r="W86" s="39">
        <v>0</v>
      </c>
      <c r="X86" s="35"/>
      <c r="Y86" s="37">
        <v>31201</v>
      </c>
      <c r="Z86" s="38" t="s">
        <v>46</v>
      </c>
      <c r="AA86" s="205">
        <v>0</v>
      </c>
      <c r="AB86" s="205"/>
      <c r="AC86" s="39">
        <v>0</v>
      </c>
      <c r="AD86" s="7"/>
      <c r="AE86" s="37">
        <v>31201</v>
      </c>
      <c r="AF86" s="38" t="s">
        <v>46</v>
      </c>
      <c r="AG86" s="327">
        <v>4499.7</v>
      </c>
      <c r="AH86" s="327">
        <v>2700</v>
      </c>
      <c r="AI86" s="42">
        <v>4156.26</v>
      </c>
    </row>
    <row r="87" spans="1:35" s="6" customFormat="1" ht="11.25">
      <c r="A87" s="37">
        <v>31301</v>
      </c>
      <c r="B87" s="38" t="s">
        <v>47</v>
      </c>
      <c r="C87" s="307">
        <f t="shared" si="6"/>
        <v>10320</v>
      </c>
      <c r="D87" s="307">
        <f t="shared" si="7"/>
        <v>6705.55</v>
      </c>
      <c r="E87" s="382">
        <f t="shared" si="8"/>
        <v>10320</v>
      </c>
      <c r="F87" s="7"/>
      <c r="G87" s="37">
        <v>31301</v>
      </c>
      <c r="H87" s="38" t="s">
        <v>47</v>
      </c>
      <c r="I87" s="307">
        <v>0</v>
      </c>
      <c r="J87" s="307"/>
      <c r="K87" s="39">
        <v>0</v>
      </c>
      <c r="L87" s="40"/>
      <c r="M87" s="37">
        <v>31301</v>
      </c>
      <c r="N87" s="38" t="s">
        <v>47</v>
      </c>
      <c r="O87" s="319"/>
      <c r="P87" s="319"/>
      <c r="Q87" s="39">
        <v>0</v>
      </c>
      <c r="R87" s="35"/>
      <c r="S87" s="37">
        <v>31301</v>
      </c>
      <c r="T87" s="38" t="s">
        <v>47</v>
      </c>
      <c r="U87" s="319">
        <v>0</v>
      </c>
      <c r="V87" s="319"/>
      <c r="W87" s="39">
        <v>0</v>
      </c>
      <c r="X87" s="35"/>
      <c r="Y87" s="37">
        <v>31301</v>
      </c>
      <c r="Z87" s="38" t="s">
        <v>47</v>
      </c>
      <c r="AA87" s="205">
        <v>0</v>
      </c>
      <c r="AB87" s="205"/>
      <c r="AC87" s="39">
        <v>0</v>
      </c>
      <c r="AD87" s="7"/>
      <c r="AE87" s="37">
        <v>31301</v>
      </c>
      <c r="AF87" s="38" t="s">
        <v>47</v>
      </c>
      <c r="AG87" s="327">
        <v>10320</v>
      </c>
      <c r="AH87" s="327">
        <v>6705.55</v>
      </c>
      <c r="AI87" s="42">
        <v>10320</v>
      </c>
    </row>
    <row r="88" spans="1:35" s="6" customFormat="1" ht="11.25">
      <c r="A88" s="37">
        <v>31401</v>
      </c>
      <c r="B88" s="38" t="s">
        <v>48</v>
      </c>
      <c r="C88" s="307">
        <f t="shared" si="6"/>
        <v>304510.68341397279</v>
      </c>
      <c r="D88" s="307">
        <f t="shared" si="7"/>
        <v>249312.86000000002</v>
      </c>
      <c r="E88" s="382">
        <f t="shared" si="8"/>
        <v>332380.31995214458</v>
      </c>
      <c r="F88" s="7"/>
      <c r="G88" s="37">
        <v>31401</v>
      </c>
      <c r="H88" s="38" t="s">
        <v>48</v>
      </c>
      <c r="I88" s="311">
        <v>219445.27086470075</v>
      </c>
      <c r="J88" s="311">
        <v>194797.65</v>
      </c>
      <c r="K88" s="39">
        <v>241389.79795117083</v>
      </c>
      <c r="L88" s="40"/>
      <c r="M88" s="37">
        <v>31401</v>
      </c>
      <c r="N88" s="38" t="s">
        <v>48</v>
      </c>
      <c r="O88" s="311">
        <v>43310.341668635316</v>
      </c>
      <c r="P88" s="311">
        <v>29834.03</v>
      </c>
      <c r="Q88" s="39">
        <v>47641.375835498846</v>
      </c>
      <c r="R88" s="35"/>
      <c r="S88" s="37">
        <v>31401</v>
      </c>
      <c r="T88" s="38" t="s">
        <v>48</v>
      </c>
      <c r="U88" s="311">
        <v>20623.462648765919</v>
      </c>
      <c r="V88" s="311">
        <v>10676.64</v>
      </c>
      <c r="W88" s="39">
        <v>21860.870407691873</v>
      </c>
      <c r="X88" s="35"/>
      <c r="Y88" s="37">
        <v>31401</v>
      </c>
      <c r="Z88" s="38" t="s">
        <v>48</v>
      </c>
      <c r="AA88" s="311">
        <v>5944.5054318708317</v>
      </c>
      <c r="AB88" s="311">
        <v>4227</v>
      </c>
      <c r="AC88" s="39">
        <v>6301.1757577830813</v>
      </c>
      <c r="AD88" s="7"/>
      <c r="AE88" s="37">
        <v>31401</v>
      </c>
      <c r="AF88" s="38" t="s">
        <v>48</v>
      </c>
      <c r="AG88" s="327">
        <v>15187.102800000001</v>
      </c>
      <c r="AH88" s="327">
        <v>9777.5400000000009</v>
      </c>
      <c r="AI88" s="42">
        <v>15187.1</v>
      </c>
    </row>
    <row r="89" spans="1:35" s="6" customFormat="1" ht="11.25">
      <c r="A89" s="37">
        <v>31501</v>
      </c>
      <c r="B89" s="38" t="s">
        <v>49</v>
      </c>
      <c r="C89" s="307">
        <f t="shared" si="6"/>
        <v>0</v>
      </c>
      <c r="D89" s="307">
        <f t="shared" si="7"/>
        <v>0</v>
      </c>
      <c r="E89" s="382">
        <f t="shared" si="8"/>
        <v>0</v>
      </c>
      <c r="F89" s="7"/>
      <c r="G89" s="37">
        <v>31501</v>
      </c>
      <c r="H89" s="38" t="s">
        <v>49</v>
      </c>
      <c r="I89" s="307">
        <v>0</v>
      </c>
      <c r="J89" s="307"/>
      <c r="K89" s="39">
        <v>0</v>
      </c>
      <c r="L89" s="40"/>
      <c r="M89" s="37">
        <v>31501</v>
      </c>
      <c r="N89" s="38" t="s">
        <v>49</v>
      </c>
      <c r="O89" s="319">
        <v>0</v>
      </c>
      <c r="P89" s="319"/>
      <c r="Q89" s="39">
        <v>0</v>
      </c>
      <c r="R89" s="35"/>
      <c r="S89" s="37">
        <v>31501</v>
      </c>
      <c r="T89" s="38" t="s">
        <v>49</v>
      </c>
      <c r="U89" s="319">
        <v>0</v>
      </c>
      <c r="V89" s="319"/>
      <c r="W89" s="39">
        <v>0</v>
      </c>
      <c r="X89" s="35"/>
      <c r="Y89" s="37">
        <v>31501</v>
      </c>
      <c r="Z89" s="38" t="s">
        <v>49</v>
      </c>
      <c r="AA89" s="205">
        <v>0</v>
      </c>
      <c r="AB89" s="205"/>
      <c r="AC89" s="39">
        <v>0</v>
      </c>
      <c r="AD89" s="7"/>
      <c r="AE89" s="37">
        <v>31501</v>
      </c>
      <c r="AF89" s="38" t="s">
        <v>49</v>
      </c>
      <c r="AG89" s="327"/>
      <c r="AH89" s="327"/>
      <c r="AI89" s="42"/>
    </row>
    <row r="90" spans="1:35" s="6" customFormat="1" ht="22.5">
      <c r="A90" s="37">
        <v>31601</v>
      </c>
      <c r="B90" s="38" t="s">
        <v>50</v>
      </c>
      <c r="C90" s="307">
        <f t="shared" si="6"/>
        <v>0</v>
      </c>
      <c r="D90" s="307">
        <f t="shared" si="7"/>
        <v>0</v>
      </c>
      <c r="E90" s="382">
        <f t="shared" si="8"/>
        <v>0</v>
      </c>
      <c r="F90" s="7"/>
      <c r="G90" s="37">
        <v>31601</v>
      </c>
      <c r="H90" s="38" t="s">
        <v>50</v>
      </c>
      <c r="I90" s="307">
        <v>0</v>
      </c>
      <c r="J90" s="307"/>
      <c r="K90" s="39">
        <v>0</v>
      </c>
      <c r="L90" s="40"/>
      <c r="M90" s="37">
        <v>31601</v>
      </c>
      <c r="N90" s="38" t="s">
        <v>50</v>
      </c>
      <c r="O90" s="319">
        <v>0</v>
      </c>
      <c r="P90" s="319"/>
      <c r="Q90" s="39">
        <v>0</v>
      </c>
      <c r="R90" s="35"/>
      <c r="S90" s="37">
        <v>31601</v>
      </c>
      <c r="T90" s="38" t="s">
        <v>50</v>
      </c>
      <c r="U90" s="319">
        <v>0</v>
      </c>
      <c r="V90" s="319"/>
      <c r="W90" s="39">
        <v>0</v>
      </c>
      <c r="X90" s="35"/>
      <c r="Y90" s="37">
        <v>31601</v>
      </c>
      <c r="Z90" s="38" t="s">
        <v>50</v>
      </c>
      <c r="AA90" s="205">
        <v>0</v>
      </c>
      <c r="AB90" s="205"/>
      <c r="AC90" s="39">
        <v>0</v>
      </c>
      <c r="AD90" s="7"/>
      <c r="AE90" s="37">
        <v>31601</v>
      </c>
      <c r="AF90" s="38" t="s">
        <v>50</v>
      </c>
      <c r="AG90" s="327"/>
      <c r="AH90" s="327"/>
      <c r="AI90" s="42"/>
    </row>
    <row r="91" spans="1:35" s="6" customFormat="1" ht="33.75">
      <c r="A91" s="37">
        <v>31701</v>
      </c>
      <c r="B91" s="38" t="s">
        <v>51</v>
      </c>
      <c r="C91" s="307">
        <f t="shared" si="6"/>
        <v>230179.50885809446</v>
      </c>
      <c r="D91" s="307">
        <f t="shared" si="7"/>
        <v>84753.47</v>
      </c>
      <c r="E91" s="382">
        <f t="shared" si="8"/>
        <v>248941.96295184779</v>
      </c>
      <c r="F91" s="7"/>
      <c r="G91" s="37">
        <v>31701</v>
      </c>
      <c r="H91" s="38" t="s">
        <v>51</v>
      </c>
      <c r="I91" s="311">
        <v>27369</v>
      </c>
      <c r="J91" s="311">
        <v>32193.87</v>
      </c>
      <c r="K91" s="39">
        <v>40105.9</v>
      </c>
      <c r="L91" s="40"/>
      <c r="M91" s="37">
        <v>31701</v>
      </c>
      <c r="N91" s="38" t="s">
        <v>51</v>
      </c>
      <c r="O91" s="311">
        <v>14409.739056691824</v>
      </c>
      <c r="P91" s="311">
        <v>9280</v>
      </c>
      <c r="Q91" s="39">
        <v>15850.712962361005</v>
      </c>
      <c r="R91" s="35"/>
      <c r="S91" s="37">
        <v>31701</v>
      </c>
      <c r="T91" s="38" t="s">
        <v>51</v>
      </c>
      <c r="U91" s="311">
        <v>76409.669801402619</v>
      </c>
      <c r="V91" s="311">
        <v>9280</v>
      </c>
      <c r="W91" s="39">
        <v>80994.24998948678</v>
      </c>
      <c r="X91" s="35"/>
      <c r="Y91" s="37">
        <v>31701</v>
      </c>
      <c r="Z91" s="38" t="s">
        <v>51</v>
      </c>
      <c r="AA91" s="205">
        <v>0</v>
      </c>
      <c r="AB91" s="205"/>
      <c r="AC91" s="39">
        <v>0</v>
      </c>
      <c r="AD91" s="7"/>
      <c r="AE91" s="37">
        <v>31701</v>
      </c>
      <c r="AF91" s="38" t="s">
        <v>51</v>
      </c>
      <c r="AG91" s="327">
        <v>111991.1</v>
      </c>
      <c r="AH91" s="327">
        <v>33999.599999999999</v>
      </c>
      <c r="AI91" s="42">
        <v>111991.1</v>
      </c>
    </row>
    <row r="92" spans="1:35" s="6" customFormat="1" ht="11.25">
      <c r="A92" s="37">
        <v>31801</v>
      </c>
      <c r="B92" s="38" t="s">
        <v>52</v>
      </c>
      <c r="C92" s="307">
        <f t="shared" si="6"/>
        <v>9444.3891586817335</v>
      </c>
      <c r="D92" s="307">
        <f t="shared" si="7"/>
        <v>341</v>
      </c>
      <c r="E92" s="382">
        <f t="shared" si="8"/>
        <v>9454.8480745499091</v>
      </c>
      <c r="F92" s="7"/>
      <c r="G92" s="37">
        <v>31801</v>
      </c>
      <c r="H92" s="38" t="s">
        <v>52</v>
      </c>
      <c r="I92" s="311">
        <v>5437.4668907087162</v>
      </c>
      <c r="J92" s="311">
        <v>230</v>
      </c>
      <c r="K92" s="39">
        <v>5981.2135797795881</v>
      </c>
      <c r="L92" s="40"/>
      <c r="M92" s="37">
        <v>31801</v>
      </c>
      <c r="N92" s="38" t="s">
        <v>52</v>
      </c>
      <c r="O92" s="311">
        <v>161.12226797301827</v>
      </c>
      <c r="P92" s="311"/>
      <c r="Q92" s="39">
        <v>177.23449477032008</v>
      </c>
      <c r="R92" s="35"/>
      <c r="S92" s="37">
        <v>31801</v>
      </c>
      <c r="T92" s="38" t="s">
        <v>52</v>
      </c>
      <c r="U92" s="319">
        <v>0</v>
      </c>
      <c r="V92" s="319"/>
      <c r="W92" s="39">
        <v>0</v>
      </c>
      <c r="X92" s="35"/>
      <c r="Y92" s="37">
        <v>31801</v>
      </c>
      <c r="Z92" s="38" t="s">
        <v>52</v>
      </c>
      <c r="AA92" s="205">
        <v>0</v>
      </c>
      <c r="AB92" s="205"/>
      <c r="AC92" s="39">
        <v>0</v>
      </c>
      <c r="AD92" s="7"/>
      <c r="AE92" s="37">
        <v>31801</v>
      </c>
      <c r="AF92" s="38" t="s">
        <v>52</v>
      </c>
      <c r="AG92" s="327">
        <v>3845.7999999999997</v>
      </c>
      <c r="AH92" s="327">
        <v>111</v>
      </c>
      <c r="AI92" s="42">
        <v>3296.4</v>
      </c>
    </row>
    <row r="93" spans="1:35" s="6" customFormat="1" ht="11.25">
      <c r="A93" s="37">
        <v>32101</v>
      </c>
      <c r="B93" s="38" t="s">
        <v>53</v>
      </c>
      <c r="C93" s="307">
        <f t="shared" si="6"/>
        <v>596017.94536813302</v>
      </c>
      <c r="D93" s="307">
        <f t="shared" si="7"/>
        <v>232000</v>
      </c>
      <c r="E93" s="382">
        <f t="shared" si="8"/>
        <v>631779.02209022106</v>
      </c>
      <c r="F93" s="7"/>
      <c r="G93" s="37">
        <v>32101</v>
      </c>
      <c r="H93" s="38" t="s">
        <v>53</v>
      </c>
      <c r="I93" s="307">
        <v>0</v>
      </c>
      <c r="J93" s="307"/>
      <c r="K93" s="39">
        <v>0</v>
      </c>
      <c r="L93" s="40"/>
      <c r="M93" s="37">
        <v>32101</v>
      </c>
      <c r="N93" s="38" t="s">
        <v>53</v>
      </c>
      <c r="O93" s="319">
        <v>0</v>
      </c>
      <c r="P93" s="319"/>
      <c r="Q93" s="39">
        <v>0</v>
      </c>
      <c r="R93" s="35"/>
      <c r="S93" s="37">
        <v>32101</v>
      </c>
      <c r="T93" s="38" t="s">
        <v>53</v>
      </c>
      <c r="U93" s="311">
        <v>596017.94536813302</v>
      </c>
      <c r="V93" s="311">
        <v>232000</v>
      </c>
      <c r="W93" s="39">
        <v>631779.02209022106</v>
      </c>
      <c r="X93" s="35"/>
      <c r="Y93" s="37">
        <v>32101</v>
      </c>
      <c r="Z93" s="38" t="s">
        <v>53</v>
      </c>
      <c r="AA93" s="205">
        <v>0</v>
      </c>
      <c r="AB93" s="205"/>
      <c r="AC93" s="39">
        <v>0</v>
      </c>
      <c r="AD93" s="7"/>
      <c r="AE93" s="37">
        <v>32101</v>
      </c>
      <c r="AF93" s="38" t="s">
        <v>53</v>
      </c>
      <c r="AG93" s="327"/>
      <c r="AH93" s="327"/>
      <c r="AI93" s="42"/>
    </row>
    <row r="94" spans="1:35" s="6" customFormat="1" ht="11.25">
      <c r="A94" s="37">
        <v>32201</v>
      </c>
      <c r="B94" s="38" t="s">
        <v>54</v>
      </c>
      <c r="C94" s="307">
        <f t="shared" si="6"/>
        <v>2183272.2726400984</v>
      </c>
      <c r="D94" s="307">
        <f t="shared" si="7"/>
        <v>1378877.39</v>
      </c>
      <c r="E94" s="382">
        <f t="shared" si="8"/>
        <v>2339431.2326507168</v>
      </c>
      <c r="F94" s="7"/>
      <c r="G94" s="37">
        <v>32201</v>
      </c>
      <c r="H94" s="38" t="s">
        <v>54</v>
      </c>
      <c r="I94" s="311">
        <v>892651.43367369648</v>
      </c>
      <c r="J94" s="311">
        <v>546120.84</v>
      </c>
      <c r="K94" s="39">
        <v>981916.57704106614</v>
      </c>
      <c r="L94" s="40"/>
      <c r="M94" s="37">
        <v>32201</v>
      </c>
      <c r="N94" s="38" t="s">
        <v>54</v>
      </c>
      <c r="O94" s="311">
        <v>474648.40763161069</v>
      </c>
      <c r="P94" s="311">
        <v>287848.75</v>
      </c>
      <c r="Q94" s="39">
        <v>522113.24839477177</v>
      </c>
      <c r="R94" s="35"/>
      <c r="S94" s="37">
        <v>32201</v>
      </c>
      <c r="T94" s="38" t="s">
        <v>54</v>
      </c>
      <c r="U94" s="311">
        <v>292479.44405852916</v>
      </c>
      <c r="V94" s="311">
        <v>110400</v>
      </c>
      <c r="W94" s="39">
        <v>310028.21070204093</v>
      </c>
      <c r="X94" s="35"/>
      <c r="Y94" s="37">
        <v>32201</v>
      </c>
      <c r="Z94" s="38" t="s">
        <v>54</v>
      </c>
      <c r="AA94" s="311">
        <v>31339.987276262142</v>
      </c>
      <c r="AB94" s="311"/>
      <c r="AC94" s="39">
        <v>33220.386512837867</v>
      </c>
      <c r="AD94" s="7"/>
      <c r="AE94" s="37">
        <v>32201</v>
      </c>
      <c r="AF94" s="38" t="s">
        <v>54</v>
      </c>
      <c r="AG94" s="327">
        <v>492153</v>
      </c>
      <c r="AH94" s="327">
        <v>434507.8</v>
      </c>
      <c r="AI94" s="42">
        <v>492152.81</v>
      </c>
    </row>
    <row r="95" spans="1:35" s="6" customFormat="1" ht="22.5">
      <c r="A95" s="37">
        <v>32301</v>
      </c>
      <c r="B95" s="38" t="s">
        <v>55</v>
      </c>
      <c r="C95" s="307">
        <f t="shared" si="6"/>
        <v>31698.352189013938</v>
      </c>
      <c r="D95" s="307">
        <f t="shared" si="7"/>
        <v>0</v>
      </c>
      <c r="E95" s="382">
        <f t="shared" si="8"/>
        <v>34868.187407915335</v>
      </c>
      <c r="F95" s="7"/>
      <c r="G95" s="37">
        <v>32301</v>
      </c>
      <c r="H95" s="38" t="s">
        <v>55</v>
      </c>
      <c r="I95" s="311">
        <v>31698.352189013938</v>
      </c>
      <c r="J95" s="311"/>
      <c r="K95" s="39">
        <v>34868.187407915335</v>
      </c>
      <c r="L95" s="40"/>
      <c r="M95" s="37">
        <v>32301</v>
      </c>
      <c r="N95" s="38" t="s">
        <v>55</v>
      </c>
      <c r="O95" s="319">
        <v>0</v>
      </c>
      <c r="P95" s="319"/>
      <c r="Q95" s="39">
        <v>0</v>
      </c>
      <c r="R95" s="35"/>
      <c r="S95" s="37">
        <v>32301</v>
      </c>
      <c r="T95" s="38" t="s">
        <v>55</v>
      </c>
      <c r="U95" s="319">
        <v>0</v>
      </c>
      <c r="V95" s="319"/>
      <c r="W95" s="39">
        <v>0</v>
      </c>
      <c r="X95" s="35"/>
      <c r="Y95" s="37">
        <v>32301</v>
      </c>
      <c r="Z95" s="38" t="s">
        <v>55</v>
      </c>
      <c r="AA95" s="205">
        <v>0</v>
      </c>
      <c r="AB95" s="205"/>
      <c r="AC95" s="39">
        <v>0</v>
      </c>
      <c r="AD95" s="7"/>
      <c r="AE95" s="37">
        <v>32301</v>
      </c>
      <c r="AF95" s="38" t="s">
        <v>55</v>
      </c>
      <c r="AG95" s="327"/>
      <c r="AH95" s="327"/>
      <c r="AI95" s="42"/>
    </row>
    <row r="96" spans="1:35" s="6" customFormat="1" ht="22.5">
      <c r="A96" s="37">
        <v>32302</v>
      </c>
      <c r="B96" s="38" t="s">
        <v>56</v>
      </c>
      <c r="C96" s="307">
        <f t="shared" si="6"/>
        <v>719391.4858110724</v>
      </c>
      <c r="D96" s="307">
        <f t="shared" si="7"/>
        <v>655734.08000000007</v>
      </c>
      <c r="E96" s="382">
        <f t="shared" si="8"/>
        <v>784828.78844215767</v>
      </c>
      <c r="F96" s="7"/>
      <c r="G96" s="37">
        <v>32302</v>
      </c>
      <c r="H96" s="38" t="s">
        <v>56</v>
      </c>
      <c r="I96" s="311">
        <v>377074.1040390823</v>
      </c>
      <c r="J96" s="311">
        <v>453856.96</v>
      </c>
      <c r="K96" s="39">
        <v>414781.51444299053</v>
      </c>
      <c r="L96" s="40"/>
      <c r="M96" s="37">
        <v>32302</v>
      </c>
      <c r="N96" s="38" t="s">
        <v>56</v>
      </c>
      <c r="O96" s="311">
        <v>225707.23302144543</v>
      </c>
      <c r="P96" s="311">
        <v>141557.12</v>
      </c>
      <c r="Q96" s="39">
        <v>248277.95632358995</v>
      </c>
      <c r="R96" s="35"/>
      <c r="S96" s="37">
        <v>32302</v>
      </c>
      <c r="T96" s="38" t="s">
        <v>56</v>
      </c>
      <c r="U96" s="311">
        <v>85986.148750544628</v>
      </c>
      <c r="V96" s="311">
        <v>40832</v>
      </c>
      <c r="W96" s="39">
        <v>91145.317675577302</v>
      </c>
      <c r="X96" s="35"/>
      <c r="Y96" s="37">
        <v>32302</v>
      </c>
      <c r="Z96" s="38" t="s">
        <v>56</v>
      </c>
      <c r="AA96" s="205">
        <v>0</v>
      </c>
      <c r="AB96" s="205"/>
      <c r="AC96" s="39">
        <v>0</v>
      </c>
      <c r="AD96" s="7"/>
      <c r="AE96" s="37">
        <v>32302</v>
      </c>
      <c r="AF96" s="38" t="s">
        <v>56</v>
      </c>
      <c r="AG96" s="327">
        <v>30624</v>
      </c>
      <c r="AH96" s="327">
        <v>19488</v>
      </c>
      <c r="AI96" s="42">
        <v>30624</v>
      </c>
    </row>
    <row r="97" spans="1:35" s="6" customFormat="1" ht="22.5">
      <c r="A97" s="37">
        <v>32501</v>
      </c>
      <c r="B97" s="38" t="s">
        <v>57</v>
      </c>
      <c r="C97" s="307">
        <f t="shared" si="6"/>
        <v>0</v>
      </c>
      <c r="D97" s="307">
        <f t="shared" si="7"/>
        <v>0</v>
      </c>
      <c r="E97" s="382">
        <f t="shared" si="8"/>
        <v>0</v>
      </c>
      <c r="F97" s="7"/>
      <c r="G97" s="37">
        <v>32501</v>
      </c>
      <c r="H97" s="38" t="s">
        <v>57</v>
      </c>
      <c r="I97" s="307">
        <v>0</v>
      </c>
      <c r="J97" s="307"/>
      <c r="K97" s="39">
        <v>0</v>
      </c>
      <c r="L97" s="40"/>
      <c r="M97" s="37">
        <v>32501</v>
      </c>
      <c r="N97" s="38" t="s">
        <v>57</v>
      </c>
      <c r="O97" s="319">
        <v>0</v>
      </c>
      <c r="P97" s="319"/>
      <c r="Q97" s="39">
        <v>0</v>
      </c>
      <c r="R97" s="35"/>
      <c r="S97" s="37">
        <v>32501</v>
      </c>
      <c r="T97" s="38" t="s">
        <v>57</v>
      </c>
      <c r="U97" s="319">
        <v>0</v>
      </c>
      <c r="V97" s="319"/>
      <c r="W97" s="39">
        <v>0</v>
      </c>
      <c r="X97" s="35"/>
      <c r="Y97" s="37">
        <v>32501</v>
      </c>
      <c r="Z97" s="38" t="s">
        <v>57</v>
      </c>
      <c r="AA97" s="205">
        <v>0</v>
      </c>
      <c r="AB97" s="205"/>
      <c r="AC97" s="39">
        <v>0</v>
      </c>
      <c r="AD97" s="7"/>
      <c r="AE97" s="37">
        <v>32501</v>
      </c>
      <c r="AF97" s="38" t="s">
        <v>57</v>
      </c>
      <c r="AG97" s="327"/>
      <c r="AH97" s="327"/>
      <c r="AI97" s="42"/>
    </row>
    <row r="98" spans="1:35" s="6" customFormat="1" ht="22.5">
      <c r="A98" s="37">
        <v>32601</v>
      </c>
      <c r="B98" s="38" t="s">
        <v>58</v>
      </c>
      <c r="C98" s="307">
        <f t="shared" si="6"/>
        <v>1735503.5389947654</v>
      </c>
      <c r="D98" s="307">
        <f t="shared" si="7"/>
        <v>704595.94</v>
      </c>
      <c r="E98" s="382">
        <f t="shared" si="8"/>
        <v>1744461.8690970615</v>
      </c>
      <c r="F98" s="7"/>
      <c r="G98" s="37">
        <v>32601</v>
      </c>
      <c r="H98" s="38" t="s">
        <v>58</v>
      </c>
      <c r="I98" s="311">
        <v>854824.51466531388</v>
      </c>
      <c r="J98" s="311">
        <v>268076</v>
      </c>
      <c r="K98" s="39">
        <v>940306.96613184526</v>
      </c>
      <c r="L98" s="40"/>
      <c r="M98" s="37">
        <v>32601</v>
      </c>
      <c r="N98" s="38" t="s">
        <v>58</v>
      </c>
      <c r="O98" s="311">
        <v>33801.874399933899</v>
      </c>
      <c r="P98" s="311"/>
      <c r="Q98" s="39">
        <v>37182.061839927286</v>
      </c>
      <c r="R98" s="35"/>
      <c r="S98" s="37">
        <v>32601</v>
      </c>
      <c r="T98" s="38" t="s">
        <v>58</v>
      </c>
      <c r="U98" s="311">
        <v>163597.01992951788</v>
      </c>
      <c r="V98" s="311">
        <v>158862</v>
      </c>
      <c r="W98" s="39">
        <v>173412.84112528895</v>
      </c>
      <c r="X98" s="35"/>
      <c r="Y98" s="37">
        <v>32601</v>
      </c>
      <c r="Z98" s="38" t="s">
        <v>58</v>
      </c>
      <c r="AA98" s="205">
        <v>0</v>
      </c>
      <c r="AB98" s="205"/>
      <c r="AC98" s="39">
        <v>0</v>
      </c>
      <c r="AD98" s="7"/>
      <c r="AE98" s="37">
        <v>32601</v>
      </c>
      <c r="AF98" s="38" t="s">
        <v>58</v>
      </c>
      <c r="AG98" s="327">
        <v>683280.13</v>
      </c>
      <c r="AH98" s="327">
        <v>277657.94</v>
      </c>
      <c r="AI98" s="42">
        <v>593560</v>
      </c>
    </row>
    <row r="99" spans="1:35" s="6" customFormat="1" ht="11.25">
      <c r="A99" s="37">
        <v>32901</v>
      </c>
      <c r="B99" s="38" t="s">
        <v>59</v>
      </c>
      <c r="C99" s="307">
        <f t="shared" si="6"/>
        <v>8956.8904948483978</v>
      </c>
      <c r="D99" s="307">
        <f t="shared" si="7"/>
        <v>0</v>
      </c>
      <c r="E99" s="382">
        <f t="shared" si="8"/>
        <v>9494.3039245393011</v>
      </c>
      <c r="F99" s="7"/>
      <c r="G99" s="37">
        <v>32901</v>
      </c>
      <c r="H99" s="38" t="s">
        <v>59</v>
      </c>
      <c r="I99" s="307">
        <v>0</v>
      </c>
      <c r="J99" s="307"/>
      <c r="K99" s="39">
        <v>0</v>
      </c>
      <c r="L99" s="40"/>
      <c r="M99" s="37">
        <v>32901</v>
      </c>
      <c r="N99" s="38" t="s">
        <v>59</v>
      </c>
      <c r="O99" s="319">
        <v>0</v>
      </c>
      <c r="P99" s="319"/>
      <c r="Q99" s="39">
        <v>0</v>
      </c>
      <c r="R99" s="35"/>
      <c r="S99" s="37">
        <v>32901</v>
      </c>
      <c r="T99" s="38" t="s">
        <v>59</v>
      </c>
      <c r="U99" s="311">
        <v>8956.8904948483978</v>
      </c>
      <c r="V99" s="311"/>
      <c r="W99" s="39">
        <v>9494.3039245393011</v>
      </c>
      <c r="X99" s="35"/>
      <c r="Y99" s="37">
        <v>32901</v>
      </c>
      <c r="Z99" s="38" t="s">
        <v>59</v>
      </c>
      <c r="AA99" s="205">
        <v>0</v>
      </c>
      <c r="AB99" s="205"/>
      <c r="AC99" s="39">
        <v>0</v>
      </c>
      <c r="AD99" s="7"/>
      <c r="AE99" s="37">
        <v>32901</v>
      </c>
      <c r="AF99" s="38" t="s">
        <v>59</v>
      </c>
      <c r="AG99" s="327"/>
      <c r="AH99" s="327"/>
      <c r="AI99" s="42"/>
    </row>
    <row r="100" spans="1:35" s="6" customFormat="1" ht="22.5">
      <c r="A100" s="37">
        <v>33101</v>
      </c>
      <c r="B100" s="38" t="s">
        <v>60</v>
      </c>
      <c r="C100" s="307">
        <f t="shared" si="6"/>
        <v>1835573.413311413</v>
      </c>
      <c r="D100" s="307">
        <f t="shared" si="7"/>
        <v>1269495.8800000001</v>
      </c>
      <c r="E100" s="382">
        <f t="shared" si="8"/>
        <v>1959071.2479851497</v>
      </c>
      <c r="F100" s="7"/>
      <c r="G100" s="37">
        <v>33101</v>
      </c>
      <c r="H100" s="38" t="s">
        <v>60</v>
      </c>
      <c r="I100" s="311">
        <v>1223402.2458129656</v>
      </c>
      <c r="J100" s="311">
        <v>932404.78</v>
      </c>
      <c r="K100" s="39">
        <v>1345742.4703942621</v>
      </c>
      <c r="L100" s="40"/>
      <c r="M100" s="37">
        <v>33101</v>
      </c>
      <c r="N100" s="38" t="s">
        <v>60</v>
      </c>
      <c r="O100" s="311">
        <v>56283.501063329939</v>
      </c>
      <c r="P100" s="311">
        <v>68311.66</v>
      </c>
      <c r="Q100" s="39">
        <v>81911.851169662928</v>
      </c>
      <c r="R100" s="35"/>
      <c r="S100" s="37">
        <v>33101</v>
      </c>
      <c r="T100" s="38" t="s">
        <v>60</v>
      </c>
      <c r="U100" s="311">
        <v>175487.66643511748</v>
      </c>
      <c r="V100" s="311">
        <v>32915.160000000003</v>
      </c>
      <c r="W100" s="39">
        <v>186016.92642122455</v>
      </c>
      <c r="X100" s="35"/>
      <c r="Y100" s="37">
        <v>33101</v>
      </c>
      <c r="Z100" s="38" t="s">
        <v>60</v>
      </c>
      <c r="AA100" s="205">
        <v>0</v>
      </c>
      <c r="AB100" s="205">
        <v>15107</v>
      </c>
      <c r="AC100" s="39">
        <v>16000</v>
      </c>
      <c r="AD100" s="7"/>
      <c r="AE100" s="37">
        <v>33101</v>
      </c>
      <c r="AF100" s="38" t="s">
        <v>60</v>
      </c>
      <c r="AG100" s="327">
        <v>380400</v>
      </c>
      <c r="AH100" s="327">
        <v>220757.28</v>
      </c>
      <c r="AI100" s="42">
        <v>329400</v>
      </c>
    </row>
    <row r="101" spans="1:35" s="6" customFormat="1" ht="33.75">
      <c r="A101" s="37">
        <v>33201</v>
      </c>
      <c r="B101" s="38" t="s">
        <v>61</v>
      </c>
      <c r="C101" s="307">
        <f t="shared" si="6"/>
        <v>562004.97529560095</v>
      </c>
      <c r="D101" s="307">
        <f t="shared" si="7"/>
        <v>248393.41999999998</v>
      </c>
      <c r="E101" s="382">
        <f t="shared" si="8"/>
        <v>659782.0648362753</v>
      </c>
      <c r="F101" s="7"/>
      <c r="G101" s="37">
        <v>33201</v>
      </c>
      <c r="H101" s="38" t="s">
        <v>61</v>
      </c>
      <c r="I101" s="311">
        <v>311984.25544020371</v>
      </c>
      <c r="J101" s="311">
        <v>187626.96</v>
      </c>
      <c r="K101" s="39">
        <v>343182.68098422408</v>
      </c>
      <c r="L101" s="40"/>
      <c r="M101" s="37">
        <v>33201</v>
      </c>
      <c r="N101" s="38" t="s">
        <v>61</v>
      </c>
      <c r="O101" s="311">
        <v>39435.520133256221</v>
      </c>
      <c r="P101" s="311">
        <v>60766.46</v>
      </c>
      <c r="Q101" s="39">
        <v>93379.072146581835</v>
      </c>
      <c r="R101" s="35"/>
      <c r="S101" s="37">
        <v>33201</v>
      </c>
      <c r="T101" s="38" t="s">
        <v>61</v>
      </c>
      <c r="U101" s="311">
        <v>210585.199722141</v>
      </c>
      <c r="V101" s="311"/>
      <c r="W101" s="39">
        <v>223220.31170546944</v>
      </c>
      <c r="X101" s="35"/>
      <c r="Y101" s="37">
        <v>33201</v>
      </c>
      <c r="Z101" s="38" t="s">
        <v>61</v>
      </c>
      <c r="AA101" s="205">
        <v>0</v>
      </c>
      <c r="AB101" s="205"/>
      <c r="AC101" s="39">
        <v>0</v>
      </c>
      <c r="AD101" s="7"/>
      <c r="AE101" s="37">
        <v>33201</v>
      </c>
      <c r="AF101" s="38" t="s">
        <v>61</v>
      </c>
      <c r="AG101" s="327"/>
      <c r="AH101" s="327"/>
      <c r="AI101" s="42"/>
    </row>
    <row r="102" spans="1:35" s="6" customFormat="1" ht="11.25">
      <c r="A102" s="37">
        <v>33301</v>
      </c>
      <c r="B102" s="38" t="s">
        <v>62</v>
      </c>
      <c r="C102" s="307">
        <f t="shared" si="6"/>
        <v>685967.02885527606</v>
      </c>
      <c r="D102" s="307">
        <f t="shared" si="7"/>
        <v>365947.99</v>
      </c>
      <c r="E102" s="382">
        <f t="shared" si="8"/>
        <v>755204.38953093067</v>
      </c>
      <c r="F102" s="7"/>
      <c r="G102" s="37">
        <v>33301</v>
      </c>
      <c r="H102" s="38" t="s">
        <v>62</v>
      </c>
      <c r="I102" s="311">
        <v>251983.47360845271</v>
      </c>
      <c r="J102" s="311">
        <v>300639.99</v>
      </c>
      <c r="K102" s="39">
        <v>277181.82096929796</v>
      </c>
      <c r="L102" s="40"/>
      <c r="M102" s="37">
        <v>33301</v>
      </c>
      <c r="N102" s="38" t="s">
        <v>62</v>
      </c>
      <c r="O102" s="319">
        <v>200000</v>
      </c>
      <c r="P102" s="319">
        <v>12470</v>
      </c>
      <c r="Q102" s="39">
        <v>220000</v>
      </c>
      <c r="R102" s="35"/>
      <c r="S102" s="37">
        <v>33301</v>
      </c>
      <c r="T102" s="38" t="s">
        <v>62</v>
      </c>
      <c r="U102" s="311">
        <v>233983.55524682332</v>
      </c>
      <c r="V102" s="311">
        <v>46168</v>
      </c>
      <c r="W102" s="39">
        <v>248022.56856163271</v>
      </c>
      <c r="X102" s="35"/>
      <c r="Y102" s="37">
        <v>33301</v>
      </c>
      <c r="Z102" s="38" t="s">
        <v>62</v>
      </c>
      <c r="AA102" s="205">
        <v>0</v>
      </c>
      <c r="AB102" s="205">
        <v>6670</v>
      </c>
      <c r="AC102" s="39">
        <v>10000</v>
      </c>
      <c r="AD102" s="7"/>
      <c r="AE102" s="37">
        <v>33301</v>
      </c>
      <c r="AF102" s="38" t="s">
        <v>62</v>
      </c>
      <c r="AG102" s="327"/>
      <c r="AH102" s="327"/>
      <c r="AI102" s="42"/>
    </row>
    <row r="103" spans="1:35" s="6" customFormat="1" ht="11.25">
      <c r="A103" s="37">
        <v>33302</v>
      </c>
      <c r="B103" s="38" t="s">
        <v>63</v>
      </c>
      <c r="C103" s="307">
        <f t="shared" si="6"/>
        <v>0</v>
      </c>
      <c r="D103" s="307">
        <f t="shared" si="7"/>
        <v>0</v>
      </c>
      <c r="E103" s="382">
        <f t="shared" si="8"/>
        <v>0</v>
      </c>
      <c r="F103" s="7"/>
      <c r="G103" s="37">
        <v>33302</v>
      </c>
      <c r="H103" s="38" t="s">
        <v>63</v>
      </c>
      <c r="I103" s="307">
        <v>0</v>
      </c>
      <c r="J103" s="307"/>
      <c r="K103" s="39">
        <v>0</v>
      </c>
      <c r="L103" s="40"/>
      <c r="M103" s="37">
        <v>33302</v>
      </c>
      <c r="N103" s="38" t="s">
        <v>63</v>
      </c>
      <c r="O103" s="319">
        <v>0</v>
      </c>
      <c r="P103" s="319"/>
      <c r="Q103" s="39">
        <v>0</v>
      </c>
      <c r="R103" s="35"/>
      <c r="S103" s="37">
        <v>33302</v>
      </c>
      <c r="T103" s="38" t="s">
        <v>63</v>
      </c>
      <c r="U103" s="319">
        <v>0</v>
      </c>
      <c r="V103" s="319"/>
      <c r="W103" s="39">
        <v>0</v>
      </c>
      <c r="X103" s="35"/>
      <c r="Y103" s="37">
        <v>33302</v>
      </c>
      <c r="Z103" s="38" t="s">
        <v>63</v>
      </c>
      <c r="AA103" s="205">
        <v>0</v>
      </c>
      <c r="AB103" s="205"/>
      <c r="AC103" s="39">
        <v>0</v>
      </c>
      <c r="AD103" s="7"/>
      <c r="AE103" s="37">
        <v>33302</v>
      </c>
      <c r="AF103" s="38" t="s">
        <v>63</v>
      </c>
      <c r="AG103" s="327"/>
      <c r="AH103" s="327"/>
      <c r="AI103" s="42"/>
    </row>
    <row r="104" spans="1:35" s="6" customFormat="1" ht="11.25">
      <c r="A104" s="37">
        <v>33401</v>
      </c>
      <c r="B104" s="38" t="s">
        <v>64</v>
      </c>
      <c r="C104" s="307">
        <f t="shared" si="6"/>
        <v>118721.98072186207</v>
      </c>
      <c r="D104" s="307">
        <f t="shared" si="7"/>
        <v>10000</v>
      </c>
      <c r="E104" s="382">
        <f t="shared" si="8"/>
        <v>125845.29956517379</v>
      </c>
      <c r="F104" s="7"/>
      <c r="G104" s="37">
        <v>33401</v>
      </c>
      <c r="H104" s="38" t="s">
        <v>64</v>
      </c>
      <c r="I104" s="307">
        <v>0</v>
      </c>
      <c r="J104" s="307">
        <v>10000</v>
      </c>
      <c r="K104" s="39">
        <v>0</v>
      </c>
      <c r="L104" s="40"/>
      <c r="M104" s="37">
        <v>33401</v>
      </c>
      <c r="N104" s="38" t="s">
        <v>64</v>
      </c>
      <c r="O104" s="319">
        <v>0</v>
      </c>
      <c r="P104" s="319"/>
      <c r="Q104" s="39">
        <v>0</v>
      </c>
      <c r="R104" s="35"/>
      <c r="S104" s="37">
        <v>33401</v>
      </c>
      <c r="T104" s="38" t="s">
        <v>64</v>
      </c>
      <c r="U104" s="311">
        <v>118721.98072186207</v>
      </c>
      <c r="V104" s="311"/>
      <c r="W104" s="39">
        <v>125845.29956517379</v>
      </c>
      <c r="X104" s="35"/>
      <c r="Y104" s="37">
        <v>33401</v>
      </c>
      <c r="Z104" s="38" t="s">
        <v>64</v>
      </c>
      <c r="AA104" s="205">
        <v>0</v>
      </c>
      <c r="AB104" s="205"/>
      <c r="AC104" s="39">
        <v>0</v>
      </c>
      <c r="AD104" s="7"/>
      <c r="AE104" s="37">
        <v>33401</v>
      </c>
      <c r="AF104" s="38" t="s">
        <v>64</v>
      </c>
      <c r="AG104" s="327"/>
      <c r="AH104" s="327"/>
      <c r="AI104" s="42"/>
    </row>
    <row r="105" spans="1:35" s="6" customFormat="1" ht="11.25">
      <c r="A105" s="37">
        <v>33601</v>
      </c>
      <c r="B105" s="38" t="s">
        <v>65</v>
      </c>
      <c r="C105" s="307">
        <f t="shared" si="6"/>
        <v>0</v>
      </c>
      <c r="D105" s="307">
        <f t="shared" si="7"/>
        <v>0</v>
      </c>
      <c r="E105" s="382">
        <f t="shared" si="8"/>
        <v>0</v>
      </c>
      <c r="F105" s="7"/>
      <c r="G105" s="37">
        <v>33601</v>
      </c>
      <c r="H105" s="38" t="s">
        <v>65</v>
      </c>
      <c r="I105" s="307">
        <v>0</v>
      </c>
      <c r="J105" s="307"/>
      <c r="K105" s="39">
        <v>0</v>
      </c>
      <c r="L105" s="40"/>
      <c r="M105" s="37">
        <v>33601</v>
      </c>
      <c r="N105" s="38" t="s">
        <v>65</v>
      </c>
      <c r="O105" s="319">
        <v>0</v>
      </c>
      <c r="P105" s="319"/>
      <c r="Q105" s="39">
        <v>0</v>
      </c>
      <c r="R105" s="35"/>
      <c r="S105" s="37">
        <v>33601</v>
      </c>
      <c r="T105" s="38" t="s">
        <v>65</v>
      </c>
      <c r="U105" s="319">
        <v>0</v>
      </c>
      <c r="V105" s="319"/>
      <c r="W105" s="39">
        <v>0</v>
      </c>
      <c r="X105" s="35"/>
      <c r="Y105" s="37">
        <v>33601</v>
      </c>
      <c r="Z105" s="38" t="s">
        <v>65</v>
      </c>
      <c r="AA105" s="205">
        <v>0</v>
      </c>
      <c r="AB105" s="205"/>
      <c r="AC105" s="39">
        <v>0</v>
      </c>
      <c r="AD105" s="7"/>
      <c r="AE105" s="37">
        <v>33601</v>
      </c>
      <c r="AF105" s="38" t="s">
        <v>65</v>
      </c>
      <c r="AG105" s="327"/>
      <c r="AH105" s="327"/>
      <c r="AI105" s="42"/>
    </row>
    <row r="106" spans="1:35" s="6" customFormat="1" ht="22.5">
      <c r="A106" s="37">
        <v>33603</v>
      </c>
      <c r="B106" s="38" t="s">
        <v>66</v>
      </c>
      <c r="C106" s="307">
        <f t="shared" si="6"/>
        <v>1256306.347495879</v>
      </c>
      <c r="D106" s="307">
        <f t="shared" si="7"/>
        <v>520070.94</v>
      </c>
      <c r="E106" s="382">
        <f t="shared" si="8"/>
        <v>1392790.1675816318</v>
      </c>
      <c r="F106" s="7"/>
      <c r="G106" s="37">
        <v>33603</v>
      </c>
      <c r="H106" s="38" t="s">
        <v>66</v>
      </c>
      <c r="I106" s="311">
        <v>734325.6</v>
      </c>
      <c r="J106" s="311">
        <v>309384.38</v>
      </c>
      <c r="K106" s="39">
        <v>807758.15999999992</v>
      </c>
      <c r="L106" s="40"/>
      <c r="M106" s="37">
        <v>33603</v>
      </c>
      <c r="N106" s="38" t="s">
        <v>66</v>
      </c>
      <c r="O106" s="311">
        <v>296560.38089999999</v>
      </c>
      <c r="P106" s="311">
        <v>115362.78</v>
      </c>
      <c r="Q106" s="39">
        <v>326216.41898999998</v>
      </c>
      <c r="R106" s="35"/>
      <c r="S106" s="37">
        <v>33603</v>
      </c>
      <c r="T106" s="38" t="s">
        <v>66</v>
      </c>
      <c r="U106" s="311">
        <v>99275.402900000001</v>
      </c>
      <c r="V106" s="311">
        <v>24262.18</v>
      </c>
      <c r="W106" s="39">
        <v>105231.92707400001</v>
      </c>
      <c r="X106" s="35"/>
      <c r="Y106" s="37">
        <v>33603</v>
      </c>
      <c r="Z106" s="38" t="s">
        <v>66</v>
      </c>
      <c r="AA106" s="311">
        <v>40644.963695879182</v>
      </c>
      <c r="AB106" s="311">
        <v>8537.6</v>
      </c>
      <c r="AC106" s="39">
        <v>17083.661517631932</v>
      </c>
      <c r="AD106" s="7"/>
      <c r="AE106" s="37">
        <v>33603</v>
      </c>
      <c r="AF106" s="38" t="s">
        <v>66</v>
      </c>
      <c r="AG106" s="327">
        <v>85499.999999999985</v>
      </c>
      <c r="AH106" s="327">
        <v>62524</v>
      </c>
      <c r="AI106" s="42">
        <v>136500</v>
      </c>
    </row>
    <row r="107" spans="1:35" s="6" customFormat="1" ht="22.5">
      <c r="A107" s="37">
        <v>33605</v>
      </c>
      <c r="B107" s="38" t="s">
        <v>67</v>
      </c>
      <c r="C107" s="307">
        <f t="shared" si="6"/>
        <v>0</v>
      </c>
      <c r="D107" s="307">
        <f t="shared" si="7"/>
        <v>0</v>
      </c>
      <c r="E107" s="382">
        <f t="shared" si="8"/>
        <v>0</v>
      </c>
      <c r="F107" s="7"/>
      <c r="G107" s="37">
        <v>33605</v>
      </c>
      <c r="H107" s="38" t="s">
        <v>67</v>
      </c>
      <c r="I107" s="307">
        <v>0</v>
      </c>
      <c r="J107" s="307"/>
      <c r="K107" s="39">
        <v>0</v>
      </c>
      <c r="L107" s="40"/>
      <c r="M107" s="37">
        <v>33605</v>
      </c>
      <c r="N107" s="38" t="s">
        <v>67</v>
      </c>
      <c r="O107" s="319">
        <v>0</v>
      </c>
      <c r="P107" s="319"/>
      <c r="Q107" s="39">
        <v>0</v>
      </c>
      <c r="R107" s="35"/>
      <c r="S107" s="37">
        <v>33605</v>
      </c>
      <c r="T107" s="38" t="s">
        <v>67</v>
      </c>
      <c r="U107" s="319">
        <v>0</v>
      </c>
      <c r="V107" s="319"/>
      <c r="W107" s="39">
        <v>0</v>
      </c>
      <c r="X107" s="35"/>
      <c r="Y107" s="37">
        <v>33605</v>
      </c>
      <c r="Z107" s="38" t="s">
        <v>67</v>
      </c>
      <c r="AA107" s="205">
        <v>0</v>
      </c>
      <c r="AB107" s="205"/>
      <c r="AC107" s="39">
        <v>0</v>
      </c>
      <c r="AD107" s="7"/>
      <c r="AE107" s="37">
        <v>33605</v>
      </c>
      <c r="AF107" s="38" t="s">
        <v>67</v>
      </c>
      <c r="AG107" s="327"/>
      <c r="AH107" s="327"/>
      <c r="AI107" s="42"/>
    </row>
    <row r="108" spans="1:35" s="6" customFormat="1" ht="33.75">
      <c r="A108" s="37">
        <v>33608</v>
      </c>
      <c r="B108" s="38" t="s">
        <v>68</v>
      </c>
      <c r="C108" s="307">
        <f t="shared" si="6"/>
        <v>0</v>
      </c>
      <c r="D108" s="307">
        <f t="shared" si="7"/>
        <v>0</v>
      </c>
      <c r="E108" s="382">
        <f t="shared" si="8"/>
        <v>0</v>
      </c>
      <c r="F108" s="7"/>
      <c r="G108" s="37">
        <v>33608</v>
      </c>
      <c r="H108" s="38" t="s">
        <v>68</v>
      </c>
      <c r="I108" s="307">
        <v>0</v>
      </c>
      <c r="J108" s="307"/>
      <c r="K108" s="39">
        <v>0</v>
      </c>
      <c r="L108" s="40"/>
      <c r="M108" s="37">
        <v>33608</v>
      </c>
      <c r="N108" s="38" t="s">
        <v>68</v>
      </c>
      <c r="O108" s="319">
        <v>0</v>
      </c>
      <c r="P108" s="319"/>
      <c r="Q108" s="39">
        <v>0</v>
      </c>
      <c r="R108" s="35"/>
      <c r="S108" s="37">
        <v>33608</v>
      </c>
      <c r="T108" s="38" t="s">
        <v>68</v>
      </c>
      <c r="U108" s="319">
        <v>0</v>
      </c>
      <c r="V108" s="319"/>
      <c r="W108" s="39">
        <v>0</v>
      </c>
      <c r="X108" s="35"/>
      <c r="Y108" s="37">
        <v>33608</v>
      </c>
      <c r="Z108" s="38" t="s">
        <v>68</v>
      </c>
      <c r="AA108" s="205">
        <v>0</v>
      </c>
      <c r="AB108" s="205"/>
      <c r="AC108" s="39">
        <v>0</v>
      </c>
      <c r="AD108" s="7"/>
      <c r="AE108" s="37">
        <v>33608</v>
      </c>
      <c r="AF108" s="38" t="s">
        <v>68</v>
      </c>
      <c r="AG108" s="327"/>
      <c r="AH108" s="327"/>
      <c r="AI108" s="42"/>
    </row>
    <row r="109" spans="1:35" s="6" customFormat="1" ht="11.25">
      <c r="A109" s="37">
        <v>33801</v>
      </c>
      <c r="B109" s="38" t="s">
        <v>69</v>
      </c>
      <c r="C109" s="307">
        <f t="shared" si="6"/>
        <v>1514741.6655064828</v>
      </c>
      <c r="D109" s="307">
        <f t="shared" si="7"/>
        <v>394070.31</v>
      </c>
      <c r="E109" s="382">
        <f t="shared" si="8"/>
        <v>1653863.6520571313</v>
      </c>
      <c r="F109" s="7"/>
      <c r="G109" s="37">
        <v>33801</v>
      </c>
      <c r="H109" s="38" t="s">
        <v>69</v>
      </c>
      <c r="I109" s="311">
        <v>808560.42290648283</v>
      </c>
      <c r="J109" s="311">
        <v>216327.43</v>
      </c>
      <c r="K109" s="39">
        <v>889416.46519713115</v>
      </c>
      <c r="L109" s="40"/>
      <c r="M109" s="37">
        <v>33801</v>
      </c>
      <c r="N109" s="38" t="s">
        <v>69</v>
      </c>
      <c r="O109" s="311">
        <v>397376.7426</v>
      </c>
      <c r="P109" s="311">
        <v>35388.21</v>
      </c>
      <c r="Q109" s="39">
        <v>437114.41686</v>
      </c>
      <c r="R109" s="35"/>
      <c r="S109" s="37">
        <v>33801</v>
      </c>
      <c r="T109" s="38" t="s">
        <v>69</v>
      </c>
      <c r="U109" s="311">
        <v>308804.5</v>
      </c>
      <c r="V109" s="311">
        <v>142354.67000000001</v>
      </c>
      <c r="W109" s="39">
        <v>327332.77</v>
      </c>
      <c r="X109" s="35"/>
      <c r="Y109" s="37">
        <v>33801</v>
      </c>
      <c r="Z109" s="38" t="s">
        <v>69</v>
      </c>
      <c r="AA109" s="205">
        <v>0</v>
      </c>
      <c r="AB109" s="205"/>
      <c r="AC109" s="39">
        <v>0</v>
      </c>
      <c r="AD109" s="7"/>
      <c r="AE109" s="37">
        <v>33801</v>
      </c>
      <c r="AF109" s="38" t="s">
        <v>69</v>
      </c>
      <c r="AG109" s="327"/>
      <c r="AH109" s="327"/>
      <c r="AI109" s="42"/>
    </row>
    <row r="110" spans="1:35" s="6" customFormat="1" ht="22.5">
      <c r="A110" s="37">
        <v>33901</v>
      </c>
      <c r="B110" s="38" t="s">
        <v>70</v>
      </c>
      <c r="C110" s="307">
        <f t="shared" si="6"/>
        <v>1225080</v>
      </c>
      <c r="D110" s="307">
        <f t="shared" si="7"/>
        <v>521686.4</v>
      </c>
      <c r="E110" s="382">
        <f t="shared" si="8"/>
        <v>950040</v>
      </c>
      <c r="F110" s="7"/>
      <c r="G110" s="37">
        <v>33901</v>
      </c>
      <c r="H110" s="38" t="s">
        <v>70</v>
      </c>
      <c r="I110" s="307">
        <v>0</v>
      </c>
      <c r="J110" s="307"/>
      <c r="K110" s="39">
        <v>0</v>
      </c>
      <c r="L110" s="40"/>
      <c r="M110" s="37">
        <v>33901</v>
      </c>
      <c r="N110" s="38" t="s">
        <v>70</v>
      </c>
      <c r="O110" s="319">
        <v>0</v>
      </c>
      <c r="P110" s="319"/>
      <c r="Q110" s="39">
        <v>0</v>
      </c>
      <c r="R110" s="35"/>
      <c r="S110" s="37">
        <v>33901</v>
      </c>
      <c r="T110" s="38" t="s">
        <v>70</v>
      </c>
      <c r="U110" s="319">
        <v>0</v>
      </c>
      <c r="V110" s="319"/>
      <c r="W110" s="39">
        <v>0</v>
      </c>
      <c r="X110" s="35"/>
      <c r="Y110" s="37">
        <v>33901</v>
      </c>
      <c r="Z110" s="38" t="s">
        <v>70</v>
      </c>
      <c r="AA110" s="205">
        <v>0</v>
      </c>
      <c r="AB110" s="205"/>
      <c r="AC110" s="39">
        <v>0</v>
      </c>
      <c r="AD110" s="7"/>
      <c r="AE110" s="37">
        <v>33901</v>
      </c>
      <c r="AF110" s="38" t="s">
        <v>70</v>
      </c>
      <c r="AG110" s="327">
        <v>1225080</v>
      </c>
      <c r="AH110" s="327">
        <v>521686.4</v>
      </c>
      <c r="AI110" s="42">
        <v>950040</v>
      </c>
    </row>
    <row r="111" spans="1:35" s="6" customFormat="1" ht="22.5">
      <c r="A111" s="37">
        <v>33902</v>
      </c>
      <c r="B111" s="38" t="s">
        <v>71</v>
      </c>
      <c r="C111" s="307">
        <f t="shared" si="6"/>
        <v>0</v>
      </c>
      <c r="D111" s="307">
        <f t="shared" si="7"/>
        <v>0</v>
      </c>
      <c r="E111" s="382">
        <f t="shared" si="8"/>
        <v>107951116</v>
      </c>
      <c r="F111" s="7"/>
      <c r="G111" s="37">
        <v>33902</v>
      </c>
      <c r="H111" s="38" t="s">
        <v>71</v>
      </c>
      <c r="I111" s="307"/>
      <c r="J111" s="307"/>
      <c r="K111" s="51">
        <v>107951116</v>
      </c>
      <c r="L111" s="118" t="s">
        <v>221</v>
      </c>
      <c r="M111" s="37">
        <v>33902</v>
      </c>
      <c r="N111" s="38" t="s">
        <v>71</v>
      </c>
      <c r="O111" s="307">
        <v>0</v>
      </c>
      <c r="P111" s="307"/>
      <c r="Q111" s="39">
        <v>0</v>
      </c>
      <c r="R111" s="35"/>
      <c r="S111" s="203">
        <v>33902</v>
      </c>
      <c r="T111" s="204" t="s">
        <v>71</v>
      </c>
      <c r="U111" s="204">
        <v>0</v>
      </c>
      <c r="V111" s="204"/>
      <c r="W111" s="39">
        <v>0</v>
      </c>
      <c r="X111" s="35"/>
      <c r="Y111" s="203">
        <v>33902</v>
      </c>
      <c r="Z111" s="204" t="s">
        <v>71</v>
      </c>
      <c r="AA111" s="204">
        <v>0</v>
      </c>
      <c r="AB111" s="204"/>
      <c r="AC111" s="39">
        <v>0</v>
      </c>
      <c r="AD111" s="7"/>
      <c r="AE111" s="203">
        <v>33902</v>
      </c>
      <c r="AF111" s="204" t="s">
        <v>71</v>
      </c>
      <c r="AG111" s="327"/>
      <c r="AH111" s="327"/>
      <c r="AI111" s="42"/>
    </row>
    <row r="112" spans="1:35" s="6" customFormat="1" ht="11.25">
      <c r="A112" s="37">
        <v>34101</v>
      </c>
      <c r="B112" s="38" t="s">
        <v>72</v>
      </c>
      <c r="C112" s="307">
        <f t="shared" si="6"/>
        <v>472627.75791335577</v>
      </c>
      <c r="D112" s="307">
        <f t="shared" si="7"/>
        <v>429899.65</v>
      </c>
      <c r="E112" s="382">
        <f t="shared" si="8"/>
        <v>628244.06503353757</v>
      </c>
      <c r="F112" s="7"/>
      <c r="G112" s="37">
        <v>34101</v>
      </c>
      <c r="H112" s="38" t="s">
        <v>72</v>
      </c>
      <c r="I112" s="311">
        <v>199328.46079308531</v>
      </c>
      <c r="J112" s="311">
        <v>169042.84</v>
      </c>
      <c r="K112" s="39">
        <v>219261.30687239385</v>
      </c>
      <c r="L112" s="40"/>
      <c r="M112" s="37">
        <v>34101</v>
      </c>
      <c r="N112" s="38" t="s">
        <v>72</v>
      </c>
      <c r="O112" s="311">
        <v>34750.580341425375</v>
      </c>
      <c r="P112" s="311">
        <v>72270.240000000005</v>
      </c>
      <c r="Q112" s="39">
        <v>88225.638375567913</v>
      </c>
      <c r="R112" s="35"/>
      <c r="S112" s="37">
        <v>34101</v>
      </c>
      <c r="T112" s="38" t="s">
        <v>72</v>
      </c>
      <c r="U112" s="311">
        <v>190549.64415428828</v>
      </c>
      <c r="V112" s="311">
        <v>131095.12</v>
      </c>
      <c r="W112" s="39">
        <v>201982.62280354559</v>
      </c>
      <c r="X112" s="35"/>
      <c r="Y112" s="37">
        <v>34101</v>
      </c>
      <c r="Z112" s="38" t="s">
        <v>72</v>
      </c>
      <c r="AA112" s="311">
        <v>1357.0726245567912</v>
      </c>
      <c r="AB112" s="311">
        <v>506.92</v>
      </c>
      <c r="AC112" s="39">
        <v>1438.4969820301988</v>
      </c>
      <c r="AD112" s="7"/>
      <c r="AE112" s="37">
        <v>34101</v>
      </c>
      <c r="AF112" s="38" t="s">
        <v>72</v>
      </c>
      <c r="AG112" s="327">
        <v>46642</v>
      </c>
      <c r="AH112" s="327">
        <v>56984.53</v>
      </c>
      <c r="AI112" s="42">
        <v>117336</v>
      </c>
    </row>
    <row r="113" spans="1:35" s="6" customFormat="1" ht="22.5">
      <c r="A113" s="37">
        <v>34301</v>
      </c>
      <c r="B113" s="38" t="s">
        <v>73</v>
      </c>
      <c r="C113" s="307">
        <f t="shared" si="6"/>
        <v>16156777.059225969</v>
      </c>
      <c r="D113" s="307">
        <f t="shared" si="7"/>
        <v>3230713.2</v>
      </c>
      <c r="E113" s="382">
        <f t="shared" si="8"/>
        <v>12427186.269148566</v>
      </c>
      <c r="F113" s="7"/>
      <c r="G113" s="37">
        <v>34301</v>
      </c>
      <c r="H113" s="38" t="s">
        <v>73</v>
      </c>
      <c r="I113" s="311">
        <v>7550709.6950259702</v>
      </c>
      <c r="J113" s="311">
        <v>1387456.35</v>
      </c>
      <c r="K113" s="39">
        <v>5337780.6645285673</v>
      </c>
      <c r="L113" s="40"/>
      <c r="M113" s="37">
        <v>34301</v>
      </c>
      <c r="N113" s="38" t="s">
        <v>73</v>
      </c>
      <c r="O113" s="311">
        <v>5270454.0042000003</v>
      </c>
      <c r="P113" s="311">
        <v>1147578.29</v>
      </c>
      <c r="Q113" s="39">
        <v>4077499.4046200002</v>
      </c>
      <c r="R113" s="35"/>
      <c r="S113" s="37">
        <v>34301</v>
      </c>
      <c r="T113" s="38" t="s">
        <v>73</v>
      </c>
      <c r="U113" s="311">
        <v>1398360</v>
      </c>
      <c r="V113" s="311">
        <v>310381.96000000002</v>
      </c>
      <c r="W113" s="39">
        <v>1182261.6000000001</v>
      </c>
      <c r="X113" s="35"/>
      <c r="Y113" s="37">
        <v>34301</v>
      </c>
      <c r="Z113" s="38" t="s">
        <v>73</v>
      </c>
      <c r="AA113" s="205">
        <v>0</v>
      </c>
      <c r="AB113" s="205"/>
      <c r="AC113" s="39">
        <v>0</v>
      </c>
      <c r="AD113" s="7"/>
      <c r="AE113" s="37">
        <v>34301</v>
      </c>
      <c r="AF113" s="38" t="s">
        <v>73</v>
      </c>
      <c r="AG113" s="327">
        <v>1937253.36</v>
      </c>
      <c r="AH113" s="327">
        <v>385296.6</v>
      </c>
      <c r="AI113" s="42">
        <v>1829644.6</v>
      </c>
    </row>
    <row r="114" spans="1:35" s="6" customFormat="1" ht="22.5">
      <c r="A114" s="37">
        <v>34401</v>
      </c>
      <c r="B114" s="38" t="s">
        <v>74</v>
      </c>
      <c r="C114" s="307">
        <f t="shared" si="6"/>
        <v>1383851.8473420141</v>
      </c>
      <c r="D114" s="307">
        <f t="shared" si="7"/>
        <v>390320.14999999991</v>
      </c>
      <c r="E114" s="382">
        <f t="shared" si="8"/>
        <v>1504743.8174188109</v>
      </c>
      <c r="F114" s="7"/>
      <c r="G114" s="37">
        <v>34401</v>
      </c>
      <c r="H114" s="38" t="s">
        <v>74</v>
      </c>
      <c r="I114" s="311">
        <v>853917.05616151833</v>
      </c>
      <c r="J114" s="311">
        <v>213034.15</v>
      </c>
      <c r="K114" s="39">
        <v>939308.76177767012</v>
      </c>
      <c r="L114" s="40"/>
      <c r="M114" s="37">
        <v>34401</v>
      </c>
      <c r="N114" s="38" t="s">
        <v>74</v>
      </c>
      <c r="O114" s="311">
        <v>243417.42474537826</v>
      </c>
      <c r="P114" s="311">
        <v>65986.679999999993</v>
      </c>
      <c r="Q114" s="39">
        <v>267759.16721991607</v>
      </c>
      <c r="R114" s="35"/>
      <c r="S114" s="37">
        <v>34401</v>
      </c>
      <c r="T114" s="38" t="s">
        <v>74</v>
      </c>
      <c r="U114" s="311">
        <v>185975.3664351175</v>
      </c>
      <c r="V114" s="311">
        <v>52440.47</v>
      </c>
      <c r="W114" s="39">
        <v>197133.88842122455</v>
      </c>
      <c r="X114" s="35"/>
      <c r="Y114" s="37">
        <v>34401</v>
      </c>
      <c r="Z114" s="38" t="s">
        <v>74</v>
      </c>
      <c r="AA114" s="205">
        <v>0</v>
      </c>
      <c r="AB114" s="205"/>
      <c r="AC114" s="39">
        <v>0</v>
      </c>
      <c r="AD114" s="7"/>
      <c r="AE114" s="37">
        <v>34401</v>
      </c>
      <c r="AF114" s="38" t="s">
        <v>74</v>
      </c>
      <c r="AG114" s="327">
        <v>100542</v>
      </c>
      <c r="AH114" s="327">
        <v>58858.85</v>
      </c>
      <c r="AI114" s="42">
        <v>100542</v>
      </c>
    </row>
    <row r="115" spans="1:35" s="6" customFormat="1" ht="11.25">
      <c r="A115" s="37">
        <v>34701</v>
      </c>
      <c r="B115" s="38" t="s">
        <v>75</v>
      </c>
      <c r="C115" s="307">
        <f t="shared" si="6"/>
        <v>43837.845083272652</v>
      </c>
      <c r="D115" s="307">
        <f t="shared" si="7"/>
        <v>12090.8</v>
      </c>
      <c r="E115" s="382">
        <f t="shared" si="8"/>
        <v>47125.429591599917</v>
      </c>
      <c r="F115" s="7"/>
      <c r="G115" s="37">
        <v>34701</v>
      </c>
      <c r="H115" s="38" t="s">
        <v>75</v>
      </c>
      <c r="I115" s="311">
        <v>22011.742374470428</v>
      </c>
      <c r="J115" s="311">
        <v>9538.7999999999993</v>
      </c>
      <c r="K115" s="39">
        <v>24212.91661191747</v>
      </c>
      <c r="L115" s="40"/>
      <c r="M115" s="37">
        <v>34701</v>
      </c>
      <c r="N115" s="38" t="s">
        <v>75</v>
      </c>
      <c r="O115" s="311">
        <v>10864.102708802224</v>
      </c>
      <c r="P115" s="311"/>
      <c r="Q115" s="39">
        <v>11950.512979682446</v>
      </c>
      <c r="R115" s="35"/>
      <c r="S115" s="37">
        <v>34701</v>
      </c>
      <c r="T115" s="38" t="s">
        <v>75</v>
      </c>
      <c r="U115" s="319">
        <v>0</v>
      </c>
      <c r="V115" s="319"/>
      <c r="W115" s="39">
        <v>0</v>
      </c>
      <c r="X115" s="35"/>
      <c r="Y115" s="37">
        <v>34701</v>
      </c>
      <c r="Z115" s="38" t="s">
        <v>75</v>
      </c>
      <c r="AA115" s="205">
        <v>0</v>
      </c>
      <c r="AB115" s="205"/>
      <c r="AC115" s="39">
        <v>0</v>
      </c>
      <c r="AD115" s="7"/>
      <c r="AE115" s="37">
        <v>34701</v>
      </c>
      <c r="AF115" s="38" t="s">
        <v>75</v>
      </c>
      <c r="AG115" s="327">
        <v>10962</v>
      </c>
      <c r="AH115" s="327">
        <v>2552</v>
      </c>
      <c r="AI115" s="42">
        <v>10962</v>
      </c>
    </row>
    <row r="116" spans="1:35" s="6" customFormat="1" ht="22.5">
      <c r="A116" s="37">
        <v>35101</v>
      </c>
      <c r="B116" s="38" t="s">
        <v>76</v>
      </c>
      <c r="C116" s="307">
        <f t="shared" si="6"/>
        <v>229105.89482619156</v>
      </c>
      <c r="D116" s="307">
        <f t="shared" si="7"/>
        <v>233742.90000000002</v>
      </c>
      <c r="E116" s="382">
        <f t="shared" si="8"/>
        <v>244159.55310174738</v>
      </c>
      <c r="F116" s="7"/>
      <c r="G116" s="37">
        <v>35101</v>
      </c>
      <c r="H116" s="38" t="s">
        <v>76</v>
      </c>
      <c r="I116" s="311">
        <v>111218.38598299687</v>
      </c>
      <c r="J116" s="311">
        <v>47891</v>
      </c>
      <c r="K116" s="39">
        <v>122340.22458129656</v>
      </c>
      <c r="L116" s="40"/>
      <c r="M116" s="37">
        <v>35101</v>
      </c>
      <c r="N116" s="38" t="s">
        <v>76</v>
      </c>
      <c r="O116" s="311">
        <v>28168.228666611587</v>
      </c>
      <c r="P116" s="311">
        <v>999.98</v>
      </c>
      <c r="Q116" s="39">
        <v>30985.051533272745</v>
      </c>
      <c r="R116" s="35"/>
      <c r="S116" s="37">
        <v>35101</v>
      </c>
      <c r="T116" s="38" t="s">
        <v>76</v>
      </c>
      <c r="U116" s="311">
        <v>0</v>
      </c>
      <c r="V116" s="311">
        <v>161906.76</v>
      </c>
      <c r="W116" s="39">
        <v>0</v>
      </c>
      <c r="X116" s="35"/>
      <c r="Y116" s="37">
        <v>35101</v>
      </c>
      <c r="Z116" s="38" t="s">
        <v>76</v>
      </c>
      <c r="AA116" s="311">
        <v>18583.280176583092</v>
      </c>
      <c r="AB116" s="311">
        <v>6267.92</v>
      </c>
      <c r="AC116" s="39">
        <v>19698.276987178077</v>
      </c>
      <c r="AD116" s="7"/>
      <c r="AE116" s="37">
        <v>35101</v>
      </c>
      <c r="AF116" s="38" t="s">
        <v>76</v>
      </c>
      <c r="AG116" s="327">
        <v>71136</v>
      </c>
      <c r="AH116" s="327">
        <v>16677.240000000002</v>
      </c>
      <c r="AI116" s="42">
        <v>71136</v>
      </c>
    </row>
    <row r="117" spans="1:35" s="6" customFormat="1" ht="22.5">
      <c r="A117" s="37">
        <v>35201</v>
      </c>
      <c r="B117" s="38" t="s">
        <v>77</v>
      </c>
      <c r="C117" s="307">
        <f t="shared" ref="C117:C144" si="9">I117+O117+U117+AA117+AG117</f>
        <v>77268.721682484291</v>
      </c>
      <c r="D117" s="307">
        <f t="shared" si="7"/>
        <v>69043.740000000005</v>
      </c>
      <c r="E117" s="382">
        <f t="shared" ref="E117:E144" si="10">K117+Q117+W117+AC117+AI117</f>
        <v>84709.697232631443</v>
      </c>
      <c r="F117" s="7"/>
      <c r="G117" s="37">
        <v>35201</v>
      </c>
      <c r="H117" s="38" t="s">
        <v>77</v>
      </c>
      <c r="I117" s="311">
        <v>60544.108483304386</v>
      </c>
      <c r="J117" s="311">
        <v>69043.740000000005</v>
      </c>
      <c r="K117" s="39">
        <v>66598.51933163483</v>
      </c>
      <c r="L117" s="40"/>
      <c r="M117" s="37">
        <v>35201</v>
      </c>
      <c r="N117" s="38" t="s">
        <v>77</v>
      </c>
      <c r="O117" s="311">
        <v>9577.1977466479402</v>
      </c>
      <c r="P117" s="311"/>
      <c r="Q117" s="39">
        <v>10534.917521312735</v>
      </c>
      <c r="R117" s="35"/>
      <c r="S117" s="37">
        <v>35201</v>
      </c>
      <c r="T117" s="38" t="s">
        <v>77</v>
      </c>
      <c r="U117" s="319">
        <v>0</v>
      </c>
      <c r="V117" s="319"/>
      <c r="W117" s="39">
        <v>0</v>
      </c>
      <c r="X117" s="35"/>
      <c r="Y117" s="37">
        <v>35201</v>
      </c>
      <c r="Z117" s="38" t="s">
        <v>77</v>
      </c>
      <c r="AA117" s="311">
        <v>7147.4154525319609</v>
      </c>
      <c r="AB117" s="311"/>
      <c r="AC117" s="39">
        <v>7576.2603796838785</v>
      </c>
      <c r="AD117" s="7"/>
      <c r="AE117" s="37">
        <v>35201</v>
      </c>
      <c r="AF117" s="38" t="s">
        <v>77</v>
      </c>
      <c r="AG117" s="327"/>
      <c r="AH117" s="327"/>
      <c r="AI117" s="42"/>
    </row>
    <row r="118" spans="1:35" s="6" customFormat="1" ht="11.25">
      <c r="A118" s="37">
        <v>35301</v>
      </c>
      <c r="B118" s="38" t="s">
        <v>78</v>
      </c>
      <c r="C118" s="307">
        <f t="shared" si="9"/>
        <v>0</v>
      </c>
      <c r="D118" s="307">
        <f t="shared" si="7"/>
        <v>0</v>
      </c>
      <c r="E118" s="382">
        <f t="shared" si="10"/>
        <v>0</v>
      </c>
      <c r="F118" s="7"/>
      <c r="G118" s="37">
        <v>35301</v>
      </c>
      <c r="H118" s="38" t="s">
        <v>78</v>
      </c>
      <c r="I118" s="307">
        <v>0</v>
      </c>
      <c r="J118" s="307"/>
      <c r="K118" s="39">
        <v>0</v>
      </c>
      <c r="L118" s="40"/>
      <c r="M118" s="37">
        <v>35301</v>
      </c>
      <c r="N118" s="38" t="s">
        <v>78</v>
      </c>
      <c r="O118" s="319">
        <v>0</v>
      </c>
      <c r="P118" s="319"/>
      <c r="Q118" s="39">
        <v>0</v>
      </c>
      <c r="R118" s="35"/>
      <c r="S118" s="37">
        <v>35301</v>
      </c>
      <c r="T118" s="38" t="s">
        <v>78</v>
      </c>
      <c r="U118" s="319">
        <v>0</v>
      </c>
      <c r="V118" s="319"/>
      <c r="W118" s="39">
        <v>0</v>
      </c>
      <c r="X118" s="35"/>
      <c r="Y118" s="37">
        <v>35301</v>
      </c>
      <c r="Z118" s="38" t="s">
        <v>78</v>
      </c>
      <c r="AA118" s="205">
        <v>0</v>
      </c>
      <c r="AB118" s="205"/>
      <c r="AC118" s="39">
        <v>0</v>
      </c>
      <c r="AD118" s="7"/>
      <c r="AE118" s="37">
        <v>35301</v>
      </c>
      <c r="AF118" s="38" t="s">
        <v>78</v>
      </c>
      <c r="AG118" s="327"/>
      <c r="AH118" s="327"/>
      <c r="AI118" s="42"/>
    </row>
    <row r="119" spans="1:35" s="6" customFormat="1" ht="22.5">
      <c r="A119" s="37">
        <v>35302</v>
      </c>
      <c r="B119" s="38" t="s">
        <v>79</v>
      </c>
      <c r="C119" s="307">
        <f t="shared" si="9"/>
        <v>19892.473712043469</v>
      </c>
      <c r="D119" s="307">
        <f t="shared" si="7"/>
        <v>3095.97</v>
      </c>
      <c r="E119" s="382">
        <f t="shared" si="10"/>
        <v>20609.721083247816</v>
      </c>
      <c r="F119" s="7"/>
      <c r="G119" s="37">
        <v>35302</v>
      </c>
      <c r="H119" s="38" t="s">
        <v>79</v>
      </c>
      <c r="I119" s="311">
        <v>7172.4737120434684</v>
      </c>
      <c r="J119" s="311">
        <v>2695.97</v>
      </c>
      <c r="K119" s="39">
        <v>7889.7210832478149</v>
      </c>
      <c r="L119" s="40"/>
      <c r="M119" s="37">
        <v>35302</v>
      </c>
      <c r="N119" s="38" t="s">
        <v>79</v>
      </c>
      <c r="O119" s="319">
        <v>0</v>
      </c>
      <c r="P119" s="319"/>
      <c r="Q119" s="39">
        <v>0</v>
      </c>
      <c r="R119" s="35"/>
      <c r="S119" s="37">
        <v>35302</v>
      </c>
      <c r="T119" s="38" t="s">
        <v>79</v>
      </c>
      <c r="U119" s="319">
        <v>0</v>
      </c>
      <c r="V119" s="319"/>
      <c r="W119" s="39">
        <v>0</v>
      </c>
      <c r="X119" s="35"/>
      <c r="Y119" s="37">
        <v>35302</v>
      </c>
      <c r="Z119" s="38" t="s">
        <v>79</v>
      </c>
      <c r="AA119" s="205">
        <v>0</v>
      </c>
      <c r="AB119" s="205"/>
      <c r="AC119" s="39">
        <v>0</v>
      </c>
      <c r="AD119" s="7"/>
      <c r="AE119" s="37">
        <v>35302</v>
      </c>
      <c r="AF119" s="38" t="s">
        <v>79</v>
      </c>
      <c r="AG119" s="327">
        <v>12720</v>
      </c>
      <c r="AH119" s="327">
        <v>400</v>
      </c>
      <c r="AI119" s="42">
        <v>12720</v>
      </c>
    </row>
    <row r="120" spans="1:35" s="6" customFormat="1" ht="22.5">
      <c r="A120" s="37">
        <v>35501</v>
      </c>
      <c r="B120" s="38" t="s">
        <v>80</v>
      </c>
      <c r="C120" s="307">
        <f t="shared" si="9"/>
        <v>1490921.3565302468</v>
      </c>
      <c r="D120" s="307">
        <f t="shared" si="7"/>
        <v>582757.91999999993</v>
      </c>
      <c r="E120" s="382">
        <f t="shared" si="10"/>
        <v>1503143.0353945114</v>
      </c>
      <c r="F120" s="7"/>
      <c r="G120" s="37">
        <v>35501</v>
      </c>
      <c r="H120" s="38" t="s">
        <v>80</v>
      </c>
      <c r="I120" s="311">
        <v>910950.75081140886</v>
      </c>
      <c r="J120" s="311">
        <v>408825.47</v>
      </c>
      <c r="K120" s="39">
        <v>1002045.8258925497</v>
      </c>
      <c r="L120" s="40"/>
      <c r="M120" s="37">
        <v>35501</v>
      </c>
      <c r="N120" s="38" t="s">
        <v>80</v>
      </c>
      <c r="O120" s="311">
        <v>84504.68599983475</v>
      </c>
      <c r="P120" s="311">
        <v>66174.399999999994</v>
      </c>
      <c r="Q120" s="39">
        <v>92955.154599818226</v>
      </c>
      <c r="R120" s="35"/>
      <c r="S120" s="37">
        <v>35501</v>
      </c>
      <c r="T120" s="38" t="s">
        <v>80</v>
      </c>
      <c r="U120" s="311">
        <v>204103.50426647117</v>
      </c>
      <c r="V120" s="311">
        <v>45061.05</v>
      </c>
      <c r="W120" s="39">
        <v>216349.71452245943</v>
      </c>
      <c r="X120" s="35"/>
      <c r="Y120" s="37">
        <v>35501</v>
      </c>
      <c r="Z120" s="38" t="s">
        <v>80</v>
      </c>
      <c r="AA120" s="311">
        <v>7147.4154525319609</v>
      </c>
      <c r="AB120" s="311"/>
      <c r="AC120" s="39">
        <v>7576.2603796838785</v>
      </c>
      <c r="AD120" s="7"/>
      <c r="AE120" s="37">
        <v>35501</v>
      </c>
      <c r="AF120" s="38" t="s">
        <v>80</v>
      </c>
      <c r="AG120" s="327">
        <v>284215</v>
      </c>
      <c r="AH120" s="327">
        <v>62697</v>
      </c>
      <c r="AI120" s="42">
        <v>184216.08</v>
      </c>
    </row>
    <row r="121" spans="1:35" s="6" customFormat="1" ht="22.5">
      <c r="A121" s="37">
        <v>35701</v>
      </c>
      <c r="B121" s="38" t="s">
        <v>81</v>
      </c>
      <c r="C121" s="307">
        <f t="shared" si="9"/>
        <v>5537889.2501959652</v>
      </c>
      <c r="D121" s="307">
        <f t="shared" si="7"/>
        <v>5234530.4399999995</v>
      </c>
      <c r="E121" s="382">
        <f t="shared" si="10"/>
        <v>5767700.4233012721</v>
      </c>
      <c r="F121" s="7"/>
      <c r="G121" s="37">
        <v>35701</v>
      </c>
      <c r="H121" s="38" t="s">
        <v>81</v>
      </c>
      <c r="I121" s="311">
        <v>1443361.072139258</v>
      </c>
      <c r="J121" s="311">
        <v>3001414.31</v>
      </c>
      <c r="K121" s="39">
        <v>1587697.1793531838</v>
      </c>
      <c r="L121" s="40"/>
      <c r="M121" s="37">
        <v>35701</v>
      </c>
      <c r="N121" s="38" t="s">
        <v>81</v>
      </c>
      <c r="O121" s="311">
        <v>270414.99519947119</v>
      </c>
      <c r="P121" s="311">
        <v>515268.39</v>
      </c>
      <c r="Q121" s="39">
        <v>597456.49471941823</v>
      </c>
      <c r="R121" s="35"/>
      <c r="S121" s="37">
        <v>35701</v>
      </c>
      <c r="T121" s="38" t="s">
        <v>81</v>
      </c>
      <c r="U121" s="311">
        <v>2045016.272857236</v>
      </c>
      <c r="V121" s="311">
        <v>653942.34</v>
      </c>
      <c r="W121" s="39">
        <v>2167717.2492286703</v>
      </c>
      <c r="X121" s="35"/>
      <c r="Y121" s="37">
        <v>35701</v>
      </c>
      <c r="Z121" s="38" t="s">
        <v>81</v>
      </c>
      <c r="AA121" s="205">
        <v>0</v>
      </c>
      <c r="AB121" s="205"/>
      <c r="AC121" s="39">
        <v>0</v>
      </c>
      <c r="AD121" s="7"/>
      <c r="AE121" s="37">
        <v>35701</v>
      </c>
      <c r="AF121" s="38" t="s">
        <v>81</v>
      </c>
      <c r="AG121" s="327">
        <v>1779096.9100000001</v>
      </c>
      <c r="AH121" s="327">
        <v>1063905.3999999999</v>
      </c>
      <c r="AI121" s="42">
        <v>1414829.5</v>
      </c>
    </row>
    <row r="122" spans="1:35" s="6" customFormat="1" ht="45">
      <c r="A122" s="37">
        <v>35702</v>
      </c>
      <c r="B122" s="38" t="s">
        <v>82</v>
      </c>
      <c r="C122" s="307">
        <f t="shared" si="9"/>
        <v>0</v>
      </c>
      <c r="D122" s="307">
        <f t="shared" si="7"/>
        <v>0</v>
      </c>
      <c r="E122" s="382">
        <f t="shared" si="10"/>
        <v>0</v>
      </c>
      <c r="F122" s="7"/>
      <c r="G122" s="37">
        <v>35702</v>
      </c>
      <c r="H122" s="38" t="s">
        <v>82</v>
      </c>
      <c r="I122" s="307">
        <v>0</v>
      </c>
      <c r="J122" s="307"/>
      <c r="K122" s="39">
        <v>0</v>
      </c>
      <c r="L122" s="40"/>
      <c r="M122" s="37">
        <v>35702</v>
      </c>
      <c r="N122" s="38" t="s">
        <v>82</v>
      </c>
      <c r="O122" s="319">
        <v>0</v>
      </c>
      <c r="P122" s="319"/>
      <c r="Q122" s="39">
        <v>0</v>
      </c>
      <c r="R122" s="35"/>
      <c r="S122" s="37">
        <v>35702</v>
      </c>
      <c r="T122" s="38" t="s">
        <v>82</v>
      </c>
      <c r="U122" s="319">
        <v>0</v>
      </c>
      <c r="V122" s="319"/>
      <c r="W122" s="39">
        <v>0</v>
      </c>
      <c r="X122" s="35"/>
      <c r="Y122" s="37">
        <v>35702</v>
      </c>
      <c r="Z122" s="38" t="s">
        <v>82</v>
      </c>
      <c r="AA122" s="205">
        <v>0</v>
      </c>
      <c r="AB122" s="205"/>
      <c r="AC122" s="39">
        <v>0</v>
      </c>
      <c r="AD122" s="7"/>
      <c r="AE122" s="37">
        <v>35702</v>
      </c>
      <c r="AF122" s="38" t="s">
        <v>82</v>
      </c>
      <c r="AG122" s="327"/>
      <c r="AH122" s="327"/>
      <c r="AI122" s="42"/>
    </row>
    <row r="123" spans="1:35" s="6" customFormat="1" ht="22.5">
      <c r="A123" s="37">
        <v>35801</v>
      </c>
      <c r="B123" s="38" t="s">
        <v>83</v>
      </c>
      <c r="C123" s="307">
        <f t="shared" si="9"/>
        <v>163701.15631097928</v>
      </c>
      <c r="D123" s="307">
        <f t="shared" si="7"/>
        <v>75121.36</v>
      </c>
      <c r="E123" s="382">
        <f t="shared" si="10"/>
        <v>167411.43638960895</v>
      </c>
      <c r="F123" s="7"/>
      <c r="G123" s="37">
        <v>35801</v>
      </c>
      <c r="H123" s="38" t="s">
        <v>83</v>
      </c>
      <c r="I123" s="311">
        <v>2005.2674992734337</v>
      </c>
      <c r="J123" s="311">
        <v>1153.04</v>
      </c>
      <c r="K123" s="39">
        <v>2205.7942492007769</v>
      </c>
      <c r="L123" s="40"/>
      <c r="M123" s="37">
        <v>35801</v>
      </c>
      <c r="N123" s="38" t="s">
        <v>83</v>
      </c>
      <c r="O123" s="311">
        <v>0</v>
      </c>
      <c r="P123" s="311"/>
      <c r="Q123" s="39">
        <v>0</v>
      </c>
      <c r="R123" s="35"/>
      <c r="S123" s="37">
        <v>35801</v>
      </c>
      <c r="T123" s="38" t="s">
        <v>83</v>
      </c>
      <c r="U123" s="311">
        <v>58495.88881170583</v>
      </c>
      <c r="V123" s="311">
        <v>14400</v>
      </c>
      <c r="W123" s="39">
        <v>62005.642140408178</v>
      </c>
      <c r="X123" s="35"/>
      <c r="Y123" s="37">
        <v>35801</v>
      </c>
      <c r="Z123" s="38" t="s">
        <v>83</v>
      </c>
      <c r="AA123" s="205">
        <v>0</v>
      </c>
      <c r="AB123" s="205"/>
      <c r="AC123" s="39">
        <v>0</v>
      </c>
      <c r="AD123" s="7"/>
      <c r="AE123" s="37">
        <v>35801</v>
      </c>
      <c r="AF123" s="38" t="s">
        <v>83</v>
      </c>
      <c r="AG123" s="327">
        <v>103200</v>
      </c>
      <c r="AH123" s="327">
        <v>59568.32</v>
      </c>
      <c r="AI123" s="42">
        <v>103200</v>
      </c>
    </row>
    <row r="124" spans="1:35" s="6" customFormat="1" ht="11.25">
      <c r="A124" s="37">
        <v>35901</v>
      </c>
      <c r="B124" s="38" t="s">
        <v>84</v>
      </c>
      <c r="C124" s="307">
        <f t="shared" si="9"/>
        <v>22534.582933289268</v>
      </c>
      <c r="D124" s="307">
        <f t="shared" si="7"/>
        <v>3639.86</v>
      </c>
      <c r="E124" s="382">
        <f t="shared" si="10"/>
        <v>29788.041226618196</v>
      </c>
      <c r="F124" s="7"/>
      <c r="G124" s="37">
        <v>35901</v>
      </c>
      <c r="H124" s="38" t="s">
        <v>84</v>
      </c>
      <c r="I124" s="307">
        <v>0</v>
      </c>
      <c r="J124" s="307">
        <v>3639.86</v>
      </c>
      <c r="K124" s="39">
        <v>5000</v>
      </c>
      <c r="L124" s="40"/>
      <c r="M124" s="37">
        <v>35901</v>
      </c>
      <c r="N124" s="38" t="s">
        <v>84</v>
      </c>
      <c r="O124" s="319">
        <v>22534.582933289268</v>
      </c>
      <c r="P124" s="319"/>
      <c r="Q124" s="39">
        <v>24788.041226618196</v>
      </c>
      <c r="R124" s="35"/>
      <c r="S124" s="37">
        <v>35901</v>
      </c>
      <c r="T124" s="38" t="s">
        <v>84</v>
      </c>
      <c r="U124" s="319">
        <v>0</v>
      </c>
      <c r="V124" s="319"/>
      <c r="W124" s="39">
        <v>0</v>
      </c>
      <c r="X124" s="35"/>
      <c r="Y124" s="37">
        <v>35901</v>
      </c>
      <c r="Z124" s="38" t="s">
        <v>84</v>
      </c>
      <c r="AA124" s="205">
        <v>0</v>
      </c>
      <c r="AB124" s="205"/>
      <c r="AC124" s="39">
        <v>0</v>
      </c>
      <c r="AD124" s="7"/>
      <c r="AE124" s="37">
        <v>35901</v>
      </c>
      <c r="AF124" s="38" t="s">
        <v>84</v>
      </c>
      <c r="AG124" s="327"/>
      <c r="AH124" s="327"/>
      <c r="AI124" s="42"/>
    </row>
    <row r="125" spans="1:35" s="6" customFormat="1" ht="45">
      <c r="A125" s="37">
        <v>36101</v>
      </c>
      <c r="B125" s="38" t="s">
        <v>85</v>
      </c>
      <c r="C125" s="307">
        <f t="shared" si="9"/>
        <v>1275762.7760579486</v>
      </c>
      <c r="D125" s="307">
        <f t="shared" si="7"/>
        <v>579715.30000000005</v>
      </c>
      <c r="E125" s="382">
        <f t="shared" si="10"/>
        <v>1391462.7501331232</v>
      </c>
      <c r="F125" s="7"/>
      <c r="G125" s="37">
        <v>36101</v>
      </c>
      <c r="H125" s="38" t="s">
        <v>85</v>
      </c>
      <c r="I125" s="311">
        <v>876107.09713021107</v>
      </c>
      <c r="J125" s="311">
        <v>414995.3</v>
      </c>
      <c r="K125" s="39">
        <v>963717.80684323213</v>
      </c>
      <c r="L125" s="40"/>
      <c r="M125" s="37">
        <v>36101</v>
      </c>
      <c r="N125" s="38" t="s">
        <v>85</v>
      </c>
      <c r="O125" s="311">
        <v>207148.09066223644</v>
      </c>
      <c r="P125" s="311">
        <v>83520</v>
      </c>
      <c r="Q125" s="39">
        <v>227862.89972846009</v>
      </c>
      <c r="R125" s="35"/>
      <c r="S125" s="37">
        <v>36101</v>
      </c>
      <c r="T125" s="38" t="s">
        <v>85</v>
      </c>
      <c r="U125" s="311">
        <v>122907.58826550117</v>
      </c>
      <c r="V125" s="311">
        <v>46400</v>
      </c>
      <c r="W125" s="39">
        <v>130282.04356143123</v>
      </c>
      <c r="X125" s="35"/>
      <c r="Y125" s="37">
        <v>36101</v>
      </c>
      <c r="Z125" s="38" t="s">
        <v>85</v>
      </c>
      <c r="AA125" s="205">
        <v>0</v>
      </c>
      <c r="AB125" s="205"/>
      <c r="AC125" s="39">
        <v>0</v>
      </c>
      <c r="AD125" s="7"/>
      <c r="AE125" s="37">
        <v>36101</v>
      </c>
      <c r="AF125" s="38" t="s">
        <v>85</v>
      </c>
      <c r="AG125" s="327">
        <v>69600</v>
      </c>
      <c r="AH125" s="327">
        <v>34800</v>
      </c>
      <c r="AI125" s="42">
        <v>69600</v>
      </c>
    </row>
    <row r="126" spans="1:35" s="6" customFormat="1" ht="22.5">
      <c r="A126" s="37">
        <v>36401</v>
      </c>
      <c r="B126" s="38" t="s">
        <v>86</v>
      </c>
      <c r="C126" s="307">
        <f t="shared" si="9"/>
        <v>447.76522196754536</v>
      </c>
      <c r="D126" s="307">
        <f t="shared" si="7"/>
        <v>0</v>
      </c>
      <c r="E126" s="382">
        <f t="shared" si="10"/>
        <v>492.54174416429987</v>
      </c>
      <c r="F126" s="7"/>
      <c r="G126" s="37">
        <v>36401</v>
      </c>
      <c r="H126" s="38" t="s">
        <v>86</v>
      </c>
      <c r="I126" s="311">
        <v>447.76522196754536</v>
      </c>
      <c r="J126" s="311"/>
      <c r="K126" s="39">
        <v>492.54174416429987</v>
      </c>
      <c r="L126" s="40"/>
      <c r="M126" s="37">
        <v>36401</v>
      </c>
      <c r="N126" s="38" t="s">
        <v>86</v>
      </c>
      <c r="O126" s="319">
        <v>0</v>
      </c>
      <c r="P126" s="319"/>
      <c r="Q126" s="39">
        <v>0</v>
      </c>
      <c r="R126" s="35"/>
      <c r="S126" s="37">
        <v>36401</v>
      </c>
      <c r="T126" s="38" t="s">
        <v>86</v>
      </c>
      <c r="U126" s="319">
        <v>0</v>
      </c>
      <c r="V126" s="319"/>
      <c r="W126" s="39">
        <v>0</v>
      </c>
      <c r="X126" s="35"/>
      <c r="Y126" s="37">
        <v>36401</v>
      </c>
      <c r="Z126" s="38" t="s">
        <v>86</v>
      </c>
      <c r="AA126" s="205">
        <v>0</v>
      </c>
      <c r="AB126" s="205"/>
      <c r="AC126" s="39">
        <v>0</v>
      </c>
      <c r="AD126" s="7"/>
      <c r="AE126" s="37">
        <v>36401</v>
      </c>
      <c r="AF126" s="38" t="s">
        <v>86</v>
      </c>
      <c r="AG126" s="327"/>
      <c r="AH126" s="327"/>
      <c r="AI126" s="42"/>
    </row>
    <row r="127" spans="1:35" s="6" customFormat="1" ht="22.5">
      <c r="A127" s="37">
        <v>36501</v>
      </c>
      <c r="B127" s="38" t="s">
        <v>87</v>
      </c>
      <c r="C127" s="307">
        <f t="shared" si="9"/>
        <v>23092</v>
      </c>
      <c r="D127" s="307">
        <f t="shared" si="7"/>
        <v>0</v>
      </c>
      <c r="E127" s="382">
        <f t="shared" si="10"/>
        <v>25401.200000000001</v>
      </c>
      <c r="F127" s="7"/>
      <c r="G127" s="37">
        <v>36501</v>
      </c>
      <c r="H127" s="38" t="s">
        <v>87</v>
      </c>
      <c r="I127" s="307">
        <v>23092</v>
      </c>
      <c r="J127" s="307"/>
      <c r="K127" s="39">
        <v>25401.200000000001</v>
      </c>
      <c r="L127" s="40"/>
      <c r="M127" s="37">
        <v>36501</v>
      </c>
      <c r="N127" s="38" t="s">
        <v>87</v>
      </c>
      <c r="O127" s="319">
        <v>0</v>
      </c>
      <c r="P127" s="319"/>
      <c r="Q127" s="39">
        <v>0</v>
      </c>
      <c r="R127" s="35"/>
      <c r="S127" s="37">
        <v>36501</v>
      </c>
      <c r="T127" s="38" t="s">
        <v>87</v>
      </c>
      <c r="U127" s="319">
        <v>0</v>
      </c>
      <c r="V127" s="319"/>
      <c r="W127" s="39">
        <v>0</v>
      </c>
      <c r="X127" s="35"/>
      <c r="Y127" s="37">
        <v>36501</v>
      </c>
      <c r="Z127" s="38" t="s">
        <v>87</v>
      </c>
      <c r="AA127" s="205">
        <v>0</v>
      </c>
      <c r="AB127" s="205"/>
      <c r="AC127" s="39">
        <v>0</v>
      </c>
      <c r="AD127" s="7"/>
      <c r="AE127" s="37">
        <v>36501</v>
      </c>
      <c r="AF127" s="38" t="s">
        <v>87</v>
      </c>
      <c r="AG127" s="327"/>
      <c r="AH127" s="327"/>
      <c r="AI127" s="42"/>
    </row>
    <row r="128" spans="1:35" s="6" customFormat="1" ht="11.25">
      <c r="A128" s="37">
        <v>36901</v>
      </c>
      <c r="B128" s="38" t="s">
        <v>88</v>
      </c>
      <c r="C128" s="307">
        <f t="shared" si="9"/>
        <v>186778.67374696615</v>
      </c>
      <c r="D128" s="307">
        <f t="shared" si="7"/>
        <v>0</v>
      </c>
      <c r="E128" s="382">
        <f t="shared" si="10"/>
        <v>198113.25082831018</v>
      </c>
      <c r="F128" s="7"/>
      <c r="G128" s="37">
        <v>36901</v>
      </c>
      <c r="H128" s="38" t="s">
        <v>88</v>
      </c>
      <c r="I128" s="311">
        <v>3196.4164131513298</v>
      </c>
      <c r="J128" s="311"/>
      <c r="K128" s="39">
        <v>3516.0580544664626</v>
      </c>
      <c r="L128" s="40"/>
      <c r="M128" s="37">
        <v>36901</v>
      </c>
      <c r="N128" s="38" t="s">
        <v>88</v>
      </c>
      <c r="O128" s="319">
        <v>0</v>
      </c>
      <c r="P128" s="319"/>
      <c r="Q128" s="39">
        <v>0</v>
      </c>
      <c r="R128" s="35"/>
      <c r="S128" s="37">
        <v>36901</v>
      </c>
      <c r="T128" s="38" t="s">
        <v>88</v>
      </c>
      <c r="U128" s="311">
        <v>183582.25733381481</v>
      </c>
      <c r="V128" s="311"/>
      <c r="W128" s="39">
        <v>194597.19277384371</v>
      </c>
      <c r="X128" s="35"/>
      <c r="Y128" s="37">
        <v>36901</v>
      </c>
      <c r="Z128" s="38" t="s">
        <v>88</v>
      </c>
      <c r="AA128" s="205">
        <v>0</v>
      </c>
      <c r="AB128" s="205"/>
      <c r="AC128" s="39">
        <v>0</v>
      </c>
      <c r="AD128" s="7"/>
      <c r="AE128" s="37">
        <v>36901</v>
      </c>
      <c r="AF128" s="38" t="s">
        <v>88</v>
      </c>
      <c r="AG128" s="327"/>
      <c r="AH128" s="327"/>
      <c r="AI128" s="42"/>
    </row>
    <row r="129" spans="1:35" s="6" customFormat="1" ht="11.25">
      <c r="A129" s="37">
        <v>37101</v>
      </c>
      <c r="B129" s="38" t="s">
        <v>89</v>
      </c>
      <c r="C129" s="307">
        <f t="shared" si="9"/>
        <v>36688.495263871577</v>
      </c>
      <c r="D129" s="307">
        <f t="shared" si="7"/>
        <v>0</v>
      </c>
      <c r="E129" s="382">
        <f t="shared" si="10"/>
        <v>40357.344790258736</v>
      </c>
      <c r="F129" s="7"/>
      <c r="G129" s="37">
        <v>37101</v>
      </c>
      <c r="H129" s="38" t="s">
        <v>89</v>
      </c>
      <c r="I129" s="311">
        <v>27804.596495749218</v>
      </c>
      <c r="J129" s="311"/>
      <c r="K129" s="39">
        <v>30585.056145324139</v>
      </c>
      <c r="L129" s="40"/>
      <c r="M129" s="37">
        <v>37101</v>
      </c>
      <c r="N129" s="38" t="s">
        <v>89</v>
      </c>
      <c r="O129" s="311">
        <v>8883.8987681223625</v>
      </c>
      <c r="P129" s="311"/>
      <c r="Q129" s="39">
        <v>9772.2886449345988</v>
      </c>
      <c r="R129" s="35"/>
      <c r="S129" s="37">
        <v>37101</v>
      </c>
      <c r="T129" s="38" t="s">
        <v>89</v>
      </c>
      <c r="U129" s="319">
        <v>0</v>
      </c>
      <c r="V129" s="319"/>
      <c r="W129" s="39">
        <v>0</v>
      </c>
      <c r="X129" s="35"/>
      <c r="Y129" s="37">
        <v>37101</v>
      </c>
      <c r="Z129" s="38" t="s">
        <v>89</v>
      </c>
      <c r="AA129" s="205">
        <v>0</v>
      </c>
      <c r="AB129" s="205"/>
      <c r="AC129" s="39">
        <v>0</v>
      </c>
      <c r="AD129" s="7"/>
      <c r="AE129" s="37">
        <v>37101</v>
      </c>
      <c r="AF129" s="38" t="s">
        <v>89</v>
      </c>
      <c r="AG129" s="327"/>
      <c r="AH129" s="327"/>
      <c r="AI129" s="42"/>
    </row>
    <row r="130" spans="1:35" s="6" customFormat="1" ht="11.25">
      <c r="A130" s="37">
        <v>37104</v>
      </c>
      <c r="B130" s="38" t="s">
        <v>90</v>
      </c>
      <c r="C130" s="307">
        <f t="shared" si="9"/>
        <v>0</v>
      </c>
      <c r="D130" s="307">
        <f t="shared" si="7"/>
        <v>0</v>
      </c>
      <c r="E130" s="382">
        <f t="shared" si="10"/>
        <v>0</v>
      </c>
      <c r="F130" s="7"/>
      <c r="G130" s="37">
        <v>37104</v>
      </c>
      <c r="H130" s="38" t="s">
        <v>90</v>
      </c>
      <c r="I130" s="307">
        <v>0</v>
      </c>
      <c r="J130" s="307"/>
      <c r="K130" s="39">
        <v>0</v>
      </c>
      <c r="L130" s="40"/>
      <c r="M130" s="37">
        <v>37104</v>
      </c>
      <c r="N130" s="38" t="s">
        <v>90</v>
      </c>
      <c r="O130" s="319">
        <v>0</v>
      </c>
      <c r="P130" s="319"/>
      <c r="Q130" s="39">
        <v>0</v>
      </c>
      <c r="R130" s="35"/>
      <c r="S130" s="37">
        <v>37104</v>
      </c>
      <c r="T130" s="38" t="s">
        <v>90</v>
      </c>
      <c r="U130" s="319">
        <v>0</v>
      </c>
      <c r="V130" s="319"/>
      <c r="W130" s="39">
        <v>0</v>
      </c>
      <c r="X130" s="35"/>
      <c r="Y130" s="37">
        <v>37104</v>
      </c>
      <c r="Z130" s="38" t="s">
        <v>90</v>
      </c>
      <c r="AA130" s="205">
        <v>0</v>
      </c>
      <c r="AB130" s="205"/>
      <c r="AC130" s="39">
        <v>0</v>
      </c>
      <c r="AD130" s="7"/>
      <c r="AE130" s="37">
        <v>37104</v>
      </c>
      <c r="AF130" s="38" t="s">
        <v>90</v>
      </c>
      <c r="AG130" s="327"/>
      <c r="AH130" s="327"/>
      <c r="AI130" s="42"/>
    </row>
    <row r="131" spans="1:35" s="6" customFormat="1" ht="11.25">
      <c r="A131" s="37">
        <v>37201</v>
      </c>
      <c r="B131" s="38" t="s">
        <v>91</v>
      </c>
      <c r="C131" s="307">
        <f t="shared" si="9"/>
        <v>1500</v>
      </c>
      <c r="D131" s="307">
        <f t="shared" si="7"/>
        <v>0</v>
      </c>
      <c r="E131" s="382">
        <f t="shared" si="10"/>
        <v>1500</v>
      </c>
      <c r="F131" s="7"/>
      <c r="G131" s="37">
        <v>37201</v>
      </c>
      <c r="H131" s="38" t="s">
        <v>91</v>
      </c>
      <c r="I131" s="307">
        <v>0</v>
      </c>
      <c r="J131" s="307"/>
      <c r="K131" s="39">
        <v>0</v>
      </c>
      <c r="L131" s="40"/>
      <c r="M131" s="37">
        <v>37201</v>
      </c>
      <c r="N131" s="38" t="s">
        <v>91</v>
      </c>
      <c r="O131" s="319">
        <v>0</v>
      </c>
      <c r="P131" s="319"/>
      <c r="Q131" s="39">
        <v>0</v>
      </c>
      <c r="R131" s="35"/>
      <c r="S131" s="37">
        <v>37201</v>
      </c>
      <c r="T131" s="38" t="s">
        <v>91</v>
      </c>
      <c r="U131" s="319">
        <v>0</v>
      </c>
      <c r="V131" s="319"/>
      <c r="W131" s="39">
        <v>0</v>
      </c>
      <c r="X131" s="35"/>
      <c r="Y131" s="37">
        <v>37201</v>
      </c>
      <c r="Z131" s="38" t="s">
        <v>91</v>
      </c>
      <c r="AA131" s="205">
        <v>0</v>
      </c>
      <c r="AB131" s="205"/>
      <c r="AC131" s="39">
        <v>0</v>
      </c>
      <c r="AD131" s="7"/>
      <c r="AE131" s="37">
        <v>37201</v>
      </c>
      <c r="AF131" s="38" t="s">
        <v>91</v>
      </c>
      <c r="AG131" s="327">
        <v>1500</v>
      </c>
      <c r="AH131" s="327"/>
      <c r="AI131" s="42">
        <v>1500</v>
      </c>
    </row>
    <row r="132" spans="1:35" s="6" customFormat="1" ht="11.25">
      <c r="A132" s="37">
        <v>37501</v>
      </c>
      <c r="B132" s="38" t="s">
        <v>92</v>
      </c>
      <c r="C132" s="307">
        <f t="shared" si="9"/>
        <v>502757.47803989926</v>
      </c>
      <c r="D132" s="307">
        <f t="shared" si="7"/>
        <v>565950</v>
      </c>
      <c r="E132" s="382">
        <f t="shared" si="10"/>
        <v>683793.22584388917</v>
      </c>
      <c r="F132" s="7"/>
      <c r="G132" s="37">
        <v>37501</v>
      </c>
      <c r="H132" s="38" t="s">
        <v>92</v>
      </c>
      <c r="I132" s="311">
        <v>305850.56145324139</v>
      </c>
      <c r="J132" s="311">
        <v>468700</v>
      </c>
      <c r="K132" s="39">
        <v>486435.61759856553</v>
      </c>
      <c r="L132" s="40"/>
      <c r="M132" s="37">
        <v>37501</v>
      </c>
      <c r="N132" s="38" t="s">
        <v>92</v>
      </c>
      <c r="O132" s="311">
        <v>4506.9165866578533</v>
      </c>
      <c r="P132" s="311">
        <v>2200</v>
      </c>
      <c r="Q132" s="39">
        <v>4957.6082453236386</v>
      </c>
      <c r="R132" s="35"/>
      <c r="S132" s="37">
        <v>37501</v>
      </c>
      <c r="T132" s="38" t="s">
        <v>92</v>
      </c>
      <c r="U132" s="319">
        <v>0</v>
      </c>
      <c r="V132" s="319">
        <v>850</v>
      </c>
      <c r="W132" s="39">
        <v>0</v>
      </c>
      <c r="X132" s="35"/>
      <c r="Y132" s="37">
        <v>37501</v>
      </c>
      <c r="Z132" s="38" t="s">
        <v>92</v>
      </c>
      <c r="AA132" s="205">
        <v>0</v>
      </c>
      <c r="AB132" s="205"/>
      <c r="AC132" s="39">
        <v>0</v>
      </c>
      <c r="AD132" s="7"/>
      <c r="AE132" s="37">
        <v>37501</v>
      </c>
      <c r="AF132" s="38" t="s">
        <v>92</v>
      </c>
      <c r="AG132" s="327">
        <v>192400</v>
      </c>
      <c r="AH132" s="327">
        <v>94200</v>
      </c>
      <c r="AI132" s="42">
        <v>192400</v>
      </c>
    </row>
    <row r="133" spans="1:35" s="6" customFormat="1" ht="11.25">
      <c r="A133" s="37">
        <v>37502</v>
      </c>
      <c r="B133" s="38" t="s">
        <v>93</v>
      </c>
      <c r="C133" s="307">
        <f t="shared" si="9"/>
        <v>261243.39550185503</v>
      </c>
      <c r="D133" s="307">
        <f t="shared" si="7"/>
        <v>144600</v>
      </c>
      <c r="E133" s="382">
        <f t="shared" si="10"/>
        <v>280136.71969536174</v>
      </c>
      <c r="F133" s="7"/>
      <c r="G133" s="37">
        <v>37502</v>
      </c>
      <c r="H133" s="38" t="s">
        <v>93</v>
      </c>
      <c r="I133" s="311">
        <v>157477.44926490478</v>
      </c>
      <c r="J133" s="311">
        <v>80600</v>
      </c>
      <c r="K133" s="39">
        <v>173225.19419139525</v>
      </c>
      <c r="L133" s="40"/>
      <c r="M133" s="37">
        <v>37502</v>
      </c>
      <c r="N133" s="38" t="s">
        <v>93</v>
      </c>
      <c r="O133" s="311">
        <v>10140.56231998017</v>
      </c>
      <c r="P133" s="311">
        <v>6900</v>
      </c>
      <c r="Q133" s="39">
        <v>11154.618551978187</v>
      </c>
      <c r="R133" s="35"/>
      <c r="S133" s="37">
        <v>37502</v>
      </c>
      <c r="T133" s="38" t="s">
        <v>93</v>
      </c>
      <c r="U133" s="311">
        <v>35525.38391697008</v>
      </c>
      <c r="V133" s="311">
        <v>19100</v>
      </c>
      <c r="W133" s="39">
        <v>37656.906951988283</v>
      </c>
      <c r="X133" s="35"/>
      <c r="Y133" s="37">
        <v>37502</v>
      </c>
      <c r="Z133" s="38" t="s">
        <v>93</v>
      </c>
      <c r="AA133" s="205">
        <v>0</v>
      </c>
      <c r="AB133" s="205"/>
      <c r="AC133" s="39">
        <v>0</v>
      </c>
      <c r="AD133" s="7"/>
      <c r="AE133" s="37">
        <v>37502</v>
      </c>
      <c r="AF133" s="38" t="s">
        <v>93</v>
      </c>
      <c r="AG133" s="327">
        <v>58100</v>
      </c>
      <c r="AH133" s="327">
        <v>38000</v>
      </c>
      <c r="AI133" s="42">
        <v>58100</v>
      </c>
    </row>
    <row r="134" spans="1:35" s="6" customFormat="1" ht="11.25">
      <c r="A134" s="37">
        <v>37601</v>
      </c>
      <c r="B134" s="38" t="s">
        <v>94</v>
      </c>
      <c r="C134" s="307">
        <f t="shared" si="9"/>
        <v>0</v>
      </c>
      <c r="D134" s="307">
        <f t="shared" si="7"/>
        <v>0</v>
      </c>
      <c r="E134" s="382">
        <f t="shared" si="10"/>
        <v>0</v>
      </c>
      <c r="F134" s="7"/>
      <c r="G134" s="37">
        <v>37601</v>
      </c>
      <c r="H134" s="38" t="s">
        <v>94</v>
      </c>
      <c r="I134" s="307">
        <v>0</v>
      </c>
      <c r="J134" s="307"/>
      <c r="K134" s="39">
        <v>0</v>
      </c>
      <c r="L134" s="40"/>
      <c r="M134" s="37">
        <v>37601</v>
      </c>
      <c r="N134" s="38" t="s">
        <v>94</v>
      </c>
      <c r="O134" s="319">
        <v>0</v>
      </c>
      <c r="P134" s="319"/>
      <c r="Q134" s="39">
        <v>0</v>
      </c>
      <c r="R134" s="35"/>
      <c r="S134" s="37">
        <v>37601</v>
      </c>
      <c r="T134" s="38" t="s">
        <v>94</v>
      </c>
      <c r="U134" s="319">
        <v>0</v>
      </c>
      <c r="V134" s="319"/>
      <c r="W134" s="39">
        <v>0</v>
      </c>
      <c r="X134" s="35"/>
      <c r="Y134" s="37">
        <v>37601</v>
      </c>
      <c r="Z134" s="38" t="s">
        <v>94</v>
      </c>
      <c r="AA134" s="205">
        <v>0</v>
      </c>
      <c r="AB134" s="205"/>
      <c r="AC134" s="39">
        <v>0</v>
      </c>
      <c r="AD134" s="7"/>
      <c r="AE134" s="37">
        <v>37601</v>
      </c>
      <c r="AF134" s="38" t="s">
        <v>94</v>
      </c>
      <c r="AG134" s="327"/>
      <c r="AH134" s="327"/>
      <c r="AI134" s="42"/>
    </row>
    <row r="135" spans="1:35" s="6" customFormat="1" ht="22.5">
      <c r="A135" s="37">
        <v>37801</v>
      </c>
      <c r="B135" s="38" t="s">
        <v>95</v>
      </c>
      <c r="C135" s="307">
        <f t="shared" si="9"/>
        <v>0</v>
      </c>
      <c r="D135" s="307">
        <f t="shared" si="7"/>
        <v>0</v>
      </c>
      <c r="E135" s="382">
        <f t="shared" si="10"/>
        <v>0</v>
      </c>
      <c r="F135" s="7"/>
      <c r="G135" s="37">
        <v>37801</v>
      </c>
      <c r="H135" s="38" t="s">
        <v>95</v>
      </c>
      <c r="I135" s="307">
        <v>0</v>
      </c>
      <c r="J135" s="307"/>
      <c r="K135" s="39">
        <v>0</v>
      </c>
      <c r="L135" s="40"/>
      <c r="M135" s="37">
        <v>37801</v>
      </c>
      <c r="N135" s="38" t="s">
        <v>95</v>
      </c>
      <c r="O135" s="319">
        <v>0</v>
      </c>
      <c r="P135" s="319"/>
      <c r="Q135" s="39">
        <v>0</v>
      </c>
      <c r="R135" s="35"/>
      <c r="S135" s="37">
        <v>37801</v>
      </c>
      <c r="T135" s="38" t="s">
        <v>95</v>
      </c>
      <c r="U135" s="319">
        <v>0</v>
      </c>
      <c r="V135" s="319"/>
      <c r="W135" s="39">
        <v>0</v>
      </c>
      <c r="X135" s="35"/>
      <c r="Y135" s="37">
        <v>37801</v>
      </c>
      <c r="Z135" s="38" t="s">
        <v>95</v>
      </c>
      <c r="AA135" s="205">
        <v>0</v>
      </c>
      <c r="AB135" s="205"/>
      <c r="AC135" s="39">
        <v>0</v>
      </c>
      <c r="AD135" s="7"/>
      <c r="AE135" s="37">
        <v>37801</v>
      </c>
      <c r="AF135" s="38" t="s">
        <v>95</v>
      </c>
      <c r="AG135" s="327"/>
      <c r="AH135" s="327"/>
      <c r="AI135" s="42"/>
    </row>
    <row r="136" spans="1:35" s="6" customFormat="1" ht="11.25">
      <c r="A136" s="37">
        <v>37901</v>
      </c>
      <c r="B136" s="38" t="s">
        <v>96</v>
      </c>
      <c r="C136" s="307">
        <f t="shared" si="9"/>
        <v>0</v>
      </c>
      <c r="D136" s="307">
        <f t="shared" si="7"/>
        <v>0</v>
      </c>
      <c r="E136" s="382">
        <f t="shared" si="10"/>
        <v>0</v>
      </c>
      <c r="F136" s="7"/>
      <c r="G136" s="37">
        <v>37901</v>
      </c>
      <c r="H136" s="38" t="s">
        <v>96</v>
      </c>
      <c r="I136" s="307">
        <v>0</v>
      </c>
      <c r="J136" s="307"/>
      <c r="K136" s="39">
        <v>0</v>
      </c>
      <c r="L136" s="40"/>
      <c r="M136" s="37">
        <v>37901</v>
      </c>
      <c r="N136" s="38" t="s">
        <v>96</v>
      </c>
      <c r="O136" s="319">
        <v>0</v>
      </c>
      <c r="P136" s="319"/>
      <c r="Q136" s="39">
        <v>0</v>
      </c>
      <c r="R136" s="35"/>
      <c r="S136" s="37">
        <v>37901</v>
      </c>
      <c r="T136" s="38" t="s">
        <v>96</v>
      </c>
      <c r="U136" s="319">
        <v>0</v>
      </c>
      <c r="V136" s="319"/>
      <c r="W136" s="39">
        <v>0</v>
      </c>
      <c r="X136" s="35"/>
      <c r="Y136" s="37">
        <v>37901</v>
      </c>
      <c r="Z136" s="38" t="s">
        <v>96</v>
      </c>
      <c r="AA136" s="205">
        <v>0</v>
      </c>
      <c r="AB136" s="205"/>
      <c r="AC136" s="39">
        <v>0</v>
      </c>
      <c r="AD136" s="7"/>
      <c r="AE136" s="37">
        <v>37901</v>
      </c>
      <c r="AF136" s="38" t="s">
        <v>96</v>
      </c>
      <c r="AG136" s="327"/>
      <c r="AH136" s="327"/>
      <c r="AI136" s="42"/>
    </row>
    <row r="137" spans="1:35" s="6" customFormat="1" ht="11.25">
      <c r="A137" s="37">
        <v>38101</v>
      </c>
      <c r="B137" s="38" t="s">
        <v>97</v>
      </c>
      <c r="C137" s="307">
        <f t="shared" si="9"/>
        <v>0</v>
      </c>
      <c r="D137" s="307">
        <f t="shared" si="7"/>
        <v>0</v>
      </c>
      <c r="E137" s="382">
        <f t="shared" si="10"/>
        <v>0</v>
      </c>
      <c r="F137" s="7"/>
      <c r="G137" s="37">
        <v>38101</v>
      </c>
      <c r="H137" s="38" t="s">
        <v>97</v>
      </c>
      <c r="I137" s="307">
        <v>0</v>
      </c>
      <c r="J137" s="307"/>
      <c r="K137" s="39">
        <v>0</v>
      </c>
      <c r="L137" s="40"/>
      <c r="M137" s="37">
        <v>38101</v>
      </c>
      <c r="N137" s="38" t="s">
        <v>97</v>
      </c>
      <c r="O137" s="319">
        <v>0</v>
      </c>
      <c r="P137" s="319"/>
      <c r="Q137" s="39">
        <v>0</v>
      </c>
      <c r="R137" s="35"/>
      <c r="S137" s="37">
        <v>38101</v>
      </c>
      <c r="T137" s="38" t="s">
        <v>97</v>
      </c>
      <c r="U137" s="319">
        <v>0</v>
      </c>
      <c r="V137" s="319"/>
      <c r="W137" s="39">
        <v>0</v>
      </c>
      <c r="X137" s="35"/>
      <c r="Y137" s="37">
        <v>38101</v>
      </c>
      <c r="Z137" s="38" t="s">
        <v>97</v>
      </c>
      <c r="AA137" s="205">
        <v>0</v>
      </c>
      <c r="AB137" s="205"/>
      <c r="AC137" s="39">
        <v>0</v>
      </c>
      <c r="AD137" s="7"/>
      <c r="AE137" s="37">
        <v>38101</v>
      </c>
      <c r="AF137" s="38" t="s">
        <v>97</v>
      </c>
      <c r="AG137" s="327"/>
      <c r="AH137" s="327"/>
      <c r="AI137" s="42"/>
    </row>
    <row r="138" spans="1:35" s="6" customFormat="1" ht="11.25">
      <c r="A138" s="37">
        <v>38201</v>
      </c>
      <c r="B138" s="38" t="s">
        <v>98</v>
      </c>
      <c r="C138" s="307">
        <f t="shared" si="9"/>
        <v>0</v>
      </c>
      <c r="D138" s="307">
        <f t="shared" si="7"/>
        <v>0</v>
      </c>
      <c r="E138" s="382">
        <f t="shared" si="10"/>
        <v>0</v>
      </c>
      <c r="F138" s="7"/>
      <c r="G138" s="37">
        <v>38201</v>
      </c>
      <c r="H138" s="38" t="s">
        <v>98</v>
      </c>
      <c r="I138" s="307">
        <v>0</v>
      </c>
      <c r="J138" s="307"/>
      <c r="K138" s="39">
        <v>0</v>
      </c>
      <c r="L138" s="40"/>
      <c r="M138" s="37">
        <v>38201</v>
      </c>
      <c r="N138" s="38" t="s">
        <v>98</v>
      </c>
      <c r="O138" s="319">
        <v>0</v>
      </c>
      <c r="P138" s="319"/>
      <c r="Q138" s="39">
        <v>0</v>
      </c>
      <c r="R138" s="35"/>
      <c r="S138" s="37">
        <v>38201</v>
      </c>
      <c r="T138" s="38" t="s">
        <v>98</v>
      </c>
      <c r="U138" s="319">
        <v>0</v>
      </c>
      <c r="V138" s="319"/>
      <c r="W138" s="39">
        <v>0</v>
      </c>
      <c r="X138" s="35"/>
      <c r="Y138" s="37">
        <v>38201</v>
      </c>
      <c r="Z138" s="38" t="s">
        <v>98</v>
      </c>
      <c r="AA138" s="205">
        <v>0</v>
      </c>
      <c r="AB138" s="205"/>
      <c r="AC138" s="39">
        <v>0</v>
      </c>
      <c r="AD138" s="7"/>
      <c r="AE138" s="37">
        <v>38201</v>
      </c>
      <c r="AF138" s="38" t="s">
        <v>98</v>
      </c>
      <c r="AG138" s="327"/>
      <c r="AH138" s="327"/>
      <c r="AI138" s="42"/>
    </row>
    <row r="139" spans="1:35" s="6" customFormat="1" ht="11.25">
      <c r="A139" s="37">
        <v>38301</v>
      </c>
      <c r="B139" s="38" t="s">
        <v>99</v>
      </c>
      <c r="C139" s="307">
        <f t="shared" si="9"/>
        <v>0</v>
      </c>
      <c r="D139" s="307">
        <f t="shared" si="7"/>
        <v>0</v>
      </c>
      <c r="E139" s="382">
        <f t="shared" si="10"/>
        <v>0</v>
      </c>
      <c r="F139" s="7"/>
      <c r="G139" s="37">
        <v>38301</v>
      </c>
      <c r="H139" s="38" t="s">
        <v>99</v>
      </c>
      <c r="I139" s="307">
        <v>0</v>
      </c>
      <c r="J139" s="307"/>
      <c r="K139" s="39">
        <v>0</v>
      </c>
      <c r="L139" s="40"/>
      <c r="M139" s="37">
        <v>38301</v>
      </c>
      <c r="N139" s="38" t="s">
        <v>99</v>
      </c>
      <c r="O139" s="319">
        <v>0</v>
      </c>
      <c r="P139" s="319"/>
      <c r="Q139" s="39">
        <v>0</v>
      </c>
      <c r="R139" s="35"/>
      <c r="S139" s="37">
        <v>38301</v>
      </c>
      <c r="T139" s="38" t="s">
        <v>99</v>
      </c>
      <c r="U139" s="319">
        <v>0</v>
      </c>
      <c r="V139" s="319"/>
      <c r="W139" s="39">
        <v>0</v>
      </c>
      <c r="X139" s="35"/>
      <c r="Y139" s="37">
        <v>38301</v>
      </c>
      <c r="Z139" s="38" t="s">
        <v>99</v>
      </c>
      <c r="AA139" s="205">
        <v>0</v>
      </c>
      <c r="AB139" s="205"/>
      <c r="AC139" s="39">
        <v>0</v>
      </c>
      <c r="AD139" s="7"/>
      <c r="AE139" s="37">
        <v>38301</v>
      </c>
      <c r="AF139" s="38" t="s">
        <v>99</v>
      </c>
      <c r="AG139" s="327"/>
      <c r="AH139" s="327"/>
      <c r="AI139" s="42"/>
    </row>
    <row r="140" spans="1:35" s="6" customFormat="1" ht="11.25">
      <c r="A140" s="37">
        <v>38501</v>
      </c>
      <c r="B140" s="38" t="s">
        <v>100</v>
      </c>
      <c r="C140" s="307">
        <f t="shared" si="9"/>
        <v>0</v>
      </c>
      <c r="D140" s="307">
        <f t="shared" si="7"/>
        <v>0</v>
      </c>
      <c r="E140" s="382">
        <f t="shared" si="10"/>
        <v>0</v>
      </c>
      <c r="F140" s="7"/>
      <c r="G140" s="37">
        <v>38501</v>
      </c>
      <c r="H140" s="38" t="s">
        <v>100</v>
      </c>
      <c r="I140" s="307">
        <v>0</v>
      </c>
      <c r="J140" s="307"/>
      <c r="K140" s="39">
        <v>0</v>
      </c>
      <c r="L140" s="40"/>
      <c r="M140" s="37">
        <v>38501</v>
      </c>
      <c r="N140" s="38" t="s">
        <v>100</v>
      </c>
      <c r="O140" s="319">
        <v>0</v>
      </c>
      <c r="P140" s="319"/>
      <c r="Q140" s="39">
        <v>0</v>
      </c>
      <c r="R140" s="35"/>
      <c r="S140" s="37">
        <v>38501</v>
      </c>
      <c r="T140" s="38" t="s">
        <v>100</v>
      </c>
      <c r="U140" s="319">
        <v>0</v>
      </c>
      <c r="V140" s="319"/>
      <c r="W140" s="39">
        <v>0</v>
      </c>
      <c r="X140" s="35"/>
      <c r="Y140" s="37">
        <v>38501</v>
      </c>
      <c r="Z140" s="38" t="s">
        <v>100</v>
      </c>
      <c r="AA140" s="205">
        <v>0</v>
      </c>
      <c r="AB140" s="205"/>
      <c r="AC140" s="39">
        <v>0</v>
      </c>
      <c r="AD140" s="7"/>
      <c r="AE140" s="37">
        <v>38501</v>
      </c>
      <c r="AF140" s="38" t="s">
        <v>100</v>
      </c>
      <c r="AG140" s="327"/>
      <c r="AH140" s="327"/>
      <c r="AI140" s="42"/>
    </row>
    <row r="141" spans="1:35" s="6" customFormat="1" ht="11.25">
      <c r="A141" s="37">
        <v>39201</v>
      </c>
      <c r="B141" s="38" t="s">
        <v>101</v>
      </c>
      <c r="C141" s="307">
        <f t="shared" si="9"/>
        <v>5289701.4396392349</v>
      </c>
      <c r="D141" s="307">
        <f t="shared" si="7"/>
        <v>10434179.16</v>
      </c>
      <c r="E141" s="382">
        <f t="shared" si="10"/>
        <v>8502894.7167907786</v>
      </c>
      <c r="F141" s="7"/>
      <c r="G141" s="37">
        <v>39201</v>
      </c>
      <c r="H141" s="38" t="s">
        <v>101</v>
      </c>
      <c r="I141" s="311">
        <v>2667844.3606639788</v>
      </c>
      <c r="J141" s="311">
        <v>3938176.69</v>
      </c>
      <c r="K141" s="39">
        <v>3734628.7967303768</v>
      </c>
      <c r="L141" s="40"/>
      <c r="M141" s="37">
        <v>39201</v>
      </c>
      <c r="N141" s="38" t="s">
        <v>101</v>
      </c>
      <c r="O141" s="311">
        <v>450691.65866578539</v>
      </c>
      <c r="P141" s="311">
        <v>1001571.79</v>
      </c>
      <c r="Q141" s="39">
        <v>995760.82453236391</v>
      </c>
      <c r="R141" s="35"/>
      <c r="S141" s="37">
        <v>39201</v>
      </c>
      <c r="T141" s="38" t="s">
        <v>101</v>
      </c>
      <c r="U141" s="311">
        <v>2124591.2370964843</v>
      </c>
      <c r="V141" s="311">
        <v>2445574.52</v>
      </c>
      <c r="W141" s="39">
        <v>2552066.7113222731</v>
      </c>
      <c r="X141" s="35"/>
      <c r="Y141" s="37">
        <v>39201</v>
      </c>
      <c r="Z141" s="38" t="s">
        <v>101</v>
      </c>
      <c r="AA141" s="311">
        <v>46574.183212985867</v>
      </c>
      <c r="AB141" s="311">
        <v>5323.16</v>
      </c>
      <c r="AC141" s="39">
        <v>44368.634205765018</v>
      </c>
      <c r="AD141" s="7"/>
      <c r="AE141" s="37">
        <v>39201</v>
      </c>
      <c r="AF141" s="38" t="s">
        <v>101</v>
      </c>
      <c r="AG141" s="327"/>
      <c r="AH141" s="327">
        <v>3043533</v>
      </c>
      <c r="AI141" s="42">
        <v>1176069.75</v>
      </c>
    </row>
    <row r="142" spans="1:35" s="6" customFormat="1" ht="22.5">
      <c r="A142" s="37">
        <v>39501</v>
      </c>
      <c r="B142" s="38" t="s">
        <v>102</v>
      </c>
      <c r="C142" s="307">
        <f t="shared" si="9"/>
        <v>1194638.8916430946</v>
      </c>
      <c r="D142" s="307">
        <f t="shared" si="7"/>
        <v>50670.64</v>
      </c>
      <c r="E142" s="382">
        <f t="shared" si="10"/>
        <v>1346247.8840763778</v>
      </c>
      <c r="F142" s="7"/>
      <c r="G142" s="37">
        <v>39501</v>
      </c>
      <c r="H142" s="38" t="s">
        <v>102</v>
      </c>
      <c r="I142" s="311">
        <v>634178.90548831085</v>
      </c>
      <c r="J142" s="311"/>
      <c r="K142" s="39">
        <v>697596.79603714193</v>
      </c>
      <c r="L142" s="40"/>
      <c r="M142" s="37">
        <v>39501</v>
      </c>
      <c r="N142" s="38" t="s">
        <v>102</v>
      </c>
      <c r="O142" s="311">
        <v>126462.56787913111</v>
      </c>
      <c r="P142" s="311"/>
      <c r="Q142" s="39">
        <v>139108.82466704422</v>
      </c>
      <c r="R142" s="35"/>
      <c r="S142" s="37">
        <v>39501</v>
      </c>
      <c r="T142" s="38" t="s">
        <v>102</v>
      </c>
      <c r="U142" s="311">
        <v>398276.29509685468</v>
      </c>
      <c r="V142" s="311"/>
      <c r="W142" s="39">
        <v>422172.87280266598</v>
      </c>
      <c r="X142" s="35"/>
      <c r="Y142" s="37">
        <v>39501</v>
      </c>
      <c r="Z142" s="38" t="s">
        <v>102</v>
      </c>
      <c r="AA142" s="311">
        <v>10721.123178797941</v>
      </c>
      <c r="AB142" s="311"/>
      <c r="AC142" s="39">
        <v>11364.390569525818</v>
      </c>
      <c r="AD142" s="7"/>
      <c r="AE142" s="37">
        <v>39501</v>
      </c>
      <c r="AF142" s="38" t="s">
        <v>102</v>
      </c>
      <c r="AG142" s="327">
        <v>25000</v>
      </c>
      <c r="AH142" s="327">
        <v>50670.64</v>
      </c>
      <c r="AI142" s="42">
        <v>76005</v>
      </c>
    </row>
    <row r="143" spans="1:35" s="6" customFormat="1" ht="11.25">
      <c r="A143" s="37">
        <v>39601</v>
      </c>
      <c r="B143" s="38" t="s">
        <v>103</v>
      </c>
      <c r="C143" s="307">
        <f t="shared" si="9"/>
        <v>8341.378948724765</v>
      </c>
      <c r="D143" s="307">
        <f t="shared" si="7"/>
        <v>0</v>
      </c>
      <c r="E143" s="382">
        <f t="shared" si="10"/>
        <v>9175.5168435972409</v>
      </c>
      <c r="F143" s="7"/>
      <c r="G143" s="37">
        <v>39601</v>
      </c>
      <c r="H143" s="38" t="s">
        <v>103</v>
      </c>
      <c r="I143" s="311">
        <v>8341.378948724765</v>
      </c>
      <c r="J143" s="311"/>
      <c r="K143" s="39">
        <v>9175.5168435972409</v>
      </c>
      <c r="L143" s="40"/>
      <c r="M143" s="37">
        <v>39601</v>
      </c>
      <c r="N143" s="38" t="s">
        <v>103</v>
      </c>
      <c r="O143" s="311">
        <v>0</v>
      </c>
      <c r="P143" s="311"/>
      <c r="Q143" s="39">
        <v>0</v>
      </c>
      <c r="R143" s="35"/>
      <c r="S143" s="37">
        <v>39601</v>
      </c>
      <c r="T143" s="38" t="s">
        <v>103</v>
      </c>
      <c r="U143" s="319">
        <v>0</v>
      </c>
      <c r="V143" s="319"/>
      <c r="W143" s="39">
        <v>0</v>
      </c>
      <c r="X143" s="35"/>
      <c r="Y143" s="37">
        <v>39601</v>
      </c>
      <c r="Z143" s="38" t="s">
        <v>103</v>
      </c>
      <c r="AA143" s="205">
        <v>0</v>
      </c>
      <c r="AB143" s="205"/>
      <c r="AC143" s="39">
        <v>0</v>
      </c>
      <c r="AD143" s="7"/>
      <c r="AE143" s="37">
        <v>39601</v>
      </c>
      <c r="AF143" s="38" t="s">
        <v>103</v>
      </c>
      <c r="AG143" s="327"/>
      <c r="AH143" s="327"/>
      <c r="AI143" s="42"/>
    </row>
    <row r="144" spans="1:35" s="6" customFormat="1" ht="11.25">
      <c r="A144" s="203">
        <v>39801</v>
      </c>
      <c r="B144" s="204" t="s">
        <v>159</v>
      </c>
      <c r="C144" s="307">
        <f t="shared" si="9"/>
        <v>1307132.1000000001</v>
      </c>
      <c r="D144" s="307">
        <f t="shared" si="7"/>
        <v>1664263.54</v>
      </c>
      <c r="E144" s="382">
        <f t="shared" si="10"/>
        <v>1915538.5667999999</v>
      </c>
      <c r="F144" s="10"/>
      <c r="G144" s="203">
        <v>39801</v>
      </c>
      <c r="H144" s="204" t="s">
        <v>159</v>
      </c>
      <c r="I144" s="316">
        <v>749812.77</v>
      </c>
      <c r="J144" s="316">
        <v>1041200</v>
      </c>
      <c r="K144" s="39">
        <f>1024794.047-0.16</f>
        <v>1024793.887</v>
      </c>
      <c r="L144" s="40"/>
      <c r="M144" s="203">
        <v>39801</v>
      </c>
      <c r="N144" s="204" t="s">
        <v>159</v>
      </c>
      <c r="O144" s="322">
        <v>168079</v>
      </c>
      <c r="P144" s="322">
        <v>325317</v>
      </c>
      <c r="Q144" s="39">
        <f>484886.9-0.31</f>
        <v>484886.59</v>
      </c>
      <c r="R144" s="35"/>
      <c r="S144" s="203">
        <v>39801</v>
      </c>
      <c r="T144" s="204" t="s">
        <v>159</v>
      </c>
      <c r="U144" s="310">
        <v>176443.33</v>
      </c>
      <c r="V144" s="310">
        <v>160483</v>
      </c>
      <c r="W144" s="39">
        <f>187029.9298-0.01</f>
        <v>187029.9198</v>
      </c>
      <c r="X144" s="35"/>
      <c r="Y144" s="203">
        <v>39801</v>
      </c>
      <c r="Z144" s="204" t="s">
        <v>159</v>
      </c>
      <c r="AA144" s="325">
        <v>17175</v>
      </c>
      <c r="AB144" s="325">
        <v>18905</v>
      </c>
      <c r="AC144" s="39">
        <f>23205.5-0.07</f>
        <v>23205.43</v>
      </c>
      <c r="AD144" s="7"/>
      <c r="AE144" s="203">
        <v>39801</v>
      </c>
      <c r="AF144" s="204" t="s">
        <v>159</v>
      </c>
      <c r="AG144" s="205">
        <v>195622</v>
      </c>
      <c r="AH144" s="205">
        <v>118358.54</v>
      </c>
      <c r="AI144" s="53">
        <f>195621.66-0.2+1.28</f>
        <v>195622.74</v>
      </c>
    </row>
    <row r="145" spans="1:35" s="6" customFormat="1" ht="11.25">
      <c r="A145" s="203"/>
      <c r="B145" s="204"/>
      <c r="C145" s="307"/>
      <c r="D145" s="307"/>
      <c r="E145" s="39"/>
      <c r="F145" s="10"/>
      <c r="G145" s="203"/>
      <c r="H145" s="204"/>
      <c r="I145" s="316"/>
      <c r="J145" s="316"/>
      <c r="K145" s="39"/>
      <c r="L145" s="40"/>
      <c r="M145" s="203"/>
      <c r="N145" s="204"/>
      <c r="O145" s="322"/>
      <c r="P145" s="322"/>
      <c r="Q145" s="39"/>
      <c r="R145" s="35"/>
      <c r="S145" s="203"/>
      <c r="T145" s="204"/>
      <c r="U145" s="310"/>
      <c r="V145" s="310"/>
      <c r="W145" s="39"/>
      <c r="X145" s="35"/>
      <c r="Y145" s="203"/>
      <c r="Z145" s="204"/>
      <c r="AA145" s="325"/>
      <c r="AB145" s="325"/>
      <c r="AC145" s="39"/>
      <c r="AD145" s="7"/>
      <c r="AE145" s="203"/>
      <c r="AF145" s="204"/>
      <c r="AG145" s="205"/>
      <c r="AH145" s="205"/>
      <c r="AI145" s="53"/>
    </row>
    <row r="146" spans="1:35" s="6" customFormat="1" ht="12" thickBot="1">
      <c r="A146" s="4"/>
      <c r="B146" s="5" t="s">
        <v>104</v>
      </c>
      <c r="C146" s="315">
        <f>C84+C47+C13</f>
        <v>378673236.00064158</v>
      </c>
      <c r="D146" s="315">
        <f>D84+D47+D13</f>
        <v>231019102.13</v>
      </c>
      <c r="E146" s="55">
        <f>E84+E47+E13</f>
        <v>389642128.84481812</v>
      </c>
      <c r="F146" s="10"/>
      <c r="G146" s="4"/>
      <c r="H146" s="5" t="s">
        <v>104</v>
      </c>
      <c r="I146" s="315">
        <f>I84+I47+I13</f>
        <v>200068981.14257345</v>
      </c>
      <c r="J146" s="315"/>
      <c r="K146" s="55">
        <f>K84+K47+K13</f>
        <v>320880668.59683084</v>
      </c>
      <c r="L146" s="56"/>
      <c r="M146" s="4"/>
      <c r="N146" s="5" t="s">
        <v>104</v>
      </c>
      <c r="O146" s="324">
        <f>O84+O47+O13</f>
        <v>69120954.606261104</v>
      </c>
      <c r="P146" s="324"/>
      <c r="Q146" s="55">
        <f>Q84+Q47+Q13</f>
        <v>74116352.601562247</v>
      </c>
      <c r="R146" s="35"/>
      <c r="S146" s="4"/>
      <c r="T146" s="5" t="s">
        <v>104</v>
      </c>
      <c r="U146" s="5">
        <f>U84+U47+U13</f>
        <v>43502672.889682695</v>
      </c>
      <c r="V146" s="5"/>
      <c r="W146" s="55">
        <f>W84+W47+W13</f>
        <v>46112833.253063664</v>
      </c>
      <c r="X146" s="35"/>
      <c r="Y146" s="57"/>
      <c r="Z146" s="58" t="s">
        <v>104</v>
      </c>
      <c r="AA146" s="58">
        <f>AA84+AA47+AA13</f>
        <v>3830703.1822280907</v>
      </c>
      <c r="AB146" s="58"/>
      <c r="AC146" s="55">
        <f>AC84+AC47+AC13</f>
        <v>3929275.1231617751</v>
      </c>
      <c r="AD146" s="7"/>
      <c r="AE146" s="4"/>
      <c r="AF146" s="5" t="s">
        <v>104</v>
      </c>
      <c r="AG146" s="330">
        <f>AG84+AG47+AG13</f>
        <v>62149924.179896086</v>
      </c>
      <c r="AH146" s="330"/>
      <c r="AI146" s="59">
        <f>AI84+AI47+AI13</f>
        <v>61457399.270199634</v>
      </c>
    </row>
    <row r="147" spans="1:35" s="27" customFormat="1" ht="50.25" customHeight="1">
      <c r="A147" s="107" t="s">
        <v>160</v>
      </c>
      <c r="B147" s="105" t="s">
        <v>161</v>
      </c>
      <c r="C147" s="106" t="s">
        <v>413</v>
      </c>
      <c r="D147" s="106"/>
      <c r="E147" s="60">
        <f>K147+Q147+W147+AC147+AI147</f>
        <v>291545412.47461855</v>
      </c>
      <c r="F147" s="103"/>
      <c r="G147" s="117">
        <f>F147-E147</f>
        <v>-291545412.47461855</v>
      </c>
      <c r="H147" s="108">
        <f>+I146-I85</f>
        <v>144838256.14257345</v>
      </c>
      <c r="I147" s="106" t="s">
        <v>413</v>
      </c>
      <c r="J147" s="106"/>
      <c r="K147" s="7">
        <v>159322081.59683084</v>
      </c>
      <c r="L147" s="29"/>
      <c r="M147" s="107" t="s">
        <v>160</v>
      </c>
      <c r="N147" s="108">
        <f>+O146-O85</f>
        <v>54307666.283238403</v>
      </c>
      <c r="O147" s="106" t="s">
        <v>413</v>
      </c>
      <c r="P147" s="109"/>
      <c r="Q147" s="7">
        <v>59738432.601562254</v>
      </c>
      <c r="R147" s="7"/>
      <c r="S147" s="107" t="s">
        <v>160</v>
      </c>
      <c r="T147" s="116">
        <f>+U146</f>
        <v>43502672.889682695</v>
      </c>
      <c r="U147" s="106" t="s">
        <v>413</v>
      </c>
      <c r="V147" s="109"/>
      <c r="W147" s="7">
        <v>46112833.253063664</v>
      </c>
      <c r="X147" s="10"/>
      <c r="Y147" s="107" t="s">
        <v>160</v>
      </c>
      <c r="Z147" s="117">
        <f>+AA146-AA85</f>
        <v>2362200.1822280907</v>
      </c>
      <c r="AA147" s="106" t="s">
        <v>413</v>
      </c>
      <c r="AB147" s="109"/>
      <c r="AC147" s="7">
        <v>2503932.1231617755</v>
      </c>
      <c r="AD147" s="104"/>
      <c r="AG147" s="106" t="s">
        <v>162</v>
      </c>
      <c r="AH147" s="106"/>
      <c r="AI147" s="231">
        <v>23868132.900000006</v>
      </c>
    </row>
    <row r="148" spans="1:35" s="27" customFormat="1">
      <c r="A148" s="119"/>
      <c r="C148" s="110" t="s">
        <v>163</v>
      </c>
      <c r="D148" s="110"/>
      <c r="E148" s="60">
        <f>K148+Q148+W148+AC148+AI148</f>
        <v>107000000.37019962</v>
      </c>
      <c r="F148" s="103"/>
      <c r="G148" s="107"/>
      <c r="H148" s="107"/>
      <c r="I148" s="110" t="s">
        <v>392</v>
      </c>
      <c r="J148" s="110"/>
      <c r="K148" s="165">
        <f>K85</f>
        <v>53607471</v>
      </c>
      <c r="L148" s="29"/>
      <c r="M148" s="107"/>
      <c r="N148" s="107"/>
      <c r="O148" s="110" t="s">
        <v>392</v>
      </c>
      <c r="P148" s="110"/>
      <c r="Q148" s="167">
        <f>Q85</f>
        <v>14377920</v>
      </c>
      <c r="R148" s="10"/>
      <c r="S148" s="107"/>
      <c r="T148" s="107"/>
      <c r="U148" s="111" t="s">
        <v>163</v>
      </c>
      <c r="V148" s="111"/>
      <c r="W148" s="10">
        <v>0</v>
      </c>
      <c r="X148" s="10"/>
      <c r="Y148" s="107"/>
      <c r="Z148" s="107"/>
      <c r="AA148" s="110" t="s">
        <v>392</v>
      </c>
      <c r="AB148" s="110"/>
      <c r="AC148" s="167">
        <f>AC85</f>
        <v>1425343</v>
      </c>
      <c r="AD148" s="104"/>
      <c r="AG148" s="110" t="s">
        <v>392</v>
      </c>
      <c r="AH148" s="110"/>
      <c r="AI148" s="165">
        <f>AI85</f>
        <v>37589266.370199628</v>
      </c>
    </row>
    <row r="149" spans="1:35" s="27" customFormat="1" ht="51" customHeight="1">
      <c r="A149" s="107" t="s">
        <v>164</v>
      </c>
      <c r="B149" s="105" t="s">
        <v>161</v>
      </c>
      <c r="C149" s="112" t="s">
        <v>233</v>
      </c>
      <c r="D149" s="112"/>
      <c r="E149" s="60">
        <v>120000000.00299621</v>
      </c>
      <c r="G149" s="107" t="s">
        <v>164</v>
      </c>
      <c r="H149" s="108">
        <f>+K147-H147</f>
        <v>14483825.454257399</v>
      </c>
      <c r="I149" s="112" t="s">
        <v>221</v>
      </c>
      <c r="J149" s="112"/>
      <c r="K149" s="165">
        <v>120000000</v>
      </c>
      <c r="L149" s="29"/>
      <c r="M149" s="107" t="s">
        <v>164</v>
      </c>
      <c r="N149" s="108">
        <f>+Q147-N147</f>
        <v>5430766.3183238506</v>
      </c>
      <c r="O149" s="110" t="s">
        <v>104</v>
      </c>
      <c r="P149" s="110"/>
      <c r="Q149" s="60">
        <f>SUM(Q147:Q148)</f>
        <v>74116352.601562262</v>
      </c>
      <c r="R149" s="10"/>
      <c r="S149" s="107" t="s">
        <v>164</v>
      </c>
      <c r="T149" s="117">
        <f>+W147-T147</f>
        <v>2610160.3633809686</v>
      </c>
      <c r="U149" s="110" t="s">
        <v>104</v>
      </c>
      <c r="V149" s="110"/>
      <c r="W149" s="60">
        <f>SUM(W147:W148)</f>
        <v>46112833.253063664</v>
      </c>
      <c r="X149" s="10"/>
      <c r="Y149" s="107" t="s">
        <v>164</v>
      </c>
      <c r="Z149" s="117">
        <f>+AC147-Z147</f>
        <v>141731.94093368482</v>
      </c>
      <c r="AA149" s="110" t="s">
        <v>104</v>
      </c>
      <c r="AB149" s="110"/>
      <c r="AC149" s="60">
        <f>SUM(AC147:AC148)</f>
        <v>3929275.1231617755</v>
      </c>
      <c r="AD149" s="104"/>
      <c r="AG149" s="110" t="s">
        <v>104</v>
      </c>
      <c r="AH149" s="110"/>
      <c r="AI149" s="60">
        <f>SUM(AI147:AI148)</f>
        <v>61457399.270199634</v>
      </c>
    </row>
    <row r="150" spans="1:35" s="27" customFormat="1">
      <c r="A150" s="119" t="s">
        <v>165</v>
      </c>
      <c r="B150" s="113" t="s">
        <v>161</v>
      </c>
      <c r="C150" s="110" t="s">
        <v>104</v>
      </c>
      <c r="D150" s="110"/>
      <c r="E150" s="60">
        <f>SUM(E147:E149)</f>
        <v>518545412.84781438</v>
      </c>
      <c r="G150" s="107" t="s">
        <v>165</v>
      </c>
      <c r="H150" s="114">
        <f>+H149/H147</f>
        <v>9.9999998895319853E-2</v>
      </c>
      <c r="I150" s="110" t="s">
        <v>104</v>
      </c>
      <c r="J150" s="110"/>
      <c r="K150" s="60">
        <f>SUM(K147:K149)</f>
        <v>332929552.59683084</v>
      </c>
      <c r="L150" s="29"/>
      <c r="M150" s="107" t="s">
        <v>165</v>
      </c>
      <c r="N150" s="114">
        <f>+N149/N147</f>
        <v>9.9999994291782163E-2</v>
      </c>
      <c r="O150" s="10"/>
      <c r="P150" s="10"/>
      <c r="Q150" s="60">
        <f>Q146-Q149</f>
        <v>0</v>
      </c>
      <c r="R150" s="10"/>
      <c r="S150" s="107" t="s">
        <v>165</v>
      </c>
      <c r="T150" s="114">
        <f>+T149/T147</f>
        <v>5.9999999770129223E-2</v>
      </c>
      <c r="U150" s="10"/>
      <c r="V150" s="10"/>
      <c r="W150" s="60">
        <f>W146-W149</f>
        <v>0</v>
      </c>
      <c r="X150" s="10"/>
      <c r="Y150" s="107" t="s">
        <v>165</v>
      </c>
      <c r="Z150" s="114">
        <f>+Z149/Z147</f>
        <v>5.9999970366609423E-2</v>
      </c>
      <c r="AA150" s="10"/>
      <c r="AB150" s="10"/>
      <c r="AC150" s="60">
        <f>AC146-AC149</f>
        <v>0</v>
      </c>
      <c r="AD150" s="104"/>
      <c r="AI150" s="103">
        <f>AI146-AI149</f>
        <v>0</v>
      </c>
    </row>
    <row r="151" spans="1:35" s="27" customFormat="1">
      <c r="B151" s="103" t="s">
        <v>161</v>
      </c>
      <c r="E151" s="103"/>
      <c r="G151" s="107"/>
      <c r="H151" s="107"/>
      <c r="I151" s="10"/>
      <c r="J151" s="10"/>
      <c r="K151" s="103">
        <f>K146-K150</f>
        <v>-12048884</v>
      </c>
      <c r="L151" s="10"/>
      <c r="M151" s="10"/>
      <c r="N151" s="10"/>
      <c r="O151" s="10"/>
      <c r="P151" s="10"/>
      <c r="Q151" s="60"/>
      <c r="R151" s="10"/>
      <c r="S151" s="107"/>
      <c r="T151" s="107"/>
      <c r="U151" s="10"/>
      <c r="V151" s="10"/>
      <c r="W151" s="115"/>
      <c r="X151" s="10"/>
      <c r="Y151" s="10"/>
      <c r="Z151" s="10"/>
      <c r="AA151" s="10"/>
      <c r="AB151" s="10"/>
      <c r="AC151" s="46"/>
      <c r="AD151" s="104"/>
    </row>
  </sheetData>
  <mergeCells count="52">
    <mergeCell ref="AG10:AG11"/>
    <mergeCell ref="AI10:AI11"/>
    <mergeCell ref="Y10:Y11"/>
    <mergeCell ref="Z10:Z11"/>
    <mergeCell ref="AA10:AA11"/>
    <mergeCell ref="AC10:AC11"/>
    <mergeCell ref="AE10:AE11"/>
    <mergeCell ref="AF10:AF11"/>
    <mergeCell ref="AH10:AH11"/>
    <mergeCell ref="AB10:AB11"/>
    <mergeCell ref="W10:W11"/>
    <mergeCell ref="G10:G11"/>
    <mergeCell ref="H10:H11"/>
    <mergeCell ref="I10:I11"/>
    <mergeCell ref="K10:K11"/>
    <mergeCell ref="M10:M11"/>
    <mergeCell ref="N10:N11"/>
    <mergeCell ref="O10:O11"/>
    <mergeCell ref="Q10:Q11"/>
    <mergeCell ref="S10:S11"/>
    <mergeCell ref="T10:T11"/>
    <mergeCell ref="U10:U11"/>
    <mergeCell ref="V10:V11"/>
    <mergeCell ref="P10:P11"/>
    <mergeCell ref="J10:J11"/>
    <mergeCell ref="A4:E4"/>
    <mergeCell ref="A5:E5"/>
    <mergeCell ref="A6:E6"/>
    <mergeCell ref="A7:E7"/>
    <mergeCell ref="A10:A11"/>
    <mergeCell ref="B10:B11"/>
    <mergeCell ref="C10:C11"/>
    <mergeCell ref="E10:E11"/>
    <mergeCell ref="D10:D11"/>
    <mergeCell ref="AE3:AI3"/>
    <mergeCell ref="A2:E2"/>
    <mergeCell ref="G2:K2"/>
    <mergeCell ref="M2:Q2"/>
    <mergeCell ref="S2:W2"/>
    <mergeCell ref="Y2:AC2"/>
    <mergeCell ref="AE2:AI2"/>
    <mergeCell ref="A3:E3"/>
    <mergeCell ref="G3:K3"/>
    <mergeCell ref="M3:Q3"/>
    <mergeCell ref="S3:W3"/>
    <mergeCell ref="Y3:AC3"/>
    <mergeCell ref="AE1:AI1"/>
    <mergeCell ref="A1:E1"/>
    <mergeCell ref="G1:K1"/>
    <mergeCell ref="M1:Q1"/>
    <mergeCell ref="S1:W1"/>
    <mergeCell ref="Y1:AC1"/>
  </mergeCells>
  <pageMargins left="0.25" right="0.25" top="0.75" bottom="0.75" header="0.3" footer="0.3"/>
  <pageSetup scale="80" orientation="portrait"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K25"/>
  <sheetViews>
    <sheetView showGridLines="0" zoomScaleNormal="100" workbookViewId="0">
      <selection activeCell="E157" sqref="E157"/>
    </sheetView>
  </sheetViews>
  <sheetFormatPr baseColWidth="10" defaultRowHeight="15"/>
  <cols>
    <col min="1" max="1" width="51" customWidth="1"/>
    <col min="2" max="4" width="15.140625" bestFit="1" customWidth="1"/>
    <col min="5" max="5" width="15.42578125" customWidth="1"/>
    <col min="6" max="6" width="15.28515625" customWidth="1"/>
    <col min="7" max="7" width="0.7109375" customWidth="1"/>
    <col min="8" max="8" width="18.28515625" customWidth="1"/>
    <col min="9" max="9" width="15.28515625" customWidth="1"/>
    <col min="10" max="10" width="3.42578125" customWidth="1"/>
    <col min="11" max="11" width="19.85546875" customWidth="1"/>
  </cols>
  <sheetData>
    <row r="1" spans="1:11" ht="15.75">
      <c r="A1" s="246"/>
    </row>
    <row r="2" spans="1:11">
      <c r="A2" s="440" t="s">
        <v>414</v>
      </c>
      <c r="B2" s="440"/>
      <c r="C2" s="440"/>
      <c r="D2" s="440"/>
      <c r="E2" s="440"/>
      <c r="F2" s="440"/>
      <c r="G2" s="440"/>
      <c r="H2" s="440"/>
      <c r="I2" s="440"/>
      <c r="J2" s="440"/>
    </row>
    <row r="3" spans="1:11" ht="15.75" thickBot="1">
      <c r="A3" s="247"/>
      <c r="B3" s="247"/>
      <c r="C3" s="247"/>
      <c r="D3" s="247"/>
      <c r="E3" s="247"/>
      <c r="F3" s="248"/>
      <c r="G3" s="441"/>
      <c r="H3" s="441"/>
    </row>
    <row r="4" spans="1:11">
      <c r="A4" s="442" t="s">
        <v>415</v>
      </c>
      <c r="B4" s="444" t="s">
        <v>416</v>
      </c>
      <c r="C4" s="444"/>
      <c r="D4" s="444"/>
      <c r="E4" s="444"/>
      <c r="F4" s="445"/>
      <c r="G4" s="249"/>
      <c r="H4" s="250"/>
      <c r="I4" s="251"/>
      <c r="K4" s="446" t="s">
        <v>417</v>
      </c>
    </row>
    <row r="5" spans="1:11" ht="45">
      <c r="A5" s="443"/>
      <c r="B5" s="252">
        <v>2017</v>
      </c>
      <c r="C5" s="252">
        <v>2018</v>
      </c>
      <c r="D5" s="252">
        <v>2019</v>
      </c>
      <c r="E5" s="252">
        <v>2020</v>
      </c>
      <c r="F5" s="253" t="s">
        <v>418</v>
      </c>
      <c r="G5" s="254"/>
      <c r="H5" s="255" t="s">
        <v>419</v>
      </c>
      <c r="I5" s="256" t="s">
        <v>420</v>
      </c>
      <c r="K5" s="446"/>
    </row>
    <row r="6" spans="1:11" ht="39.950000000000003" customHeight="1" thickBot="1">
      <c r="A6" s="257" t="s">
        <v>421</v>
      </c>
      <c r="B6" s="258">
        <v>202416796.74399999</v>
      </c>
      <c r="C6" s="258">
        <v>206009473.91599998</v>
      </c>
      <c r="D6" s="258">
        <v>213868998.21700001</v>
      </c>
      <c r="E6" s="258">
        <v>180256411.99999997</v>
      </c>
      <c r="F6" s="259">
        <v>189998454.13999999</v>
      </c>
      <c r="H6" s="260">
        <v>291545412.46782053</v>
      </c>
      <c r="I6" s="261">
        <f>(+H6-F6)/F6</f>
        <v>0.53446202384886698</v>
      </c>
      <c r="K6" s="446"/>
    </row>
    <row r="7" spans="1:11">
      <c r="K7" s="1"/>
    </row>
    <row r="9" spans="1:11">
      <c r="A9" s="447" t="s">
        <v>422</v>
      </c>
      <c r="B9" s="447"/>
      <c r="C9" s="447"/>
      <c r="D9" s="447"/>
      <c r="E9" s="447"/>
      <c r="F9" s="447"/>
      <c r="G9" s="440"/>
      <c r="H9" s="440"/>
    </row>
    <row r="10" spans="1:11" ht="15.75" thickBot="1"/>
    <row r="11" spans="1:11" ht="15.75" thickBot="1">
      <c r="A11" s="262" t="s">
        <v>415</v>
      </c>
      <c r="B11" s="448" t="s">
        <v>423</v>
      </c>
      <c r="C11" s="449"/>
      <c r="D11" s="449"/>
      <c r="E11" s="449"/>
      <c r="F11" s="450"/>
    </row>
    <row r="12" spans="1:11">
      <c r="A12" s="263"/>
      <c r="B12" s="264">
        <v>2023</v>
      </c>
      <c r="C12" s="265">
        <v>2024</v>
      </c>
      <c r="D12" s="265">
        <v>2025</v>
      </c>
      <c r="E12" s="265">
        <v>2026</v>
      </c>
      <c r="F12" s="266">
        <v>2027</v>
      </c>
    </row>
    <row r="13" spans="1:11" ht="39.950000000000003" customHeight="1" thickBot="1">
      <c r="A13" s="257" t="str">
        <f>+A6</f>
        <v xml:space="preserve">COMISION ESTATAL DEL AGUA </v>
      </c>
      <c r="B13" s="267">
        <v>308358192.18300003</v>
      </c>
      <c r="C13" s="258">
        <v>330931946.17514998</v>
      </c>
      <c r="D13" s="258">
        <v>355509746.45240748</v>
      </c>
      <c r="E13" s="258">
        <v>382280800.23752785</v>
      </c>
      <c r="F13" s="259">
        <v>411452641.85090429</v>
      </c>
    </row>
    <row r="15" spans="1:11" ht="15.75" thickBot="1">
      <c r="A15" s="451" t="s">
        <v>424</v>
      </c>
      <c r="B15" s="451"/>
      <c r="C15" s="451"/>
      <c r="D15" s="451"/>
      <c r="E15" s="451"/>
      <c r="F15" s="451"/>
      <c r="G15" s="451"/>
      <c r="H15" s="451"/>
    </row>
    <row r="16" spans="1:11" ht="253.5" customHeight="1" thickBot="1">
      <c r="A16" s="437" t="s">
        <v>425</v>
      </c>
      <c r="B16" s="438"/>
      <c r="C16" s="438"/>
      <c r="D16" s="438"/>
      <c r="E16" s="438"/>
      <c r="F16" s="438"/>
      <c r="G16" s="438"/>
      <c r="H16" s="438"/>
      <c r="I16" s="439"/>
    </row>
    <row r="17" spans="1:9" ht="12" customHeight="1">
      <c r="A17" s="268"/>
      <c r="B17" s="268"/>
      <c r="C17" s="268"/>
      <c r="D17" s="268"/>
      <c r="E17" s="268"/>
      <c r="F17" s="268"/>
      <c r="G17" s="268"/>
      <c r="H17" s="268"/>
      <c r="I17" s="268"/>
    </row>
    <row r="18" spans="1:9">
      <c r="B18" s="268"/>
      <c r="C18" s="268"/>
      <c r="D18" s="268"/>
      <c r="E18" s="269" t="s">
        <v>426</v>
      </c>
      <c r="F18" s="268"/>
      <c r="G18" s="268"/>
      <c r="I18" s="268"/>
    </row>
    <row r="19" spans="1:9" ht="12" customHeight="1">
      <c r="A19" s="268"/>
      <c r="B19" s="268"/>
      <c r="C19" s="268"/>
      <c r="D19" s="268"/>
      <c r="E19" s="268"/>
      <c r="F19" s="268"/>
      <c r="G19" s="268"/>
      <c r="H19" s="268"/>
      <c r="I19" s="268"/>
    </row>
    <row r="20" spans="1:9">
      <c r="A20" s="270" t="s">
        <v>427</v>
      </c>
      <c r="B20" s="271"/>
    </row>
    <row r="21" spans="1:9">
      <c r="A21" s="272" t="s">
        <v>428</v>
      </c>
      <c r="B21" s="271"/>
    </row>
    <row r="22" spans="1:9">
      <c r="A22" t="s">
        <v>429</v>
      </c>
    </row>
    <row r="23" spans="1:9">
      <c r="A23" s="273" t="s">
        <v>430</v>
      </c>
    </row>
    <row r="24" spans="1:9">
      <c r="A24" s="273" t="s">
        <v>431</v>
      </c>
    </row>
    <row r="25" spans="1:9">
      <c r="A25" t="s">
        <v>432</v>
      </c>
    </row>
  </sheetData>
  <mergeCells count="10">
    <mergeCell ref="K4:K6"/>
    <mergeCell ref="A9:F9"/>
    <mergeCell ref="G9:H9"/>
    <mergeCell ref="B11:F11"/>
    <mergeCell ref="A15:H15"/>
    <mergeCell ref="A16:I16"/>
    <mergeCell ref="A2:J2"/>
    <mergeCell ref="G3:H3"/>
    <mergeCell ref="A4:A5"/>
    <mergeCell ref="B4:F4"/>
  </mergeCells>
  <hyperlinks>
    <hyperlink ref="A23" r:id="rId1" xr:uid="{00000000-0004-0000-0600-000000000000}"/>
    <hyperlink ref="A24" r:id="rId2" xr:uid="{00000000-0004-0000-0600-000001000000}"/>
  </hyperlinks>
  <pageMargins left="0.70866141732283472" right="0.70866141732283472" top="0.74803149606299213" bottom="0.74803149606299213" header="0.31496062992125984" footer="0.31496062992125984"/>
  <pageSetup scale="75"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A40E-327A-4BE3-9FA2-61B04CD6522E}">
  <dimension ref="A1:N84"/>
  <sheetViews>
    <sheetView zoomScale="80" zoomScaleNormal="80" workbookViewId="0">
      <selection activeCell="E157" sqref="E157"/>
    </sheetView>
  </sheetViews>
  <sheetFormatPr baseColWidth="10" defaultRowHeight="23.25"/>
  <cols>
    <col min="1" max="1" width="10.140625" style="343" customWidth="1"/>
    <col min="2" max="2" width="14.28515625" bestFit="1" customWidth="1"/>
    <col min="3" max="3" width="15.85546875" customWidth="1"/>
    <col min="4" max="4" width="48" customWidth="1"/>
    <col min="5" max="5" width="17" style="343" customWidth="1"/>
    <col min="6" max="6" width="14.85546875" style="343" customWidth="1"/>
    <col min="7" max="7" width="14.5703125" style="343" customWidth="1"/>
    <col min="8" max="8" width="16.42578125" style="153" bestFit="1" customWidth="1"/>
    <col min="9" max="10" width="16" style="153" bestFit="1" customWidth="1"/>
    <col min="11" max="11" width="15.85546875" style="344" bestFit="1" customWidth="1"/>
    <col min="12" max="12" width="15.42578125" style="331" bestFit="1" customWidth="1"/>
    <col min="13" max="13" width="15.42578125" bestFit="1" customWidth="1"/>
    <col min="14" max="14" width="16.140625" bestFit="1" customWidth="1"/>
  </cols>
  <sheetData>
    <row r="1" spans="1:14">
      <c r="A1" s="452" t="s">
        <v>501</v>
      </c>
      <c r="B1" s="452"/>
      <c r="C1" s="452"/>
      <c r="D1" s="452"/>
      <c r="E1" s="452"/>
      <c r="F1" s="452"/>
      <c r="G1" s="452"/>
      <c r="H1" s="452"/>
      <c r="I1" s="452"/>
      <c r="J1" s="452"/>
      <c r="K1" s="452"/>
    </row>
    <row r="3" spans="1:14" ht="45" customHeight="1">
      <c r="A3" s="370" t="s">
        <v>502</v>
      </c>
      <c r="B3" s="371" t="s">
        <v>503</v>
      </c>
      <c r="C3" s="371" t="s">
        <v>504</v>
      </c>
      <c r="D3" s="371" t="s">
        <v>505</v>
      </c>
      <c r="E3" s="371" t="s">
        <v>506</v>
      </c>
      <c r="F3" s="371" t="s">
        <v>507</v>
      </c>
      <c r="G3" s="371" t="s">
        <v>508</v>
      </c>
      <c r="H3" s="371" t="s">
        <v>104</v>
      </c>
      <c r="I3" s="371" t="s">
        <v>206</v>
      </c>
      <c r="J3" s="371" t="s">
        <v>207</v>
      </c>
      <c r="K3" s="371" t="s">
        <v>509</v>
      </c>
    </row>
    <row r="4" spans="1:14" s="354" customFormat="1" ht="88.5" customHeight="1">
      <c r="A4" s="338">
        <v>1</v>
      </c>
      <c r="B4" s="338" t="s">
        <v>514</v>
      </c>
      <c r="C4" s="338" t="s">
        <v>166</v>
      </c>
      <c r="D4" s="346" t="s">
        <v>521</v>
      </c>
      <c r="E4" s="347" t="s">
        <v>173</v>
      </c>
      <c r="F4" s="348" t="s">
        <v>173</v>
      </c>
      <c r="G4" s="349" t="s">
        <v>510</v>
      </c>
      <c r="H4" s="350">
        <f>+I4+J4</f>
        <v>11000000</v>
      </c>
      <c r="I4" s="351">
        <v>5500000</v>
      </c>
      <c r="J4" s="351">
        <v>5500000</v>
      </c>
      <c r="K4" s="349" t="s">
        <v>510</v>
      </c>
      <c r="L4" s="353"/>
    </row>
    <row r="5" spans="1:14" s="354" customFormat="1" ht="66.75" customHeight="1">
      <c r="A5" s="338">
        <v>2</v>
      </c>
      <c r="B5" s="338" t="s">
        <v>514</v>
      </c>
      <c r="C5" s="338" t="s">
        <v>166</v>
      </c>
      <c r="D5" s="346" t="s">
        <v>522</v>
      </c>
      <c r="E5" s="347" t="s">
        <v>168</v>
      </c>
      <c r="F5" s="349" t="s">
        <v>168</v>
      </c>
      <c r="G5" s="349" t="s">
        <v>510</v>
      </c>
      <c r="H5" s="350">
        <f>+I5+J5</f>
        <v>32389303.983999997</v>
      </c>
      <c r="I5" s="351">
        <v>18935802.02</v>
      </c>
      <c r="J5" s="351">
        <v>13453501.964</v>
      </c>
      <c r="K5" s="349" t="s">
        <v>510</v>
      </c>
      <c r="L5" s="353"/>
    </row>
    <row r="6" spans="1:14" s="354" customFormat="1" ht="48">
      <c r="A6" s="338">
        <v>3</v>
      </c>
      <c r="B6" s="338" t="s">
        <v>514</v>
      </c>
      <c r="C6" s="338" t="s">
        <v>166</v>
      </c>
      <c r="D6" s="346" t="s">
        <v>523</v>
      </c>
      <c r="E6" s="347" t="s">
        <v>170</v>
      </c>
      <c r="F6" s="349" t="s">
        <v>171</v>
      </c>
      <c r="G6" s="349" t="s">
        <v>510</v>
      </c>
      <c r="H6" s="350">
        <v>17018662.870000001</v>
      </c>
      <c r="I6" s="351">
        <f>+H6*0.6</f>
        <v>10211197.722000001</v>
      </c>
      <c r="J6" s="351">
        <f>+H6-I6</f>
        <v>6807465.148</v>
      </c>
      <c r="K6" s="349" t="s">
        <v>510</v>
      </c>
      <c r="L6" s="353"/>
    </row>
    <row r="7" spans="1:14" s="354" customFormat="1" ht="48">
      <c r="A7" s="338">
        <v>4</v>
      </c>
      <c r="B7" s="338" t="s">
        <v>514</v>
      </c>
      <c r="C7" s="338" t="s">
        <v>166</v>
      </c>
      <c r="D7" s="346" t="s">
        <v>524</v>
      </c>
      <c r="E7" s="347" t="s">
        <v>465</v>
      </c>
      <c r="F7" s="349" t="s">
        <v>466</v>
      </c>
      <c r="G7" s="349" t="s">
        <v>510</v>
      </c>
      <c r="H7" s="350">
        <f>+I7+J7</f>
        <v>941834.29</v>
      </c>
      <c r="I7" s="351">
        <v>376733.71600000001</v>
      </c>
      <c r="J7" s="351">
        <v>565100.57400000002</v>
      </c>
      <c r="K7" s="349" t="s">
        <v>510</v>
      </c>
      <c r="L7" s="353"/>
    </row>
    <row r="8" spans="1:14" s="354" customFormat="1">
      <c r="A8" s="338">
        <v>5</v>
      </c>
      <c r="B8" s="338" t="s">
        <v>514</v>
      </c>
      <c r="C8" s="338" t="s">
        <v>166</v>
      </c>
      <c r="D8" s="346" t="s">
        <v>525</v>
      </c>
      <c r="E8" s="347" t="s">
        <v>467</v>
      </c>
      <c r="F8" s="349" t="s">
        <v>467</v>
      </c>
      <c r="G8" s="349" t="s">
        <v>510</v>
      </c>
      <c r="H8" s="350">
        <f>+I8+J8</f>
        <v>1000000</v>
      </c>
      <c r="I8" s="351">
        <v>400000</v>
      </c>
      <c r="J8" s="351">
        <v>600000</v>
      </c>
      <c r="K8" s="349" t="s">
        <v>510</v>
      </c>
      <c r="L8" s="353"/>
    </row>
    <row r="9" spans="1:14" s="354" customFormat="1" ht="36">
      <c r="A9" s="338">
        <v>6</v>
      </c>
      <c r="B9" s="338" t="s">
        <v>514</v>
      </c>
      <c r="C9" s="338" t="s">
        <v>166</v>
      </c>
      <c r="D9" s="346" t="s">
        <v>526</v>
      </c>
      <c r="E9" s="347" t="s">
        <v>170</v>
      </c>
      <c r="F9" s="349" t="s">
        <v>170</v>
      </c>
      <c r="G9" s="349" t="s">
        <v>510</v>
      </c>
      <c r="H9" s="350">
        <v>8400432.3248147182</v>
      </c>
      <c r="I9" s="351">
        <f>+H9*0.6</f>
        <v>5040259.3948888304</v>
      </c>
      <c r="J9" s="351">
        <f>+H9*0.4</f>
        <v>3360172.9299258874</v>
      </c>
      <c r="K9" s="349" t="s">
        <v>510</v>
      </c>
      <c r="L9" s="353"/>
    </row>
    <row r="10" spans="1:14" s="354" customFormat="1" ht="50.25" customHeight="1">
      <c r="A10" s="338">
        <v>7</v>
      </c>
      <c r="B10" s="338" t="s">
        <v>514</v>
      </c>
      <c r="C10" s="338" t="s">
        <v>166</v>
      </c>
      <c r="D10" s="346" t="s">
        <v>527</v>
      </c>
      <c r="E10" s="347" t="s">
        <v>170</v>
      </c>
      <c r="F10" s="347" t="s">
        <v>170</v>
      </c>
      <c r="G10" s="349" t="s">
        <v>510</v>
      </c>
      <c r="H10" s="350">
        <v>2838492.6831429959</v>
      </c>
      <c r="I10" s="351">
        <f>+H10*0.6</f>
        <v>1703095.6098857976</v>
      </c>
      <c r="J10" s="351">
        <f>+H10*0.4</f>
        <v>1135397.0732571983</v>
      </c>
      <c r="K10" s="349" t="s">
        <v>510</v>
      </c>
      <c r="L10" s="353"/>
    </row>
    <row r="11" spans="1:14" s="354" customFormat="1" ht="61.5" customHeight="1">
      <c r="A11" s="338">
        <v>10</v>
      </c>
      <c r="B11" s="338" t="s">
        <v>514</v>
      </c>
      <c r="C11" s="338" t="s">
        <v>166</v>
      </c>
      <c r="D11" s="346" t="s">
        <v>528</v>
      </c>
      <c r="E11" s="347" t="s">
        <v>173</v>
      </c>
      <c r="F11" s="349" t="s">
        <v>173</v>
      </c>
      <c r="G11" s="349" t="s">
        <v>510</v>
      </c>
      <c r="H11" s="350">
        <v>9000000</v>
      </c>
      <c r="I11" s="351">
        <f>+H11*0.6</f>
        <v>5400000</v>
      </c>
      <c r="J11" s="351">
        <f>+H11*0.4</f>
        <v>3600000</v>
      </c>
      <c r="K11" s="349" t="s">
        <v>510</v>
      </c>
      <c r="L11" s="353"/>
    </row>
    <row r="12" spans="1:14" s="354" customFormat="1" ht="90.75" customHeight="1">
      <c r="A12" s="338">
        <v>11</v>
      </c>
      <c r="B12" s="338" t="s">
        <v>514</v>
      </c>
      <c r="C12" s="338" t="s">
        <v>166</v>
      </c>
      <c r="D12" s="346" t="s">
        <v>529</v>
      </c>
      <c r="E12" s="347" t="s">
        <v>223</v>
      </c>
      <c r="F12" s="347" t="s">
        <v>223</v>
      </c>
      <c r="G12" s="349" t="s">
        <v>510</v>
      </c>
      <c r="H12" s="350">
        <f>+I12+J12</f>
        <v>3948514.38</v>
      </c>
      <c r="I12" s="351">
        <v>2369108.6279999996</v>
      </c>
      <c r="J12" s="351">
        <v>1579405.7520000001</v>
      </c>
      <c r="K12" s="349" t="s">
        <v>510</v>
      </c>
      <c r="L12" s="353"/>
    </row>
    <row r="13" spans="1:14" s="354" customFormat="1" ht="66" customHeight="1">
      <c r="A13" s="338">
        <v>12</v>
      </c>
      <c r="B13" s="338" t="s">
        <v>514</v>
      </c>
      <c r="C13" s="338" t="s">
        <v>166</v>
      </c>
      <c r="D13" s="346" t="s">
        <v>530</v>
      </c>
      <c r="E13" s="347" t="s">
        <v>511</v>
      </c>
      <c r="F13" s="347" t="s">
        <v>512</v>
      </c>
      <c r="G13" s="349" t="s">
        <v>510</v>
      </c>
      <c r="H13" s="350">
        <v>8052303.3200000003</v>
      </c>
      <c r="I13" s="351">
        <v>3220921.3280000002</v>
      </c>
      <c r="J13" s="351">
        <v>4831381.9919999996</v>
      </c>
      <c r="K13" s="349" t="s">
        <v>510</v>
      </c>
      <c r="L13" s="353"/>
      <c r="M13" s="355"/>
      <c r="N13" s="355"/>
    </row>
    <row r="14" spans="1:14" s="354" customFormat="1" ht="69" customHeight="1">
      <c r="A14" s="338">
        <v>13</v>
      </c>
      <c r="B14" s="338" t="s">
        <v>514</v>
      </c>
      <c r="C14" s="338" t="s">
        <v>166</v>
      </c>
      <c r="D14" s="346" t="s">
        <v>531</v>
      </c>
      <c r="E14" s="347" t="s">
        <v>223</v>
      </c>
      <c r="F14" s="347" t="s">
        <v>223</v>
      </c>
      <c r="G14" s="349" t="s">
        <v>510</v>
      </c>
      <c r="H14" s="350">
        <f>+I14+J14</f>
        <v>1820006.68</v>
      </c>
      <c r="I14" s="351">
        <v>1092004.0079999999</v>
      </c>
      <c r="J14" s="351">
        <v>728002.67200000002</v>
      </c>
      <c r="K14" s="349" t="s">
        <v>510</v>
      </c>
      <c r="L14" s="353"/>
    </row>
    <row r="15" spans="1:14" s="354" customFormat="1" ht="104.25" customHeight="1">
      <c r="A15" s="338">
        <v>14</v>
      </c>
      <c r="B15" s="338" t="s">
        <v>514</v>
      </c>
      <c r="C15" s="338" t="s">
        <v>166</v>
      </c>
      <c r="D15" s="346" t="s">
        <v>532</v>
      </c>
      <c r="E15" s="347" t="s">
        <v>169</v>
      </c>
      <c r="F15" s="347" t="s">
        <v>169</v>
      </c>
      <c r="G15" s="349" t="s">
        <v>510</v>
      </c>
      <c r="H15" s="350">
        <v>3366186.06</v>
      </c>
      <c r="I15" s="351">
        <f>+H15*0.6</f>
        <v>2019711.6359999999</v>
      </c>
      <c r="J15" s="351">
        <f>+H15*0.4</f>
        <v>1346474.4240000001</v>
      </c>
      <c r="K15" s="349" t="s">
        <v>510</v>
      </c>
      <c r="L15" s="353"/>
    </row>
    <row r="16" spans="1:14" s="354" customFormat="1" ht="71.25" customHeight="1">
      <c r="A16" s="338">
        <v>15</v>
      </c>
      <c r="B16" s="338" t="s">
        <v>514</v>
      </c>
      <c r="C16" s="338" t="s">
        <v>166</v>
      </c>
      <c r="D16" s="346" t="s">
        <v>533</v>
      </c>
      <c r="E16" s="347" t="s">
        <v>170</v>
      </c>
      <c r="F16" s="347" t="s">
        <v>513</v>
      </c>
      <c r="G16" s="349" t="s">
        <v>510</v>
      </c>
      <c r="H16" s="350">
        <v>20000000</v>
      </c>
      <c r="I16" s="351">
        <v>12000000</v>
      </c>
      <c r="J16" s="351">
        <v>8000000</v>
      </c>
      <c r="K16" s="349" t="s">
        <v>510</v>
      </c>
      <c r="L16" s="353"/>
    </row>
    <row r="17" spans="1:12" s="354" customFormat="1" ht="155.25" customHeight="1">
      <c r="A17" s="338">
        <v>16</v>
      </c>
      <c r="B17" s="338" t="s">
        <v>514</v>
      </c>
      <c r="C17" s="338" t="s">
        <v>166</v>
      </c>
      <c r="D17" s="346" t="s">
        <v>534</v>
      </c>
      <c r="E17" s="347" t="s">
        <v>173</v>
      </c>
      <c r="F17" s="347" t="s">
        <v>468</v>
      </c>
      <c r="G17" s="349" t="s">
        <v>510</v>
      </c>
      <c r="H17" s="350">
        <v>1916391.0201660634</v>
      </c>
      <c r="I17" s="351">
        <f>+H17*0.4</f>
        <v>766556.40806642547</v>
      </c>
      <c r="J17" s="351">
        <f>+H17*0.6</f>
        <v>1149834.612099638</v>
      </c>
      <c r="K17" s="349" t="s">
        <v>510</v>
      </c>
      <c r="L17" s="353"/>
    </row>
    <row r="18" spans="1:12" s="354" customFormat="1" ht="111.75" customHeight="1">
      <c r="A18" s="338">
        <v>17</v>
      </c>
      <c r="B18" s="338" t="s">
        <v>514</v>
      </c>
      <c r="C18" s="338" t="s">
        <v>166</v>
      </c>
      <c r="D18" s="346" t="s">
        <v>535</v>
      </c>
      <c r="E18" s="347" t="s">
        <v>170</v>
      </c>
      <c r="F18" s="347" t="s">
        <v>170</v>
      </c>
      <c r="G18" s="349" t="s">
        <v>510</v>
      </c>
      <c r="H18" s="350">
        <v>2000000</v>
      </c>
      <c r="I18" s="351">
        <v>1000000</v>
      </c>
      <c r="J18" s="351">
        <v>1000000</v>
      </c>
      <c r="K18" s="349" t="s">
        <v>510</v>
      </c>
      <c r="L18" s="353"/>
    </row>
    <row r="19" spans="1:12" s="354" customFormat="1" ht="114" customHeight="1">
      <c r="A19" s="338">
        <v>18</v>
      </c>
      <c r="B19" s="338" t="s">
        <v>514</v>
      </c>
      <c r="C19" s="338" t="s">
        <v>166</v>
      </c>
      <c r="D19" s="346" t="s">
        <v>536</v>
      </c>
      <c r="E19" s="347" t="s">
        <v>170</v>
      </c>
      <c r="F19" s="347" t="s">
        <v>222</v>
      </c>
      <c r="G19" s="349" t="s">
        <v>510</v>
      </c>
      <c r="H19" s="350">
        <v>6566346.6572000002</v>
      </c>
      <c r="I19" s="351">
        <f>+H19*0.4</f>
        <v>2626538.6628800002</v>
      </c>
      <c r="J19" s="351">
        <f>+H19-I19</f>
        <v>3939807.9943200001</v>
      </c>
      <c r="K19" s="349" t="s">
        <v>510</v>
      </c>
      <c r="L19" s="353"/>
    </row>
    <row r="20" spans="1:12" s="354" customFormat="1" ht="110.25" customHeight="1">
      <c r="A20" s="338">
        <v>19</v>
      </c>
      <c r="B20" s="338" t="s">
        <v>514</v>
      </c>
      <c r="C20" s="338" t="s">
        <v>166</v>
      </c>
      <c r="D20" s="346" t="s">
        <v>537</v>
      </c>
      <c r="E20" s="347" t="s">
        <v>170</v>
      </c>
      <c r="F20" s="347" t="s">
        <v>222</v>
      </c>
      <c r="G20" s="349" t="s">
        <v>510</v>
      </c>
      <c r="H20" s="350">
        <v>20108771.308800001</v>
      </c>
      <c r="I20" s="351">
        <f>+H20*0.4</f>
        <v>8043508.5235200003</v>
      </c>
      <c r="J20" s="351">
        <f>+H20-I20</f>
        <v>12065262.78528</v>
      </c>
      <c r="K20" s="349" t="s">
        <v>510</v>
      </c>
      <c r="L20" s="353"/>
    </row>
    <row r="21" spans="1:12" s="354" customFormat="1" ht="25.5" customHeight="1">
      <c r="A21" s="338">
        <v>20</v>
      </c>
      <c r="B21" s="338" t="s">
        <v>514</v>
      </c>
      <c r="C21" s="338" t="s">
        <v>0</v>
      </c>
      <c r="D21" s="356" t="s">
        <v>538</v>
      </c>
      <c r="E21" s="333" t="s">
        <v>170</v>
      </c>
      <c r="F21" s="333" t="s">
        <v>170</v>
      </c>
      <c r="G21" s="333" t="s">
        <v>539</v>
      </c>
      <c r="H21" s="350">
        <f>+I21+J21</f>
        <v>2500000</v>
      </c>
      <c r="I21" s="350">
        <v>1500000</v>
      </c>
      <c r="J21" s="350">
        <v>1000000</v>
      </c>
      <c r="K21" s="349" t="s">
        <v>510</v>
      </c>
    </row>
    <row r="22" spans="1:12" s="354" customFormat="1" ht="25.5" customHeight="1">
      <c r="A22" s="338">
        <v>21</v>
      </c>
      <c r="B22" s="338" t="s">
        <v>514</v>
      </c>
      <c r="C22" s="338" t="s">
        <v>0</v>
      </c>
      <c r="D22" s="356" t="s">
        <v>538</v>
      </c>
      <c r="E22" s="333" t="s">
        <v>169</v>
      </c>
      <c r="F22" s="333" t="s">
        <v>169</v>
      </c>
      <c r="G22" s="333" t="s">
        <v>539</v>
      </c>
      <c r="H22" s="350">
        <f t="shared" ref="H22:H28" si="0">+I22+J22</f>
        <v>1300000</v>
      </c>
      <c r="I22" s="350">
        <v>780000</v>
      </c>
      <c r="J22" s="350">
        <v>520000</v>
      </c>
      <c r="K22" s="349" t="s">
        <v>510</v>
      </c>
    </row>
    <row r="23" spans="1:12" s="354" customFormat="1" ht="25.5" customHeight="1">
      <c r="A23" s="338">
        <v>22</v>
      </c>
      <c r="B23" s="338" t="s">
        <v>514</v>
      </c>
      <c r="C23" s="338" t="s">
        <v>0</v>
      </c>
      <c r="D23" s="356" t="s">
        <v>538</v>
      </c>
      <c r="E23" s="333" t="s">
        <v>170</v>
      </c>
      <c r="F23" s="333" t="s">
        <v>171</v>
      </c>
      <c r="G23" s="333" t="s">
        <v>539</v>
      </c>
      <c r="H23" s="350">
        <f t="shared" si="0"/>
        <v>625000</v>
      </c>
      <c r="I23" s="350">
        <v>375000</v>
      </c>
      <c r="J23" s="350">
        <v>250000</v>
      </c>
      <c r="K23" s="349" t="s">
        <v>510</v>
      </c>
    </row>
    <row r="24" spans="1:12" s="354" customFormat="1" ht="25.5" customHeight="1">
      <c r="A24" s="338">
        <v>23</v>
      </c>
      <c r="B24" s="338" t="s">
        <v>514</v>
      </c>
      <c r="C24" s="338" t="s">
        <v>0</v>
      </c>
      <c r="D24" s="356" t="s">
        <v>538</v>
      </c>
      <c r="E24" s="333" t="s">
        <v>168</v>
      </c>
      <c r="F24" s="333" t="s">
        <v>168</v>
      </c>
      <c r="G24" s="333" t="s">
        <v>539</v>
      </c>
      <c r="H24" s="350">
        <f t="shared" si="0"/>
        <v>6250000</v>
      </c>
      <c r="I24" s="350">
        <v>3750000</v>
      </c>
      <c r="J24" s="350">
        <v>2500000</v>
      </c>
      <c r="K24" s="349" t="s">
        <v>510</v>
      </c>
    </row>
    <row r="25" spans="1:12" s="354" customFormat="1" ht="25.5" customHeight="1">
      <c r="A25" s="338">
        <v>24</v>
      </c>
      <c r="B25" s="338" t="s">
        <v>514</v>
      </c>
      <c r="C25" s="338" t="s">
        <v>0</v>
      </c>
      <c r="D25" s="356" t="s">
        <v>540</v>
      </c>
      <c r="E25" s="333" t="s">
        <v>170</v>
      </c>
      <c r="F25" s="333" t="s">
        <v>170</v>
      </c>
      <c r="G25" s="333" t="s">
        <v>539</v>
      </c>
      <c r="H25" s="350">
        <f t="shared" si="0"/>
        <v>2900000</v>
      </c>
      <c r="I25" s="350">
        <v>1500000</v>
      </c>
      <c r="J25" s="350">
        <v>1400000</v>
      </c>
      <c r="K25" s="349" t="s">
        <v>510</v>
      </c>
    </row>
    <row r="26" spans="1:12" s="354" customFormat="1" ht="25.5" customHeight="1">
      <c r="A26" s="338">
        <v>25</v>
      </c>
      <c r="B26" s="338" t="s">
        <v>514</v>
      </c>
      <c r="C26" s="338" t="s">
        <v>0</v>
      </c>
      <c r="D26" s="356" t="s">
        <v>540</v>
      </c>
      <c r="E26" s="333" t="s">
        <v>169</v>
      </c>
      <c r="F26" s="333" t="s">
        <v>169</v>
      </c>
      <c r="G26" s="333" t="s">
        <v>539</v>
      </c>
      <c r="H26" s="350">
        <f t="shared" si="0"/>
        <v>1300000</v>
      </c>
      <c r="I26" s="350">
        <v>780000</v>
      </c>
      <c r="J26" s="350">
        <v>520000</v>
      </c>
      <c r="K26" s="349" t="s">
        <v>510</v>
      </c>
    </row>
    <row r="27" spans="1:12" s="354" customFormat="1" ht="25.5" customHeight="1">
      <c r="A27" s="338">
        <v>26</v>
      </c>
      <c r="B27" s="338" t="s">
        <v>514</v>
      </c>
      <c r="C27" s="338" t="s">
        <v>0</v>
      </c>
      <c r="D27" s="356" t="s">
        <v>540</v>
      </c>
      <c r="E27" s="333" t="s">
        <v>170</v>
      </c>
      <c r="F27" s="333" t="s">
        <v>171</v>
      </c>
      <c r="G27" s="333" t="s">
        <v>539</v>
      </c>
      <c r="H27" s="350">
        <f t="shared" si="0"/>
        <v>625000</v>
      </c>
      <c r="I27" s="350">
        <v>375000</v>
      </c>
      <c r="J27" s="350">
        <v>250000</v>
      </c>
      <c r="K27" s="349" t="s">
        <v>510</v>
      </c>
    </row>
    <row r="28" spans="1:12" s="354" customFormat="1" ht="25.5" customHeight="1">
      <c r="A28" s="338">
        <v>27</v>
      </c>
      <c r="B28" s="338" t="s">
        <v>514</v>
      </c>
      <c r="C28" s="338" t="s">
        <v>0</v>
      </c>
      <c r="D28" s="356" t="s">
        <v>540</v>
      </c>
      <c r="E28" s="333" t="s">
        <v>168</v>
      </c>
      <c r="F28" s="333" t="s">
        <v>168</v>
      </c>
      <c r="G28" s="333" t="s">
        <v>539</v>
      </c>
      <c r="H28" s="350">
        <f t="shared" si="0"/>
        <v>2250000</v>
      </c>
      <c r="I28" s="350">
        <v>1350000</v>
      </c>
      <c r="J28" s="350">
        <v>900000</v>
      </c>
      <c r="K28" s="349" t="s">
        <v>510</v>
      </c>
    </row>
    <row r="29" spans="1:12" s="354" customFormat="1" ht="168.75" customHeight="1">
      <c r="A29" s="338">
        <v>28</v>
      </c>
      <c r="B29" s="338" t="s">
        <v>514</v>
      </c>
      <c r="C29" s="338" t="s">
        <v>166</v>
      </c>
      <c r="D29" s="346" t="s">
        <v>541</v>
      </c>
      <c r="E29" s="347" t="s">
        <v>170</v>
      </c>
      <c r="F29" s="349" t="s">
        <v>170</v>
      </c>
      <c r="G29" s="349" t="s">
        <v>510</v>
      </c>
      <c r="H29" s="350">
        <f>+I29+J29</f>
        <v>6253608.4500000002</v>
      </c>
      <c r="I29" s="351">
        <v>3382378.35</v>
      </c>
      <c r="J29" s="372">
        <v>2871230.1</v>
      </c>
      <c r="K29" s="349" t="s">
        <v>510</v>
      </c>
      <c r="L29" s="353"/>
    </row>
    <row r="30" spans="1:12" s="354" customFormat="1">
      <c r="A30" s="338"/>
      <c r="B30" s="338"/>
      <c r="C30" s="338"/>
      <c r="D30" s="346" t="s">
        <v>593</v>
      </c>
      <c r="E30" s="347" t="s">
        <v>224</v>
      </c>
      <c r="F30" s="349" t="s">
        <v>224</v>
      </c>
      <c r="G30" s="349" t="s">
        <v>510</v>
      </c>
      <c r="H30" s="350">
        <v>2000000</v>
      </c>
      <c r="I30" s="351">
        <v>1000000</v>
      </c>
      <c r="J30" s="372">
        <v>1000000</v>
      </c>
      <c r="K30" s="349" t="s">
        <v>510</v>
      </c>
      <c r="L30" s="353"/>
    </row>
    <row r="31" spans="1:12" s="354" customFormat="1" ht="45.75" customHeight="1">
      <c r="A31" s="338">
        <v>46</v>
      </c>
      <c r="B31" s="338" t="s">
        <v>514</v>
      </c>
      <c r="C31" s="338" t="s">
        <v>0</v>
      </c>
      <c r="D31" s="356" t="s">
        <v>545</v>
      </c>
      <c r="E31" s="333" t="s">
        <v>228</v>
      </c>
      <c r="F31" s="333" t="s">
        <v>228</v>
      </c>
      <c r="G31" s="333" t="s">
        <v>539</v>
      </c>
      <c r="H31" s="350">
        <f t="shared" ref="H31:H45" si="1">+I31+J31</f>
        <v>500000</v>
      </c>
      <c r="I31" s="350">
        <v>300000</v>
      </c>
      <c r="J31" s="350">
        <v>200000</v>
      </c>
      <c r="K31" s="349" t="s">
        <v>510</v>
      </c>
    </row>
    <row r="32" spans="1:12" s="354" customFormat="1" ht="42.75" customHeight="1">
      <c r="A32" s="338">
        <v>47</v>
      </c>
      <c r="B32" s="338" t="s">
        <v>514</v>
      </c>
      <c r="C32" s="338" t="s">
        <v>0</v>
      </c>
      <c r="D32" s="356" t="s">
        <v>546</v>
      </c>
      <c r="E32" s="333" t="s">
        <v>228</v>
      </c>
      <c r="F32" s="333" t="s">
        <v>228</v>
      </c>
      <c r="G32" s="333" t="s">
        <v>539</v>
      </c>
      <c r="H32" s="350">
        <f t="shared" si="1"/>
        <v>600000</v>
      </c>
      <c r="I32" s="350">
        <v>360000</v>
      </c>
      <c r="J32" s="350">
        <v>240000</v>
      </c>
      <c r="K32" s="349" t="s">
        <v>510</v>
      </c>
    </row>
    <row r="33" spans="1:11" s="354" customFormat="1" ht="25.5" customHeight="1">
      <c r="A33" s="338">
        <v>48</v>
      </c>
      <c r="B33" s="338" t="s">
        <v>514</v>
      </c>
      <c r="C33" s="338" t="s">
        <v>0</v>
      </c>
      <c r="D33" s="356" t="s">
        <v>538</v>
      </c>
      <c r="E33" s="333" t="s">
        <v>229</v>
      </c>
      <c r="F33" s="333" t="s">
        <v>229</v>
      </c>
      <c r="G33" s="333" t="s">
        <v>539</v>
      </c>
      <c r="H33" s="350">
        <f t="shared" si="1"/>
        <v>2250000</v>
      </c>
      <c r="I33" s="350">
        <v>1350000</v>
      </c>
      <c r="J33" s="350">
        <v>900000</v>
      </c>
      <c r="K33" s="349" t="s">
        <v>510</v>
      </c>
    </row>
    <row r="34" spans="1:11" s="354" customFormat="1" ht="25.5" customHeight="1">
      <c r="A34" s="338">
        <v>49</v>
      </c>
      <c r="B34" s="338" t="s">
        <v>514</v>
      </c>
      <c r="C34" s="338" t="s">
        <v>0</v>
      </c>
      <c r="D34" s="356" t="s">
        <v>547</v>
      </c>
      <c r="E34" s="333" t="s">
        <v>170</v>
      </c>
      <c r="F34" s="333" t="s">
        <v>170</v>
      </c>
      <c r="G34" s="333" t="s">
        <v>539</v>
      </c>
      <c r="H34" s="350">
        <f t="shared" si="1"/>
        <v>350000</v>
      </c>
      <c r="I34" s="350">
        <v>210000</v>
      </c>
      <c r="J34" s="350">
        <v>140000</v>
      </c>
      <c r="K34" s="349" t="s">
        <v>510</v>
      </c>
    </row>
    <row r="35" spans="1:11" s="354" customFormat="1" ht="25.5" customHeight="1">
      <c r="A35" s="338">
        <v>50</v>
      </c>
      <c r="B35" s="338" t="s">
        <v>514</v>
      </c>
      <c r="C35" s="338" t="s">
        <v>0</v>
      </c>
      <c r="D35" s="356" t="s">
        <v>547</v>
      </c>
      <c r="E35" s="333" t="s">
        <v>169</v>
      </c>
      <c r="F35" s="333" t="s">
        <v>169</v>
      </c>
      <c r="G35" s="333" t="s">
        <v>539</v>
      </c>
      <c r="H35" s="350">
        <f t="shared" si="1"/>
        <v>250000</v>
      </c>
      <c r="I35" s="350">
        <v>150000</v>
      </c>
      <c r="J35" s="350">
        <v>100000</v>
      </c>
      <c r="K35" s="349" t="s">
        <v>510</v>
      </c>
    </row>
    <row r="36" spans="1:11" s="354" customFormat="1" ht="25.5" customHeight="1">
      <c r="A36" s="338">
        <v>51</v>
      </c>
      <c r="B36" s="338" t="s">
        <v>514</v>
      </c>
      <c r="C36" s="338" t="s">
        <v>0</v>
      </c>
      <c r="D36" s="356" t="s">
        <v>547</v>
      </c>
      <c r="E36" s="333" t="s">
        <v>168</v>
      </c>
      <c r="F36" s="333" t="s">
        <v>168</v>
      </c>
      <c r="G36" s="333" t="s">
        <v>539</v>
      </c>
      <c r="H36" s="350">
        <f t="shared" si="1"/>
        <v>200000</v>
      </c>
      <c r="I36" s="350">
        <v>120000</v>
      </c>
      <c r="J36" s="350">
        <v>80000</v>
      </c>
      <c r="K36" s="349" t="s">
        <v>510</v>
      </c>
    </row>
    <row r="37" spans="1:11" s="354" customFormat="1" ht="25.5" customHeight="1">
      <c r="A37" s="338">
        <v>52</v>
      </c>
      <c r="B37" s="338" t="s">
        <v>514</v>
      </c>
      <c r="C37" s="338" t="s">
        <v>0</v>
      </c>
      <c r="D37" s="356" t="s">
        <v>548</v>
      </c>
      <c r="E37" s="333" t="s">
        <v>224</v>
      </c>
      <c r="F37" s="333" t="s">
        <v>224</v>
      </c>
      <c r="G37" s="333" t="s">
        <v>539</v>
      </c>
      <c r="H37" s="350">
        <f t="shared" si="1"/>
        <v>12000000</v>
      </c>
      <c r="I37" s="350">
        <v>7200000</v>
      </c>
      <c r="J37" s="350">
        <v>4800000</v>
      </c>
      <c r="K37" s="349" t="s">
        <v>510</v>
      </c>
    </row>
    <row r="38" spans="1:11" s="354" customFormat="1" ht="25.5" customHeight="1">
      <c r="A38" s="338">
        <v>53</v>
      </c>
      <c r="B38" s="338" t="s">
        <v>514</v>
      </c>
      <c r="C38" s="338" t="s">
        <v>0</v>
      </c>
      <c r="D38" s="356" t="s">
        <v>549</v>
      </c>
      <c r="E38" s="333" t="s">
        <v>550</v>
      </c>
      <c r="F38" s="333" t="s">
        <v>550</v>
      </c>
      <c r="G38" s="333" t="s">
        <v>539</v>
      </c>
      <c r="H38" s="350">
        <f t="shared" si="1"/>
        <v>500000</v>
      </c>
      <c r="I38" s="350">
        <v>300000</v>
      </c>
      <c r="J38" s="350">
        <v>200000</v>
      </c>
      <c r="K38" s="349" t="s">
        <v>510</v>
      </c>
    </row>
    <row r="39" spans="1:11" s="354" customFormat="1" ht="25.5" customHeight="1">
      <c r="A39" s="338">
        <v>54</v>
      </c>
      <c r="B39" s="338" t="s">
        <v>514</v>
      </c>
      <c r="C39" s="338" t="s">
        <v>0</v>
      </c>
      <c r="D39" s="356" t="s">
        <v>551</v>
      </c>
      <c r="E39" s="333" t="s">
        <v>229</v>
      </c>
      <c r="F39" s="333" t="s">
        <v>229</v>
      </c>
      <c r="G39" s="333" t="s">
        <v>539</v>
      </c>
      <c r="H39" s="350">
        <f t="shared" si="1"/>
        <v>250000</v>
      </c>
      <c r="I39" s="350">
        <v>150000</v>
      </c>
      <c r="J39" s="350">
        <v>100000</v>
      </c>
      <c r="K39" s="349" t="s">
        <v>510</v>
      </c>
    </row>
    <row r="40" spans="1:11" s="354" customFormat="1" ht="25.5" customHeight="1">
      <c r="A40" s="338">
        <v>55</v>
      </c>
      <c r="B40" s="338" t="s">
        <v>514</v>
      </c>
      <c r="C40" s="338" t="s">
        <v>0</v>
      </c>
      <c r="D40" s="356" t="s">
        <v>551</v>
      </c>
      <c r="E40" s="333" t="s">
        <v>230</v>
      </c>
      <c r="F40" s="333" t="s">
        <v>230</v>
      </c>
      <c r="G40" s="333" t="s">
        <v>539</v>
      </c>
      <c r="H40" s="350">
        <f t="shared" si="1"/>
        <v>250000</v>
      </c>
      <c r="I40" s="350">
        <v>150000</v>
      </c>
      <c r="J40" s="350">
        <v>100000</v>
      </c>
      <c r="K40" s="349" t="s">
        <v>510</v>
      </c>
    </row>
    <row r="41" spans="1:11" s="354" customFormat="1" ht="25.5" customHeight="1">
      <c r="A41" s="338">
        <v>56</v>
      </c>
      <c r="B41" s="338" t="s">
        <v>514</v>
      </c>
      <c r="C41" s="338" t="s">
        <v>0</v>
      </c>
      <c r="D41" s="356" t="s">
        <v>551</v>
      </c>
      <c r="E41" s="333" t="s">
        <v>231</v>
      </c>
      <c r="F41" s="333" t="s">
        <v>477</v>
      </c>
      <c r="G41" s="333" t="s">
        <v>539</v>
      </c>
      <c r="H41" s="350">
        <f t="shared" si="1"/>
        <v>500000</v>
      </c>
      <c r="I41" s="350">
        <v>300000</v>
      </c>
      <c r="J41" s="350">
        <v>200000</v>
      </c>
      <c r="K41" s="349" t="s">
        <v>510</v>
      </c>
    </row>
    <row r="42" spans="1:11" s="354" customFormat="1" ht="25.5" customHeight="1">
      <c r="A42" s="338">
        <v>57</v>
      </c>
      <c r="B42" s="338" t="s">
        <v>514</v>
      </c>
      <c r="C42" s="338" t="s">
        <v>0</v>
      </c>
      <c r="D42" s="356" t="s">
        <v>551</v>
      </c>
      <c r="E42" s="333" t="s">
        <v>170</v>
      </c>
      <c r="F42" s="333" t="s">
        <v>170</v>
      </c>
      <c r="G42" s="333" t="s">
        <v>539</v>
      </c>
      <c r="H42" s="350">
        <f t="shared" si="1"/>
        <v>500000</v>
      </c>
      <c r="I42" s="350">
        <v>300000</v>
      </c>
      <c r="J42" s="350">
        <v>200000</v>
      </c>
      <c r="K42" s="349" t="s">
        <v>510</v>
      </c>
    </row>
    <row r="43" spans="1:11" s="354" customFormat="1" ht="25.5" customHeight="1">
      <c r="A43" s="338">
        <v>58</v>
      </c>
      <c r="B43" s="338" t="s">
        <v>514</v>
      </c>
      <c r="C43" s="338" t="s">
        <v>0</v>
      </c>
      <c r="D43" s="356" t="s">
        <v>551</v>
      </c>
      <c r="E43" s="333" t="s">
        <v>168</v>
      </c>
      <c r="F43" s="333" t="s">
        <v>168</v>
      </c>
      <c r="G43" s="333" t="s">
        <v>539</v>
      </c>
      <c r="H43" s="350">
        <f t="shared" si="1"/>
        <v>400000</v>
      </c>
      <c r="I43" s="350">
        <v>240000</v>
      </c>
      <c r="J43" s="350">
        <v>160000</v>
      </c>
      <c r="K43" s="349" t="s">
        <v>510</v>
      </c>
    </row>
    <row r="44" spans="1:11" s="354" customFormat="1" ht="25.5" customHeight="1">
      <c r="A44" s="338">
        <v>59</v>
      </c>
      <c r="B44" s="338" t="s">
        <v>514</v>
      </c>
      <c r="C44" s="338" t="s">
        <v>0</v>
      </c>
      <c r="D44" s="356" t="s">
        <v>551</v>
      </c>
      <c r="E44" s="333" t="s">
        <v>228</v>
      </c>
      <c r="F44" s="333" t="s">
        <v>228</v>
      </c>
      <c r="G44" s="333" t="s">
        <v>539</v>
      </c>
      <c r="H44" s="350">
        <f t="shared" si="1"/>
        <v>300000</v>
      </c>
      <c r="I44" s="350">
        <v>180000</v>
      </c>
      <c r="J44" s="350">
        <v>120000</v>
      </c>
      <c r="K44" s="349" t="s">
        <v>510</v>
      </c>
    </row>
    <row r="45" spans="1:11" s="354" customFormat="1" ht="25.5" customHeight="1">
      <c r="A45" s="338">
        <v>60</v>
      </c>
      <c r="B45" s="338" t="s">
        <v>514</v>
      </c>
      <c r="C45" s="338" t="s">
        <v>0</v>
      </c>
      <c r="D45" s="356" t="s">
        <v>551</v>
      </c>
      <c r="E45" s="333" t="s">
        <v>232</v>
      </c>
      <c r="F45" s="333" t="s">
        <v>232</v>
      </c>
      <c r="G45" s="333" t="s">
        <v>539</v>
      </c>
      <c r="H45" s="350">
        <f t="shared" si="1"/>
        <v>300000</v>
      </c>
      <c r="I45" s="350">
        <v>180000</v>
      </c>
      <c r="J45" s="350">
        <v>120000</v>
      </c>
      <c r="K45" s="349" t="s">
        <v>510</v>
      </c>
    </row>
    <row r="46" spans="1:11" s="354" customFormat="1" ht="78.75">
      <c r="A46" s="338">
        <v>61</v>
      </c>
      <c r="B46" s="338" t="s">
        <v>514</v>
      </c>
      <c r="C46" s="338" t="s">
        <v>517</v>
      </c>
      <c r="D46" s="357" t="s">
        <v>227</v>
      </c>
      <c r="E46" s="338" t="s">
        <v>223</v>
      </c>
      <c r="F46" s="338" t="s">
        <v>223</v>
      </c>
      <c r="G46" s="360" t="s">
        <v>594</v>
      </c>
      <c r="H46" s="358">
        <f>+J46</f>
        <v>50175553</v>
      </c>
      <c r="I46" s="352">
        <v>0</v>
      </c>
      <c r="J46" s="358">
        <v>50175553</v>
      </c>
      <c r="K46" s="359" t="s">
        <v>516</v>
      </c>
    </row>
    <row r="47" spans="1:11" s="354" customFormat="1" ht="67.5">
      <c r="A47" s="338">
        <v>62</v>
      </c>
      <c r="B47" s="338" t="s">
        <v>514</v>
      </c>
      <c r="C47" s="338" t="s">
        <v>517</v>
      </c>
      <c r="D47" s="357" t="s">
        <v>478</v>
      </c>
      <c r="E47" s="338" t="s">
        <v>480</v>
      </c>
      <c r="F47" s="338" t="s">
        <v>480</v>
      </c>
      <c r="G47" s="338" t="s">
        <v>515</v>
      </c>
      <c r="H47" s="358">
        <f t="shared" ref="H47:H78" si="2">SUM(I47:J47)</f>
        <v>59060.56</v>
      </c>
      <c r="I47" s="342">
        <v>59060.56</v>
      </c>
      <c r="J47" s="358">
        <v>0</v>
      </c>
      <c r="K47" s="359" t="s">
        <v>225</v>
      </c>
    </row>
    <row r="48" spans="1:11" s="354" customFormat="1" ht="78.75">
      <c r="A48" s="338">
        <v>63</v>
      </c>
      <c r="B48" s="338" t="s">
        <v>514</v>
      </c>
      <c r="C48" s="338" t="s">
        <v>517</v>
      </c>
      <c r="D48" s="357" t="s">
        <v>552</v>
      </c>
      <c r="E48" s="338" t="s">
        <v>231</v>
      </c>
      <c r="F48" s="338" t="s">
        <v>485</v>
      </c>
      <c r="G48" s="338" t="s">
        <v>515</v>
      </c>
      <c r="H48" s="358">
        <f t="shared" si="2"/>
        <v>239788.64</v>
      </c>
      <c r="I48" s="342">
        <v>239788.64</v>
      </c>
      <c r="J48" s="358">
        <v>0</v>
      </c>
      <c r="K48" s="359" t="s">
        <v>225</v>
      </c>
    </row>
    <row r="49" spans="1:11" s="354" customFormat="1" ht="78.75">
      <c r="A49" s="338">
        <v>64</v>
      </c>
      <c r="B49" s="338" t="s">
        <v>514</v>
      </c>
      <c r="C49" s="338" t="s">
        <v>517</v>
      </c>
      <c r="D49" s="357" t="s">
        <v>553</v>
      </c>
      <c r="E49" s="338" t="s">
        <v>231</v>
      </c>
      <c r="F49" s="338" t="s">
        <v>485</v>
      </c>
      <c r="G49" s="338" t="s">
        <v>515</v>
      </c>
      <c r="H49" s="358">
        <f t="shared" si="2"/>
        <v>509600</v>
      </c>
      <c r="I49" s="342">
        <v>509600</v>
      </c>
      <c r="J49" s="358">
        <v>0</v>
      </c>
      <c r="K49" s="359" t="s">
        <v>225</v>
      </c>
    </row>
    <row r="50" spans="1:11" s="354" customFormat="1" ht="78.75">
      <c r="A50" s="338">
        <v>65</v>
      </c>
      <c r="B50" s="338" t="s">
        <v>514</v>
      </c>
      <c r="C50" s="338" t="s">
        <v>517</v>
      </c>
      <c r="D50" s="357" t="s">
        <v>554</v>
      </c>
      <c r="E50" s="338" t="s">
        <v>231</v>
      </c>
      <c r="F50" s="338" t="s">
        <v>485</v>
      </c>
      <c r="G50" s="338" t="s">
        <v>515</v>
      </c>
      <c r="H50" s="358">
        <f t="shared" si="2"/>
        <v>306800</v>
      </c>
      <c r="I50" s="342">
        <v>306800</v>
      </c>
      <c r="J50" s="358">
        <v>0</v>
      </c>
      <c r="K50" s="359" t="s">
        <v>225</v>
      </c>
    </row>
    <row r="51" spans="1:11" s="354" customFormat="1" ht="90">
      <c r="A51" s="338">
        <v>66</v>
      </c>
      <c r="B51" s="338" t="s">
        <v>514</v>
      </c>
      <c r="C51" s="338" t="s">
        <v>517</v>
      </c>
      <c r="D51" s="357" t="s">
        <v>555</v>
      </c>
      <c r="E51" s="338" t="s">
        <v>231</v>
      </c>
      <c r="F51" s="338" t="s">
        <v>485</v>
      </c>
      <c r="G51" s="338" t="s">
        <v>515</v>
      </c>
      <c r="H51" s="358">
        <f t="shared" si="2"/>
        <v>383228.56</v>
      </c>
      <c r="I51" s="342">
        <v>383228.56</v>
      </c>
      <c r="J51" s="358">
        <v>0</v>
      </c>
      <c r="K51" s="359" t="s">
        <v>225</v>
      </c>
    </row>
    <row r="52" spans="1:11" s="354" customFormat="1" ht="67.5">
      <c r="A52" s="338">
        <v>67</v>
      </c>
      <c r="B52" s="338" t="s">
        <v>514</v>
      </c>
      <c r="C52" s="338" t="s">
        <v>517</v>
      </c>
      <c r="D52" s="357" t="s">
        <v>479</v>
      </c>
      <c r="E52" s="338" t="s">
        <v>231</v>
      </c>
      <c r="F52" s="338" t="s">
        <v>485</v>
      </c>
      <c r="G52" s="338" t="s">
        <v>515</v>
      </c>
      <c r="H52" s="358">
        <f t="shared" si="2"/>
        <v>290746.93</v>
      </c>
      <c r="I52" s="342">
        <v>290746.93</v>
      </c>
      <c r="J52" s="358">
        <v>0</v>
      </c>
      <c r="K52" s="359" t="s">
        <v>225</v>
      </c>
    </row>
    <row r="53" spans="1:11" s="354" customFormat="1" ht="56.25">
      <c r="A53" s="338">
        <v>68</v>
      </c>
      <c r="B53" s="338" t="s">
        <v>514</v>
      </c>
      <c r="C53" s="338" t="s">
        <v>517</v>
      </c>
      <c r="D53" s="357" t="s">
        <v>556</v>
      </c>
      <c r="E53" s="338" t="s">
        <v>231</v>
      </c>
      <c r="F53" s="338" t="s">
        <v>485</v>
      </c>
      <c r="G53" s="338" t="s">
        <v>515</v>
      </c>
      <c r="H53" s="358">
        <f t="shared" si="2"/>
        <v>108448.45</v>
      </c>
      <c r="I53" s="342">
        <v>108448.45</v>
      </c>
      <c r="J53" s="358">
        <v>0</v>
      </c>
      <c r="K53" s="359" t="s">
        <v>225</v>
      </c>
    </row>
    <row r="54" spans="1:11" s="354" customFormat="1" ht="90">
      <c r="A54" s="338">
        <v>69</v>
      </c>
      <c r="B54" s="338" t="s">
        <v>514</v>
      </c>
      <c r="C54" s="338" t="s">
        <v>517</v>
      </c>
      <c r="D54" s="357" t="s">
        <v>557</v>
      </c>
      <c r="E54" s="338" t="s">
        <v>231</v>
      </c>
      <c r="F54" s="338" t="s">
        <v>485</v>
      </c>
      <c r="G54" s="338" t="s">
        <v>515</v>
      </c>
      <c r="H54" s="358">
        <f t="shared" si="2"/>
        <v>301600</v>
      </c>
      <c r="I54" s="342">
        <v>301600</v>
      </c>
      <c r="J54" s="358">
        <v>0</v>
      </c>
      <c r="K54" s="359" t="s">
        <v>225</v>
      </c>
    </row>
    <row r="55" spans="1:11" s="354" customFormat="1" ht="90">
      <c r="A55" s="338">
        <v>70</v>
      </c>
      <c r="B55" s="338" t="s">
        <v>514</v>
      </c>
      <c r="C55" s="338" t="s">
        <v>517</v>
      </c>
      <c r="D55" s="357" t="s">
        <v>558</v>
      </c>
      <c r="E55" s="338" t="s">
        <v>231</v>
      </c>
      <c r="F55" s="338" t="s">
        <v>485</v>
      </c>
      <c r="G55" s="338" t="s">
        <v>515</v>
      </c>
      <c r="H55" s="358">
        <f t="shared" si="2"/>
        <v>270400</v>
      </c>
      <c r="I55" s="342">
        <v>270400</v>
      </c>
      <c r="J55" s="358">
        <v>0</v>
      </c>
      <c r="K55" s="359" t="s">
        <v>225</v>
      </c>
    </row>
    <row r="56" spans="1:11" s="354" customFormat="1" ht="67.5">
      <c r="A56" s="338">
        <v>71</v>
      </c>
      <c r="B56" s="338" t="s">
        <v>514</v>
      </c>
      <c r="C56" s="338" t="s">
        <v>517</v>
      </c>
      <c r="D56" s="357" t="s">
        <v>559</v>
      </c>
      <c r="E56" s="338" t="s">
        <v>230</v>
      </c>
      <c r="F56" s="338" t="s">
        <v>486</v>
      </c>
      <c r="G56" s="338" t="s">
        <v>515</v>
      </c>
      <c r="H56" s="358">
        <f t="shared" si="2"/>
        <v>186726.8</v>
      </c>
      <c r="I56" s="342">
        <v>186726.8</v>
      </c>
      <c r="J56" s="358">
        <v>0</v>
      </c>
      <c r="K56" s="359" t="s">
        <v>225</v>
      </c>
    </row>
    <row r="57" spans="1:11" s="354" customFormat="1" ht="78.75">
      <c r="A57" s="338">
        <v>72</v>
      </c>
      <c r="B57" s="338" t="s">
        <v>514</v>
      </c>
      <c r="C57" s="338" t="s">
        <v>517</v>
      </c>
      <c r="D57" s="357" t="s">
        <v>560</v>
      </c>
      <c r="E57" s="338" t="s">
        <v>230</v>
      </c>
      <c r="F57" s="338" t="s">
        <v>487</v>
      </c>
      <c r="G57" s="338" t="s">
        <v>515</v>
      </c>
      <c r="H57" s="358">
        <f t="shared" si="2"/>
        <v>428254.32</v>
      </c>
      <c r="I57" s="342">
        <v>428254.32</v>
      </c>
      <c r="J57" s="358">
        <v>0</v>
      </c>
      <c r="K57" s="359" t="s">
        <v>225</v>
      </c>
    </row>
    <row r="58" spans="1:11" s="354" customFormat="1" ht="67.5">
      <c r="A58" s="338">
        <v>73</v>
      </c>
      <c r="B58" s="338" t="s">
        <v>514</v>
      </c>
      <c r="C58" s="338" t="s">
        <v>517</v>
      </c>
      <c r="D58" s="357" t="s">
        <v>561</v>
      </c>
      <c r="E58" s="338" t="s">
        <v>480</v>
      </c>
      <c r="F58" s="338" t="s">
        <v>481</v>
      </c>
      <c r="G58" s="338" t="s">
        <v>515</v>
      </c>
      <c r="H58" s="358">
        <f t="shared" si="2"/>
        <v>75707.839999999997</v>
      </c>
      <c r="I58" s="342">
        <v>75707.839999999997</v>
      </c>
      <c r="J58" s="358">
        <v>0</v>
      </c>
      <c r="K58" s="359" t="s">
        <v>225</v>
      </c>
    </row>
    <row r="59" spans="1:11" s="354" customFormat="1" ht="78.75">
      <c r="A59" s="338">
        <v>74</v>
      </c>
      <c r="B59" s="338" t="s">
        <v>514</v>
      </c>
      <c r="C59" s="338" t="s">
        <v>517</v>
      </c>
      <c r="D59" s="357" t="s">
        <v>562</v>
      </c>
      <c r="E59" s="338" t="s">
        <v>230</v>
      </c>
      <c r="F59" s="338" t="s">
        <v>488</v>
      </c>
      <c r="G59" s="338" t="s">
        <v>515</v>
      </c>
      <c r="H59" s="358">
        <f t="shared" si="2"/>
        <v>937361.36</v>
      </c>
      <c r="I59" s="342">
        <v>937361.36</v>
      </c>
      <c r="J59" s="358">
        <v>0</v>
      </c>
      <c r="K59" s="359" t="s">
        <v>225</v>
      </c>
    </row>
    <row r="60" spans="1:11" s="354" customFormat="1" ht="78.75">
      <c r="A60" s="338">
        <v>75</v>
      </c>
      <c r="B60" s="338" t="s">
        <v>514</v>
      </c>
      <c r="C60" s="338" t="s">
        <v>517</v>
      </c>
      <c r="D60" s="357" t="s">
        <v>563</v>
      </c>
      <c r="E60" s="338" t="s">
        <v>230</v>
      </c>
      <c r="F60" s="338" t="s">
        <v>489</v>
      </c>
      <c r="G60" s="338" t="s">
        <v>515</v>
      </c>
      <c r="H60" s="358">
        <f t="shared" si="2"/>
        <v>376776.4</v>
      </c>
      <c r="I60" s="342">
        <v>376776.4</v>
      </c>
      <c r="J60" s="358">
        <v>0</v>
      </c>
      <c r="K60" s="359" t="s">
        <v>225</v>
      </c>
    </row>
    <row r="61" spans="1:11" s="354" customFormat="1" ht="78.75">
      <c r="A61" s="338">
        <v>76</v>
      </c>
      <c r="B61" s="338" t="s">
        <v>514</v>
      </c>
      <c r="C61" s="338" t="s">
        <v>517</v>
      </c>
      <c r="D61" s="357" t="s">
        <v>564</v>
      </c>
      <c r="E61" s="338" t="s">
        <v>230</v>
      </c>
      <c r="F61" s="338" t="s">
        <v>230</v>
      </c>
      <c r="G61" s="338" t="s">
        <v>515</v>
      </c>
      <c r="H61" s="358">
        <f t="shared" si="2"/>
        <v>297844.56</v>
      </c>
      <c r="I61" s="342">
        <v>297844.56</v>
      </c>
      <c r="J61" s="358">
        <v>0</v>
      </c>
      <c r="K61" s="359" t="s">
        <v>225</v>
      </c>
    </row>
    <row r="62" spans="1:11" s="354" customFormat="1" ht="78.75">
      <c r="A62" s="338">
        <v>77</v>
      </c>
      <c r="B62" s="338" t="s">
        <v>514</v>
      </c>
      <c r="C62" s="338" t="s">
        <v>517</v>
      </c>
      <c r="D62" s="357" t="s">
        <v>565</v>
      </c>
      <c r="E62" s="338" t="s">
        <v>230</v>
      </c>
      <c r="F62" s="338" t="s">
        <v>490</v>
      </c>
      <c r="G62" s="338" t="s">
        <v>515</v>
      </c>
      <c r="H62" s="358">
        <f t="shared" si="2"/>
        <v>196794</v>
      </c>
      <c r="I62" s="342">
        <v>196794</v>
      </c>
      <c r="J62" s="358">
        <v>0</v>
      </c>
      <c r="K62" s="359" t="s">
        <v>225</v>
      </c>
    </row>
    <row r="63" spans="1:11" s="354" customFormat="1" ht="78.75">
      <c r="A63" s="338">
        <v>78</v>
      </c>
      <c r="B63" s="338" t="s">
        <v>514</v>
      </c>
      <c r="C63" s="338" t="s">
        <v>517</v>
      </c>
      <c r="D63" s="357" t="s">
        <v>566</v>
      </c>
      <c r="E63" s="338" t="s">
        <v>230</v>
      </c>
      <c r="F63" s="338" t="s">
        <v>492</v>
      </c>
      <c r="G63" s="338" t="s">
        <v>515</v>
      </c>
      <c r="H63" s="358">
        <f t="shared" si="2"/>
        <v>216329.36</v>
      </c>
      <c r="I63" s="342">
        <v>216329.36</v>
      </c>
      <c r="J63" s="358">
        <v>0</v>
      </c>
      <c r="K63" s="359" t="s">
        <v>225</v>
      </c>
    </row>
    <row r="64" spans="1:11" s="354" customFormat="1" ht="67.5">
      <c r="A64" s="338">
        <v>79</v>
      </c>
      <c r="B64" s="338" t="s">
        <v>514</v>
      </c>
      <c r="C64" s="338" t="s">
        <v>517</v>
      </c>
      <c r="D64" s="357" t="s">
        <v>567</v>
      </c>
      <c r="E64" s="338" t="s">
        <v>232</v>
      </c>
      <c r="F64" s="338" t="s">
        <v>232</v>
      </c>
      <c r="G64" s="338" t="s">
        <v>515</v>
      </c>
      <c r="H64" s="358">
        <f t="shared" si="2"/>
        <v>249338.96</v>
      </c>
      <c r="I64" s="342">
        <v>249338.96</v>
      </c>
      <c r="J64" s="358">
        <v>0</v>
      </c>
      <c r="K64" s="359" t="s">
        <v>225</v>
      </c>
    </row>
    <row r="65" spans="1:12" s="354" customFormat="1" ht="67.5">
      <c r="A65" s="338">
        <v>80</v>
      </c>
      <c r="B65" s="338" t="s">
        <v>514</v>
      </c>
      <c r="C65" s="338" t="s">
        <v>517</v>
      </c>
      <c r="D65" s="357" t="s">
        <v>568</v>
      </c>
      <c r="E65" s="338" t="s">
        <v>230</v>
      </c>
      <c r="F65" s="338" t="s">
        <v>491</v>
      </c>
      <c r="G65" s="338" t="s">
        <v>515</v>
      </c>
      <c r="H65" s="358">
        <f t="shared" si="2"/>
        <v>186726.8</v>
      </c>
      <c r="I65" s="342">
        <v>186726.8</v>
      </c>
      <c r="J65" s="358">
        <v>0</v>
      </c>
      <c r="K65" s="359" t="s">
        <v>225</v>
      </c>
    </row>
    <row r="66" spans="1:12" s="354" customFormat="1" ht="67.5">
      <c r="A66" s="338">
        <v>81</v>
      </c>
      <c r="B66" s="338" t="s">
        <v>514</v>
      </c>
      <c r="C66" s="338" t="s">
        <v>517</v>
      </c>
      <c r="D66" s="357" t="s">
        <v>569</v>
      </c>
      <c r="E66" s="338" t="s">
        <v>232</v>
      </c>
      <c r="F66" s="338" t="s">
        <v>494</v>
      </c>
      <c r="G66" s="338" t="s">
        <v>515</v>
      </c>
      <c r="H66" s="358">
        <f t="shared" si="2"/>
        <v>584394.26</v>
      </c>
      <c r="I66" s="342">
        <v>584394.26</v>
      </c>
      <c r="J66" s="358">
        <v>0</v>
      </c>
      <c r="K66" s="359" t="s">
        <v>225</v>
      </c>
    </row>
    <row r="67" spans="1:12" s="354" customFormat="1" ht="78.75">
      <c r="A67" s="338">
        <v>82</v>
      </c>
      <c r="B67" s="338" t="s">
        <v>514</v>
      </c>
      <c r="C67" s="338" t="s">
        <v>517</v>
      </c>
      <c r="D67" s="357" t="s">
        <v>570</v>
      </c>
      <c r="E67" s="338" t="s">
        <v>480</v>
      </c>
      <c r="F67" s="338" t="s">
        <v>482</v>
      </c>
      <c r="G67" s="338" t="s">
        <v>515</v>
      </c>
      <c r="H67" s="358">
        <f t="shared" si="2"/>
        <v>174400.72</v>
      </c>
      <c r="I67" s="342">
        <v>174400.72</v>
      </c>
      <c r="J67" s="358">
        <v>0</v>
      </c>
      <c r="K67" s="359" t="s">
        <v>225</v>
      </c>
    </row>
    <row r="68" spans="1:12" s="354" customFormat="1" ht="56.25">
      <c r="A68" s="338">
        <v>87</v>
      </c>
      <c r="B68" s="338" t="s">
        <v>514</v>
      </c>
      <c r="C68" s="338" t="s">
        <v>517</v>
      </c>
      <c r="D68" s="373" t="s">
        <v>571</v>
      </c>
      <c r="E68" s="374" t="s">
        <v>495</v>
      </c>
      <c r="F68" s="374" t="s">
        <v>473</v>
      </c>
      <c r="G68" s="374" t="s">
        <v>515</v>
      </c>
      <c r="H68" s="375">
        <f t="shared" si="2"/>
        <v>168746.47</v>
      </c>
      <c r="I68" s="376">
        <v>168746.47</v>
      </c>
      <c r="J68" s="358">
        <v>0</v>
      </c>
      <c r="K68" s="359" t="s">
        <v>225</v>
      </c>
      <c r="L68" s="354">
        <v>168746.47</v>
      </c>
    </row>
    <row r="69" spans="1:12" s="354" customFormat="1" ht="67.5">
      <c r="A69" s="338">
        <v>88</v>
      </c>
      <c r="B69" s="338" t="s">
        <v>514</v>
      </c>
      <c r="C69" s="338" t="s">
        <v>517</v>
      </c>
      <c r="D69" s="357" t="s">
        <v>572</v>
      </c>
      <c r="E69" s="338" t="s">
        <v>495</v>
      </c>
      <c r="F69" s="338" t="s">
        <v>474</v>
      </c>
      <c r="G69" s="338" t="s">
        <v>515</v>
      </c>
      <c r="H69" s="358">
        <f t="shared" si="2"/>
        <v>216700.64</v>
      </c>
      <c r="I69" s="342">
        <v>216700.64</v>
      </c>
      <c r="J69" s="358">
        <v>0</v>
      </c>
      <c r="K69" s="359" t="s">
        <v>225</v>
      </c>
    </row>
    <row r="70" spans="1:12" s="354" customFormat="1" ht="45">
      <c r="A70" s="338">
        <v>89</v>
      </c>
      <c r="B70" s="338" t="s">
        <v>514</v>
      </c>
      <c r="C70" s="338" t="s">
        <v>517</v>
      </c>
      <c r="D70" s="357" t="s">
        <v>573</v>
      </c>
      <c r="E70" s="338" t="s">
        <v>495</v>
      </c>
      <c r="F70" s="338" t="s">
        <v>475</v>
      </c>
      <c r="G70" s="338" t="s">
        <v>515</v>
      </c>
      <c r="H70" s="358">
        <f t="shared" si="2"/>
        <v>190419.84</v>
      </c>
      <c r="I70" s="342">
        <v>190419.84</v>
      </c>
      <c r="J70" s="358">
        <v>0</v>
      </c>
      <c r="K70" s="359" t="s">
        <v>225</v>
      </c>
    </row>
    <row r="71" spans="1:12" s="354" customFormat="1" ht="67.5">
      <c r="A71" s="338">
        <v>90</v>
      </c>
      <c r="B71" s="338" t="s">
        <v>514</v>
      </c>
      <c r="C71" s="338" t="s">
        <v>517</v>
      </c>
      <c r="D71" s="357" t="s">
        <v>574</v>
      </c>
      <c r="E71" s="338" t="s">
        <v>480</v>
      </c>
      <c r="F71" s="338" t="s">
        <v>482</v>
      </c>
      <c r="G71" s="338" t="s">
        <v>515</v>
      </c>
      <c r="H71" s="358">
        <f t="shared" si="2"/>
        <v>279486.48</v>
      </c>
      <c r="I71" s="342">
        <v>279486.48</v>
      </c>
      <c r="J71" s="358">
        <v>0</v>
      </c>
      <c r="K71" s="359" t="s">
        <v>225</v>
      </c>
    </row>
    <row r="72" spans="1:12" s="354" customFormat="1" ht="56.25">
      <c r="A72" s="338">
        <v>91</v>
      </c>
      <c r="B72" s="338" t="s">
        <v>514</v>
      </c>
      <c r="C72" s="338" t="s">
        <v>517</v>
      </c>
      <c r="D72" s="357" t="s">
        <v>575</v>
      </c>
      <c r="E72" s="338" t="s">
        <v>476</v>
      </c>
      <c r="F72" s="338" t="s">
        <v>483</v>
      </c>
      <c r="G72" s="338" t="s">
        <v>515</v>
      </c>
      <c r="H72" s="358">
        <f t="shared" si="2"/>
        <v>67923.44</v>
      </c>
      <c r="I72" s="342">
        <v>67923.44</v>
      </c>
      <c r="J72" s="358">
        <v>0</v>
      </c>
      <c r="K72" s="359" t="s">
        <v>225</v>
      </c>
    </row>
    <row r="73" spans="1:12" s="354" customFormat="1" ht="90">
      <c r="A73" s="338">
        <v>92</v>
      </c>
      <c r="B73" s="338" t="s">
        <v>514</v>
      </c>
      <c r="C73" s="338" t="s">
        <v>517</v>
      </c>
      <c r="D73" s="357" t="s">
        <v>576</v>
      </c>
      <c r="E73" s="338" t="s">
        <v>231</v>
      </c>
      <c r="F73" s="338" t="s">
        <v>484</v>
      </c>
      <c r="G73" s="338" t="s">
        <v>515</v>
      </c>
      <c r="H73" s="358">
        <f t="shared" si="2"/>
        <v>218400</v>
      </c>
      <c r="I73" s="342">
        <v>218400</v>
      </c>
      <c r="J73" s="358">
        <v>0</v>
      </c>
      <c r="K73" s="359" t="s">
        <v>225</v>
      </c>
    </row>
    <row r="74" spans="1:12" s="354" customFormat="1" ht="78.75">
      <c r="A74" s="338">
        <v>93</v>
      </c>
      <c r="B74" s="338" t="s">
        <v>514</v>
      </c>
      <c r="C74" s="338" t="s">
        <v>517</v>
      </c>
      <c r="D74" s="357" t="s">
        <v>577</v>
      </c>
      <c r="E74" s="338" t="s">
        <v>231</v>
      </c>
      <c r="F74" s="338" t="s">
        <v>485</v>
      </c>
      <c r="G74" s="338" t="s">
        <v>515</v>
      </c>
      <c r="H74" s="358">
        <f t="shared" si="2"/>
        <v>436546.24</v>
      </c>
      <c r="I74" s="342">
        <v>436546.24</v>
      </c>
      <c r="J74" s="358">
        <v>0</v>
      </c>
      <c r="K74" s="359" t="s">
        <v>225</v>
      </c>
    </row>
    <row r="75" spans="1:12" s="354" customFormat="1" ht="90">
      <c r="A75" s="338">
        <v>94</v>
      </c>
      <c r="B75" s="338" t="s">
        <v>514</v>
      </c>
      <c r="C75" s="338" t="s">
        <v>517</v>
      </c>
      <c r="D75" s="357" t="s">
        <v>578</v>
      </c>
      <c r="E75" s="338" t="s">
        <v>231</v>
      </c>
      <c r="F75" s="338" t="s">
        <v>485</v>
      </c>
      <c r="G75" s="338" t="s">
        <v>515</v>
      </c>
      <c r="H75" s="358">
        <f t="shared" si="2"/>
        <v>402054.64</v>
      </c>
      <c r="I75" s="342">
        <v>402054.64</v>
      </c>
      <c r="J75" s="358">
        <v>0</v>
      </c>
      <c r="K75" s="359" t="s">
        <v>225</v>
      </c>
    </row>
    <row r="76" spans="1:12" s="354" customFormat="1" ht="90">
      <c r="A76" s="338">
        <v>95</v>
      </c>
      <c r="B76" s="338" t="s">
        <v>514</v>
      </c>
      <c r="C76" s="338" t="s">
        <v>517</v>
      </c>
      <c r="D76" s="357" t="s">
        <v>579</v>
      </c>
      <c r="E76" s="338" t="s">
        <v>231</v>
      </c>
      <c r="F76" s="338" t="s">
        <v>485</v>
      </c>
      <c r="G76" s="338" t="s">
        <v>515</v>
      </c>
      <c r="H76" s="358">
        <f t="shared" si="2"/>
        <v>270400</v>
      </c>
      <c r="I76" s="342">
        <v>270400</v>
      </c>
      <c r="J76" s="358">
        <v>0</v>
      </c>
      <c r="K76" s="359" t="s">
        <v>225</v>
      </c>
    </row>
    <row r="77" spans="1:12" s="354" customFormat="1" ht="67.5">
      <c r="A77" s="338">
        <v>96</v>
      </c>
      <c r="B77" s="338" t="s">
        <v>514</v>
      </c>
      <c r="C77" s="338" t="s">
        <v>517</v>
      </c>
      <c r="D77" s="357" t="s">
        <v>580</v>
      </c>
      <c r="E77" s="338" t="s">
        <v>232</v>
      </c>
      <c r="F77" s="338" t="s">
        <v>493</v>
      </c>
      <c r="G77" s="338" t="s">
        <v>515</v>
      </c>
      <c r="H77" s="358">
        <f t="shared" si="2"/>
        <v>186726.8</v>
      </c>
      <c r="I77" s="342">
        <v>186726.8</v>
      </c>
      <c r="J77" s="358">
        <v>0</v>
      </c>
      <c r="K77" s="359" t="s">
        <v>225</v>
      </c>
    </row>
    <row r="78" spans="1:12" s="354" customFormat="1" ht="78.75">
      <c r="A78" s="338">
        <v>97</v>
      </c>
      <c r="B78" s="338" t="s">
        <v>514</v>
      </c>
      <c r="C78" s="338" t="s">
        <v>517</v>
      </c>
      <c r="D78" s="357" t="s">
        <v>581</v>
      </c>
      <c r="E78" s="338" t="s">
        <v>228</v>
      </c>
      <c r="F78" s="338" t="s">
        <v>496</v>
      </c>
      <c r="G78" s="338" t="s">
        <v>515</v>
      </c>
      <c r="H78" s="358">
        <f t="shared" si="2"/>
        <v>340559.44</v>
      </c>
      <c r="I78" s="342">
        <v>340559.44</v>
      </c>
      <c r="J78" s="358">
        <v>0</v>
      </c>
      <c r="K78" s="359" t="s">
        <v>225</v>
      </c>
    </row>
    <row r="79" spans="1:12" s="354" customFormat="1" ht="50.25" customHeight="1">
      <c r="A79" s="338">
        <v>38</v>
      </c>
      <c r="B79" s="338" t="s">
        <v>514</v>
      </c>
      <c r="C79" s="338" t="s">
        <v>166</v>
      </c>
      <c r="D79" s="346" t="s">
        <v>542</v>
      </c>
      <c r="E79" s="347" t="s">
        <v>470</v>
      </c>
      <c r="F79" s="347" t="s">
        <v>470</v>
      </c>
      <c r="G79" s="349" t="s">
        <v>595</v>
      </c>
      <c r="H79" s="350">
        <v>1795170.9975503052</v>
      </c>
      <c r="I79" s="350">
        <v>1795170.9975503052</v>
      </c>
      <c r="J79" s="350"/>
      <c r="K79" s="349" t="s">
        <v>544</v>
      </c>
      <c r="L79" s="353"/>
    </row>
    <row r="80" spans="1:12" s="354" customFormat="1" ht="50.25" customHeight="1">
      <c r="A80" s="338">
        <v>39</v>
      </c>
      <c r="B80" s="338" t="s">
        <v>514</v>
      </c>
      <c r="C80" s="338" t="s">
        <v>166</v>
      </c>
      <c r="D80" s="346" t="s">
        <v>543</v>
      </c>
      <c r="E80" s="347" t="s">
        <v>469</v>
      </c>
      <c r="F80" s="347" t="s">
        <v>469</v>
      </c>
      <c r="G80" s="349" t="s">
        <v>595</v>
      </c>
      <c r="H80" s="350">
        <v>6354126.6408000002</v>
      </c>
      <c r="I80" s="350">
        <v>6354126.6408000002</v>
      </c>
      <c r="J80" s="350"/>
      <c r="K80" s="349" t="s">
        <v>544</v>
      </c>
      <c r="L80" s="353"/>
    </row>
    <row r="81" spans="1:12" s="354" customFormat="1" ht="50.25" customHeight="1">
      <c r="A81" s="338">
        <v>45</v>
      </c>
      <c r="B81" s="338" t="s">
        <v>514</v>
      </c>
      <c r="C81" s="338" t="s">
        <v>517</v>
      </c>
      <c r="D81" s="346" t="s">
        <v>596</v>
      </c>
      <c r="E81" s="347" t="s">
        <v>224</v>
      </c>
      <c r="F81" s="347" t="s">
        <v>224</v>
      </c>
      <c r="G81" s="349" t="s">
        <v>597</v>
      </c>
      <c r="H81" s="350">
        <v>2000000</v>
      </c>
      <c r="I81" s="350">
        <v>2000000</v>
      </c>
      <c r="J81" s="350">
        <v>0</v>
      </c>
      <c r="K81" s="349" t="s">
        <v>597</v>
      </c>
      <c r="L81" s="353"/>
    </row>
    <row r="82" spans="1:12" s="354" customFormat="1" ht="45">
      <c r="A82" s="338">
        <v>151</v>
      </c>
      <c r="B82" s="338" t="s">
        <v>514</v>
      </c>
      <c r="C82" s="338" t="s">
        <v>517</v>
      </c>
      <c r="D82" s="357" t="s">
        <v>472</v>
      </c>
      <c r="E82" s="338" t="s">
        <v>224</v>
      </c>
      <c r="F82" s="338" t="s">
        <v>471</v>
      </c>
      <c r="G82" s="349" t="s">
        <v>595</v>
      </c>
      <c r="H82" s="358">
        <f>+I82</f>
        <v>4704593.851649696</v>
      </c>
      <c r="I82" s="358">
        <v>4704593.851649696</v>
      </c>
      <c r="J82" s="358">
        <v>0</v>
      </c>
      <c r="K82" s="349" t="s">
        <v>544</v>
      </c>
    </row>
    <row r="83" spans="1:12" s="337" customFormat="1" ht="25.5" customHeight="1">
      <c r="A83" s="334"/>
      <c r="B83" s="332"/>
      <c r="C83" s="334"/>
      <c r="D83" s="332"/>
      <c r="E83" s="339"/>
      <c r="F83" s="339"/>
      <c r="G83" s="339"/>
      <c r="H83" s="335"/>
      <c r="I83" s="335"/>
      <c r="J83" s="335"/>
      <c r="K83" s="340"/>
      <c r="L83" s="336"/>
    </row>
    <row r="84" spans="1:12" s="341" customFormat="1" ht="40.5" customHeight="1">
      <c r="A84" s="453" t="s">
        <v>598</v>
      </c>
      <c r="B84" s="454"/>
      <c r="C84" s="454"/>
      <c r="D84" s="454"/>
      <c r="E84" s="454"/>
      <c r="F84" s="454"/>
      <c r="G84" s="455"/>
      <c r="H84" s="377">
        <f>SUM(H4:H83)</f>
        <v>269708591.0281238</v>
      </c>
      <c r="I84" s="377">
        <f>SUM(I4:I83)</f>
        <v>131000000.00724106</v>
      </c>
      <c r="J84" s="377">
        <f>SUM(J4:J83)</f>
        <v>138708591.02088273</v>
      </c>
      <c r="K84" s="378"/>
      <c r="L84" s="336"/>
    </row>
  </sheetData>
  <mergeCells count="2">
    <mergeCell ref="A1:K1"/>
    <mergeCell ref="A84:G84"/>
  </mergeCells>
  <pageMargins left="0.70866141732283472" right="0.70866141732283472" top="0.74803149606299213" bottom="0.74803149606299213" header="0.31496062992125984" footer="0.31496062992125984"/>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CEA PPTO AUT-2022 </vt:lpstr>
      <vt:lpstr>DETALLADO 2022 AUT.</vt:lpstr>
      <vt:lpstr>TOTAL CEA X PARTIDA</vt:lpstr>
      <vt:lpstr>DIR.GENERAL C.1000</vt:lpstr>
      <vt:lpstr>Hoja2</vt:lpstr>
      <vt:lpstr> DIR.GENERAL C.2000 Y 3000</vt:lpstr>
      <vt:lpstr>ORG.OPERADORES(ING.PROPIOS)</vt:lpstr>
      <vt:lpstr>ESTIMACION INGRESOS PROPIOS </vt:lpstr>
      <vt:lpstr>PROY. AUTORIZADOS</vt:lpstr>
      <vt:lpstr>Hoja1</vt:lpstr>
      <vt:lpstr>'ESTIMACION INGRESOS PROPIOS '!Área_de_impresión</vt:lpstr>
      <vt:lpstr>'ORG.OPERADORES(ING.PROPIOS)'!Área_de_impresión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Ismael Norzagaray</dc:creator>
  <cp:lastModifiedBy>Ismael Norzagaray</cp:lastModifiedBy>
  <cp:lastPrinted>2022-12-07T17:10:02Z</cp:lastPrinted>
  <dcterms:created xsi:type="dcterms:W3CDTF">2019-10-09T14:52:48Z</dcterms:created>
  <dcterms:modified xsi:type="dcterms:W3CDTF">2023-03-22T19:10:09Z</dcterms:modified>
</cp:coreProperties>
</file>